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65521" yWindow="5385" windowWidth="15330" windowHeight="5445" tabRatio="555" activeTab="1"/>
  </bookViews>
  <sheets>
    <sheet name="Dati" sheetId="1" r:id="rId1"/>
    <sheet name="Costi" sheetId="2" r:id="rId2"/>
    <sheet name="Grafico1" sheetId="3" r:id="rId3"/>
  </sheets>
  <definedNames>
    <definedName name="_xlnm.Print_Area" localSheetId="1">'Costi'!$D$3:$N$27</definedName>
    <definedName name="_xlnm.Print_Area" localSheetId="0">'Dati'!$B$5:$L$18</definedName>
  </definedNames>
  <calcPr fullCalcOnLoad="1"/>
</workbook>
</file>

<file path=xl/sharedStrings.xml><?xml version="1.0" encoding="utf-8"?>
<sst xmlns="http://schemas.openxmlformats.org/spreadsheetml/2006/main" count="108" uniqueCount="88">
  <si>
    <t xml:space="preserve">Nome progetto </t>
  </si>
  <si>
    <t>Id  Progetto</t>
  </si>
  <si>
    <t>Soggetto proponente</t>
  </si>
  <si>
    <t>% Contributo</t>
  </si>
  <si>
    <t>Inizio attività</t>
  </si>
  <si>
    <t>Fine attività</t>
  </si>
  <si>
    <t>Durata (mesi)</t>
  </si>
  <si>
    <t>Sal Previsti</t>
  </si>
  <si>
    <t>% Abbattimento</t>
  </si>
  <si>
    <t>Costo Progetto</t>
  </si>
  <si>
    <t>Costo Personale</t>
  </si>
  <si>
    <t>Imponibile</t>
  </si>
  <si>
    <t>Totale Progetto</t>
  </si>
  <si>
    <t>Contr.Reg. 80%</t>
  </si>
  <si>
    <t>Saldo Finale Contributo 20%</t>
  </si>
  <si>
    <t>Personale</t>
  </si>
  <si>
    <t>Imponibile
senza IVA</t>
  </si>
  <si>
    <t>Imponibile
Con IVA</t>
  </si>
  <si>
    <t>Quota
Privato</t>
  </si>
  <si>
    <t>Quota
Regione</t>
  </si>
  <si>
    <t>Recupero
Anticipazione</t>
  </si>
  <si>
    <t>Liquidazione</t>
  </si>
  <si>
    <t>Codice Progetto</t>
  </si>
  <si>
    <t>Nome Proponente</t>
  </si>
  <si>
    <t>Nome Progetto</t>
  </si>
  <si>
    <t>Valore Imponibile Progetto</t>
  </si>
  <si>
    <t>Totale Contributo Pubblico</t>
  </si>
  <si>
    <t>Quota Privata</t>
  </si>
  <si>
    <t>Anticipazione Contributo 30%</t>
  </si>
  <si>
    <t>Scadenza Rapporti SAL</t>
  </si>
  <si>
    <t>Spesa</t>
  </si>
  <si>
    <t>Riparto</t>
  </si>
  <si>
    <t>Totali</t>
  </si>
  <si>
    <t>Totale Contributo</t>
  </si>
  <si>
    <t>Saldo
Contributo</t>
  </si>
  <si>
    <t>Saldo Contrbuto 80%</t>
  </si>
  <si>
    <t>% Spesa</t>
  </si>
  <si>
    <t>Esito Collaudo Finale</t>
  </si>
  <si>
    <t>I.V.A. max 20%</t>
  </si>
  <si>
    <t>% Spesa SAL</t>
  </si>
  <si>
    <t>IVA</t>
  </si>
  <si>
    <t>Spesa con IVA</t>
  </si>
  <si>
    <t>Costo progetto</t>
  </si>
  <si>
    <t>Percentuale contributo pubblico</t>
  </si>
  <si>
    <t>Costo totale progetto con IVA max 20%</t>
  </si>
  <si>
    <t>Scadenza Rapporti Quadrimestrali</t>
  </si>
  <si>
    <t>€</t>
  </si>
  <si>
    <t xml:space="preserve">Iva imponibile max 20% </t>
  </si>
  <si>
    <t>Saldo contributo 80%</t>
  </si>
  <si>
    <t>Saldo contributo 20%</t>
  </si>
  <si>
    <t>Spesa senza IVA</t>
  </si>
  <si>
    <t>Finali
collaudo</t>
  </si>
  <si>
    <t>Contributo
Privato</t>
  </si>
  <si>
    <t>Contributo
Regione</t>
  </si>
  <si>
    <t>[a]</t>
  </si>
  <si>
    <t>[b]</t>
  </si>
  <si>
    <t>[c]</t>
  </si>
  <si>
    <t>[d]</t>
  </si>
  <si>
    <t>[e]</t>
  </si>
  <si>
    <t>[f]</t>
  </si>
  <si>
    <t>[g]</t>
  </si>
  <si>
    <t>[h]</t>
  </si>
  <si>
    <t>gennaio</t>
  </si>
  <si>
    <t>febbraio</t>
  </si>
  <si>
    <t>marzo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</si>
  <si>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</si>
  <si>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</si>
  <si>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</si>
  <si>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</si>
  <si>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</si>
  <si>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</si>
  <si>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</si>
  <si>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</si>
  <si>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aprile</t>
  </si>
  <si>
    <t>gen</t>
  </si>
  <si>
    <t>feb</t>
  </si>
  <si>
    <t>mar</t>
  </si>
  <si>
    <t>apr</t>
  </si>
  <si>
    <t>mag</t>
  </si>
  <si>
    <t>giu</t>
  </si>
  <si>
    <t>lug</t>
  </si>
  <si>
    <t>ago</t>
  </si>
  <si>
    <t>sett</t>
  </si>
  <si>
    <t>ott</t>
  </si>
  <si>
    <t>nov</t>
  </si>
  <si>
    <t>dic</t>
  </si>
  <si>
    <t xml:space="preserve">Ance Puglia </t>
  </si>
  <si>
    <t>CRISED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</si>
</sst>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d\-mmm\-yy"/>
    <numFmt numFmtId="166" formatCode="mmmmm"/>
    <numFmt numFmtId="167" formatCode="mmmmm\-yy"/>
    <numFmt numFmtId="168" formatCode="d/m"/>
    <numFmt numFmtId="169" formatCode="[$-410]dddd\ d\ mmmm\ yyyy"/>
    <numFmt numFmtId="170" formatCode="dd/mm/yy;@"/>
    <numFmt numFmtId="171" formatCode="d/m;@"/>
    <numFmt numFmtId="172" formatCode="d/m/yy;@"/>
    <numFmt numFmtId="173" formatCode="[$-410]d\ mmmm\ yyyy;@"/>
    <numFmt numFmtId="174" formatCode="[$-410]d\-mmm\-yyyy;@"/>
    <numFmt numFmtId="175" formatCode="d/m/yyyy;@"/>
    <numFmt numFmtId="176" formatCode="mmmm\-yy"/>
    <numFmt numFmtId="177" formatCode="_-[$€-2]\ * #,##0.00_-;\-[$€-2]\ * #,##0.00_-;_-[$€-2]\ * &quot;-&quot;??_-;_-@_-"/>
    <numFmt numFmtId="178" formatCode="d/m/yy"/>
    <numFmt numFmtId="179" formatCode="dd/mm/yy"/>
    <numFmt numFmtId="180" formatCode="d\ mmmm\ yyyy"/>
    <numFmt numFmtId="181" formatCode="[$-410]mmmmm;@"/>
    <numFmt numFmtId="182" formatCode="[$-410]dd\-mmm\-yy;@"/>
    <numFmt numFmtId="183" formatCode="[$-410]d\-mmm\-yy;@"/>
  </numFmts>
  <fonts count="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0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hair"/>
      <bottom style="dotted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4" fontId="1" fillId="0" borderId="0" xfId="0" applyNumberFormat="1" applyFont="1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textRotation="90"/>
      <protection hidden="1"/>
    </xf>
    <xf numFmtId="4" fontId="0" fillId="0" borderId="0" xfId="0" applyNumberFormat="1" applyFont="1" applyBorder="1" applyAlignment="1" applyProtection="1">
      <alignment horizontal="center" textRotation="90"/>
      <protection hidden="1"/>
    </xf>
    <xf numFmtId="4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 quotePrefix="1">
      <alignment horizontal="center"/>
      <protection hidden="1"/>
    </xf>
    <xf numFmtId="1" fontId="0" fillId="0" borderId="0" xfId="0" applyNumberFormat="1" applyFont="1" applyBorder="1" applyAlignment="1" applyProtection="1">
      <alignment horizontal="center"/>
      <protection hidden="1"/>
    </xf>
    <xf numFmtId="164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wrapText="1"/>
      <protection hidden="1"/>
    </xf>
    <xf numFmtId="4" fontId="0" fillId="0" borderId="0" xfId="0" applyNumberFormat="1" applyBorder="1" applyAlignment="1" applyProtection="1">
      <alignment horizontal="center" wrapText="1"/>
      <protection hidden="1"/>
    </xf>
    <xf numFmtId="1" fontId="0" fillId="0" borderId="0" xfId="0" applyNumberFormat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1" fontId="0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1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 textRotation="90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2" xfId="0" applyNumberFormat="1" applyBorder="1" applyAlignment="1" applyProtection="1">
      <alignment horizontal="center"/>
      <protection hidden="1"/>
    </xf>
    <xf numFmtId="1" fontId="0" fillId="0" borderId="2" xfId="0" applyNumberForma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/>
      <protection hidden="1"/>
    </xf>
    <xf numFmtId="164" fontId="3" fillId="0" borderId="0" xfId="0" applyNumberFormat="1" applyFont="1" applyFill="1" applyBorder="1" applyAlignment="1" applyProtection="1">
      <alignment horizontal="right" vertical="center"/>
      <protection hidden="1"/>
    </xf>
    <xf numFmtId="170" fontId="0" fillId="0" borderId="0" xfId="0" applyNumberFormat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horizontal="left" vertical="center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165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173" fontId="2" fillId="2" borderId="6" xfId="0" applyNumberFormat="1" applyFont="1" applyFill="1" applyBorder="1" applyAlignment="1" applyProtection="1">
      <alignment horizontal="center" vertical="center"/>
      <protection hidden="1"/>
    </xf>
    <xf numFmtId="1" fontId="2" fillId="2" borderId="4" xfId="0" applyNumberFormat="1" applyFont="1" applyFill="1" applyBorder="1" applyAlignment="1" applyProtection="1">
      <alignment horizontal="left" vertical="center" wrapText="1"/>
      <protection hidden="1"/>
    </xf>
    <xf numFmtId="4" fontId="2" fillId="2" borderId="4" xfId="0" applyNumberFormat="1" applyFont="1" applyFill="1" applyBorder="1" applyAlignment="1" applyProtection="1">
      <alignment horizontal="left" vertical="center" wrapText="1"/>
      <protection hidden="1"/>
    </xf>
    <xf numFmtId="1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1" fontId="2" fillId="2" borderId="8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left" vertical="center"/>
      <protection hidden="1"/>
    </xf>
    <xf numFmtId="1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4" fontId="2" fillId="2" borderId="9" xfId="0" applyNumberFormat="1" applyFont="1" applyFill="1" applyBorder="1" applyAlignment="1" applyProtection="1">
      <alignment horizontal="left" vertical="center"/>
      <protection hidden="1"/>
    </xf>
    <xf numFmtId="4" fontId="2" fillId="2" borderId="10" xfId="0" applyNumberFormat="1" applyFont="1" applyFill="1" applyBorder="1" applyAlignment="1" applyProtection="1">
      <alignment horizontal="right" vertical="center"/>
      <protection hidden="1"/>
    </xf>
    <xf numFmtId="4" fontId="2" fillId="2" borderId="11" xfId="0" applyNumberFormat="1" applyFont="1" applyFill="1" applyBorder="1" applyAlignment="1" applyProtection="1">
      <alignment horizontal="right" vertical="center"/>
      <protection hidden="1"/>
    </xf>
    <xf numFmtId="4" fontId="2" fillId="2" borderId="12" xfId="0" applyNumberFormat="1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1" fontId="2" fillId="2" borderId="13" xfId="0" applyNumberFormat="1" applyFont="1" applyFill="1" applyBorder="1" applyAlignment="1" applyProtection="1">
      <alignment horizontal="left" vertical="center"/>
      <protection/>
    </xf>
    <xf numFmtId="4" fontId="2" fillId="2" borderId="9" xfId="0" applyNumberFormat="1" applyFont="1" applyFill="1" applyBorder="1" applyAlignment="1" applyProtection="1">
      <alignment horizontal="left" vertical="center"/>
      <protection/>
    </xf>
    <xf numFmtId="0" fontId="2" fillId="4" borderId="0" xfId="0" applyFont="1" applyFill="1" applyAlignment="1" applyProtection="1">
      <alignment horizontal="left" vertical="center"/>
      <protection hidden="1"/>
    </xf>
    <xf numFmtId="0" fontId="2" fillId="4" borderId="0" xfId="0" applyFont="1" applyFill="1" applyAlignment="1" applyProtection="1">
      <alignment horizontal="center" vertical="center"/>
      <protection hidden="1"/>
    </xf>
    <xf numFmtId="1" fontId="2" fillId="4" borderId="0" xfId="0" applyNumberFormat="1" applyFont="1" applyFill="1" applyAlignment="1" applyProtection="1">
      <alignment horizontal="left" vertical="center"/>
      <protection hidden="1"/>
    </xf>
    <xf numFmtId="173" fontId="2" fillId="4" borderId="0" xfId="0" applyNumberFormat="1" applyFont="1" applyFill="1" applyBorder="1" applyAlignment="1" applyProtection="1">
      <alignment horizontal="center" vertical="center"/>
      <protection hidden="1"/>
    </xf>
    <xf numFmtId="1" fontId="0" fillId="4" borderId="0" xfId="0" applyNumberForma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/>
      <protection hidden="1"/>
    </xf>
    <xf numFmtId="4" fontId="1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ill="1" applyBorder="1" applyAlignment="1" applyProtection="1">
      <alignment/>
      <protection hidden="1"/>
    </xf>
    <xf numFmtId="165" fontId="0" fillId="4" borderId="0" xfId="0" applyNumberFormat="1" applyFill="1" applyBorder="1" applyAlignment="1" applyProtection="1">
      <alignment horizontal="center"/>
      <protection hidden="1"/>
    </xf>
    <xf numFmtId="1" fontId="0" fillId="4" borderId="0" xfId="0" applyNumberFormat="1" applyFill="1" applyBorder="1" applyAlignment="1" applyProtection="1">
      <alignment horizontal="center" textRotation="90"/>
      <protection hidden="1"/>
    </xf>
    <xf numFmtId="1" fontId="0" fillId="4" borderId="0" xfId="0" applyNumberFormat="1" applyFont="1" applyFill="1" applyBorder="1" applyAlignment="1" applyProtection="1">
      <alignment/>
      <protection hidden="1"/>
    </xf>
    <xf numFmtId="1" fontId="0" fillId="4" borderId="0" xfId="0" applyNumberFormat="1" applyFill="1" applyBorder="1" applyAlignment="1" applyProtection="1">
      <alignment horizontal="center" wrapText="1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4" fontId="3" fillId="4" borderId="0" xfId="0" applyNumberFormat="1" applyFont="1" applyFill="1" applyBorder="1" applyAlignment="1" applyProtection="1">
      <alignment horizontal="right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6" fillId="2" borderId="14" xfId="0" applyFont="1" applyFill="1" applyBorder="1" applyAlignment="1" applyProtection="1">
      <alignment horizontal="center" vertical="center"/>
      <protection hidden="1"/>
    </xf>
    <xf numFmtId="4" fontId="1" fillId="2" borderId="5" xfId="0" applyNumberFormat="1" applyFont="1" applyFill="1" applyBorder="1" applyAlignment="1" applyProtection="1">
      <alignment horizontal="center"/>
      <protection hidden="1"/>
    </xf>
    <xf numFmtId="1" fontId="1" fillId="2" borderId="15" xfId="0" applyNumberFormat="1" applyFont="1" applyFill="1" applyBorder="1" applyAlignment="1" applyProtection="1">
      <alignment horizontal="center" vertical="center"/>
      <protection hidden="1"/>
    </xf>
    <xf numFmtId="4" fontId="1" fillId="5" borderId="16" xfId="0" applyNumberFormat="1" applyFont="1" applyFill="1" applyBorder="1" applyAlignment="1" applyProtection="1">
      <alignment horizontal="right" vertical="center"/>
      <protection locked="0"/>
    </xf>
    <xf numFmtId="4" fontId="1" fillId="5" borderId="17" xfId="0" applyNumberFormat="1" applyFont="1" applyFill="1" applyBorder="1" applyAlignment="1" applyProtection="1">
      <alignment horizontal="right" vertical="center"/>
      <protection locked="0"/>
    </xf>
    <xf numFmtId="4" fontId="1" fillId="5" borderId="18" xfId="0" applyNumberFormat="1" applyFont="1" applyFill="1" applyBorder="1" applyAlignment="1" applyProtection="1">
      <alignment horizontal="right" vertical="center"/>
      <protection locked="0"/>
    </xf>
    <xf numFmtId="4" fontId="1" fillId="5" borderId="19" xfId="0" applyNumberFormat="1" applyFont="1" applyFill="1" applyBorder="1" applyAlignment="1" applyProtection="1">
      <alignment horizontal="right" vertical="center"/>
      <protection locked="0"/>
    </xf>
    <xf numFmtId="4" fontId="1" fillId="5" borderId="20" xfId="0" applyNumberFormat="1" applyFont="1" applyFill="1" applyBorder="1" applyAlignment="1" applyProtection="1">
      <alignment horizontal="right" vertical="center"/>
      <protection locked="0"/>
    </xf>
    <xf numFmtId="4" fontId="1" fillId="5" borderId="21" xfId="0" applyNumberFormat="1" applyFont="1" applyFill="1" applyBorder="1" applyAlignment="1" applyProtection="1">
      <alignment horizontal="right" vertical="center"/>
      <protection locked="0"/>
    </xf>
    <xf numFmtId="4" fontId="3" fillId="5" borderId="22" xfId="0" applyNumberFormat="1" applyFont="1" applyFill="1" applyBorder="1" applyAlignment="1" applyProtection="1">
      <alignment horizontal="right" vertical="center"/>
      <protection locked="0"/>
    </xf>
    <xf numFmtId="4" fontId="3" fillId="5" borderId="23" xfId="0" applyNumberFormat="1" applyFont="1" applyFill="1" applyBorder="1" applyAlignment="1" applyProtection="1">
      <alignment horizontal="right" vertical="center"/>
      <protection locked="0"/>
    </xf>
    <xf numFmtId="4" fontId="3" fillId="5" borderId="24" xfId="0" applyNumberFormat="1" applyFont="1" applyFill="1" applyBorder="1" applyAlignment="1" applyProtection="1">
      <alignment horizontal="right" vertical="center"/>
      <protection locked="0"/>
    </xf>
    <xf numFmtId="4" fontId="1" fillId="2" borderId="25" xfId="0" applyNumberFormat="1" applyFont="1" applyFill="1" applyBorder="1" applyAlignment="1" applyProtection="1">
      <alignment horizontal="center" vertical="center"/>
      <protection hidden="1"/>
    </xf>
    <xf numFmtId="4" fontId="1" fillId="2" borderId="3" xfId="0" applyNumberFormat="1" applyFont="1" applyFill="1" applyBorder="1" applyAlignment="1" applyProtection="1">
      <alignment horizontal="center" vertical="center"/>
      <protection hidden="1"/>
    </xf>
    <xf numFmtId="4" fontId="1" fillId="2" borderId="26" xfId="0" applyNumberFormat="1" applyFont="1" applyFill="1" applyBorder="1" applyAlignment="1" applyProtection="1">
      <alignment horizontal="center" vertical="center"/>
      <protection hidden="1"/>
    </xf>
    <xf numFmtId="165" fontId="1" fillId="2" borderId="6" xfId="0" applyNumberFormat="1" applyFont="1" applyFill="1" applyBorder="1" applyAlignment="1" applyProtection="1">
      <alignment horizontal="center" vertical="center"/>
      <protection hidden="1"/>
    </xf>
    <xf numFmtId="1" fontId="1" fillId="2" borderId="6" xfId="0" applyNumberFormat="1" applyFont="1" applyFill="1" applyBorder="1" applyAlignment="1" applyProtection="1">
      <alignment horizontal="center" vertical="center"/>
      <protection hidden="1"/>
    </xf>
    <xf numFmtId="164" fontId="1" fillId="2" borderId="6" xfId="0" applyNumberFormat="1" applyFont="1" applyFill="1" applyBorder="1" applyAlignment="1" applyProtection="1">
      <alignment horizontal="center" vertical="center"/>
      <protection hidden="1"/>
    </xf>
    <xf numFmtId="4" fontId="1" fillId="2" borderId="5" xfId="0" applyNumberFormat="1" applyFont="1" applyFill="1" applyBorder="1" applyAlignment="1" applyProtection="1">
      <alignment horizontal="center" vertical="center"/>
      <protection hidden="1"/>
    </xf>
    <xf numFmtId="4" fontId="1" fillId="2" borderId="6" xfId="0" applyNumberFormat="1" applyFont="1" applyFill="1" applyBorder="1" applyAlignment="1" applyProtection="1">
      <alignment horizontal="center" vertical="center"/>
      <protection hidden="1"/>
    </xf>
    <xf numFmtId="4" fontId="1" fillId="2" borderId="27" xfId="0" applyNumberFormat="1" applyFont="1" applyFill="1" applyBorder="1" applyAlignment="1" applyProtection="1">
      <alignment horizontal="center" vertical="center"/>
      <protection hidden="1"/>
    </xf>
    <xf numFmtId="4" fontId="1" fillId="2" borderId="28" xfId="0" applyNumberFormat="1" applyFont="1" applyFill="1" applyBorder="1" applyAlignment="1" applyProtection="1">
      <alignment horizontal="center" vertical="center"/>
      <protection hidden="1"/>
    </xf>
    <xf numFmtId="4" fontId="1" fillId="2" borderId="29" xfId="0" applyNumberFormat="1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0" fontId="1" fillId="2" borderId="30" xfId="0" applyFont="1" applyFill="1" applyBorder="1" applyAlignment="1" applyProtection="1">
      <alignment horizontal="right" vertical="center"/>
      <protection hidden="1"/>
    </xf>
    <xf numFmtId="4" fontId="1" fillId="2" borderId="31" xfId="0" applyNumberFormat="1" applyFont="1" applyFill="1" applyBorder="1" applyAlignment="1" applyProtection="1">
      <alignment horizontal="right" vertical="center"/>
      <protection hidden="1"/>
    </xf>
    <xf numFmtId="4" fontId="1" fillId="2" borderId="1" xfId="0" applyNumberFormat="1" applyFont="1" applyFill="1" applyBorder="1" applyAlignment="1" applyProtection="1">
      <alignment horizontal="center" vertical="center"/>
      <protection hidden="1"/>
    </xf>
    <xf numFmtId="4" fontId="1" fillId="2" borderId="32" xfId="0" applyNumberFormat="1" applyFont="1" applyFill="1" applyBorder="1" applyAlignment="1" applyProtection="1">
      <alignment horizontal="center" vertical="center"/>
      <protection hidden="1"/>
    </xf>
    <xf numFmtId="4" fontId="1" fillId="2" borderId="33" xfId="0" applyNumberFormat="1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right" vertical="center"/>
      <protection hidden="1"/>
    </xf>
    <xf numFmtId="4" fontId="1" fillId="2" borderId="34" xfId="0" applyNumberFormat="1" applyFont="1" applyFill="1" applyBorder="1" applyAlignment="1" applyProtection="1">
      <alignment horizontal="right" vertical="center"/>
      <protection hidden="1"/>
    </xf>
    <xf numFmtId="4" fontId="1" fillId="2" borderId="23" xfId="0" applyNumberFormat="1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1" fillId="2" borderId="35" xfId="0" applyFont="1" applyFill="1" applyBorder="1" applyAlignment="1" applyProtection="1">
      <alignment horizontal="center" vertical="center" wrapText="1"/>
      <protection hidden="1"/>
    </xf>
    <xf numFmtId="0" fontId="1" fillId="2" borderId="21" xfId="0" applyFont="1" applyFill="1" applyBorder="1" applyAlignment="1" applyProtection="1">
      <alignment horizontal="center" vertical="center" wrapText="1"/>
      <protection hidden="1"/>
    </xf>
    <xf numFmtId="0" fontId="1" fillId="2" borderId="36" xfId="0" applyFont="1" applyFill="1" applyBorder="1" applyAlignment="1" applyProtection="1">
      <alignment horizontal="center" textRotation="90" wrapText="1"/>
      <protection hidden="1"/>
    </xf>
    <xf numFmtId="0" fontId="1" fillId="2" borderId="37" xfId="0" applyFont="1" applyFill="1" applyBorder="1" applyAlignment="1" applyProtection="1">
      <alignment horizontal="center" textRotation="90"/>
      <protection hidden="1"/>
    </xf>
    <xf numFmtId="0" fontId="1" fillId="2" borderId="38" xfId="0" applyFont="1" applyFill="1" applyBorder="1" applyAlignment="1" applyProtection="1">
      <alignment horizontal="center" textRotation="90" wrapText="1"/>
      <protection hidden="1"/>
    </xf>
    <xf numFmtId="4" fontId="1" fillId="2" borderId="37" xfId="0" applyNumberFormat="1" applyFont="1" applyFill="1" applyBorder="1" applyAlignment="1" applyProtection="1">
      <alignment horizontal="center" textRotation="90" wrapText="1"/>
      <protection hidden="1"/>
    </xf>
    <xf numFmtId="0" fontId="1" fillId="2" borderId="39" xfId="0" applyFont="1" applyFill="1" applyBorder="1" applyAlignment="1" applyProtection="1">
      <alignment horizontal="center" textRotation="90" wrapText="1"/>
      <protection hidden="1"/>
    </xf>
    <xf numFmtId="4" fontId="1" fillId="2" borderId="40" xfId="0" applyNumberFormat="1" applyFont="1" applyFill="1" applyBorder="1" applyAlignment="1" applyProtection="1">
      <alignment horizontal="center" textRotation="90" wrapText="1"/>
      <protection hidden="1"/>
    </xf>
    <xf numFmtId="4" fontId="1" fillId="2" borderId="41" xfId="0" applyNumberFormat="1" applyFont="1" applyFill="1" applyBorder="1" applyAlignment="1" applyProtection="1">
      <alignment horizontal="center" textRotation="90" wrapText="1"/>
      <protection hidden="1"/>
    </xf>
    <xf numFmtId="170" fontId="1" fillId="2" borderId="42" xfId="0" applyNumberFormat="1" applyFont="1" applyFill="1" applyBorder="1" applyAlignment="1" applyProtection="1">
      <alignment horizontal="center" vertical="center"/>
      <protection hidden="1"/>
    </xf>
    <xf numFmtId="0" fontId="3" fillId="2" borderId="43" xfId="0" applyFont="1" applyFill="1" applyBorder="1" applyAlignment="1" applyProtection="1">
      <alignment horizontal="center" vertical="center"/>
      <protection hidden="1"/>
    </xf>
    <xf numFmtId="4" fontId="1" fillId="2" borderId="44" xfId="0" applyNumberFormat="1" applyFont="1" applyFill="1" applyBorder="1" applyAlignment="1" applyProtection="1">
      <alignment horizontal="right" vertical="center"/>
      <protection hidden="1"/>
    </xf>
    <xf numFmtId="4" fontId="1" fillId="2" borderId="45" xfId="0" applyNumberFormat="1" applyFont="1" applyFill="1" applyBorder="1" applyAlignment="1" applyProtection="1">
      <alignment horizontal="right" vertical="center"/>
      <protection hidden="1"/>
    </xf>
    <xf numFmtId="4" fontId="1" fillId="2" borderId="46" xfId="0" applyNumberFormat="1" applyFont="1" applyFill="1" applyBorder="1" applyAlignment="1" applyProtection="1">
      <alignment horizontal="right" vertical="center"/>
      <protection hidden="1"/>
    </xf>
    <xf numFmtId="4" fontId="1" fillId="2" borderId="47" xfId="0" applyNumberFormat="1" applyFont="1" applyFill="1" applyBorder="1" applyAlignment="1" applyProtection="1">
      <alignment horizontal="right" vertical="center"/>
      <protection hidden="1"/>
    </xf>
    <xf numFmtId="4" fontId="1" fillId="2" borderId="25" xfId="0" applyNumberFormat="1" applyFont="1" applyFill="1" applyBorder="1" applyAlignment="1" applyProtection="1">
      <alignment horizontal="right" vertical="center"/>
      <protection hidden="1"/>
    </xf>
    <xf numFmtId="4" fontId="1" fillId="2" borderId="48" xfId="0" applyNumberFormat="1" applyFont="1" applyFill="1" applyBorder="1" applyAlignment="1" applyProtection="1">
      <alignment horizontal="right" vertical="center"/>
      <protection hidden="1"/>
    </xf>
    <xf numFmtId="4" fontId="1" fillId="2" borderId="17" xfId="0" applyNumberFormat="1" applyFont="1" applyFill="1" applyBorder="1" applyAlignment="1" applyProtection="1">
      <alignment horizontal="right" vertical="center"/>
      <protection hidden="1"/>
    </xf>
    <xf numFmtId="4" fontId="1" fillId="2" borderId="7" xfId="0" applyNumberFormat="1" applyFont="1" applyFill="1" applyBorder="1" applyAlignment="1" applyProtection="1">
      <alignment horizontal="right" vertical="center"/>
      <protection hidden="1"/>
    </xf>
    <xf numFmtId="4" fontId="1" fillId="2" borderId="49" xfId="0" applyNumberFormat="1" applyFont="1" applyFill="1" applyBorder="1" applyAlignment="1" applyProtection="1">
      <alignment horizontal="right" vertical="center"/>
      <protection hidden="1"/>
    </xf>
    <xf numFmtId="4" fontId="1" fillId="2" borderId="50" xfId="0" applyNumberFormat="1" applyFont="1" applyFill="1" applyBorder="1" applyAlignment="1" applyProtection="1">
      <alignment horizontal="right" vertical="center"/>
      <protection hidden="1"/>
    </xf>
    <xf numFmtId="4" fontId="1" fillId="2" borderId="35" xfId="0" applyNumberFormat="1" applyFont="1" applyFill="1" applyBorder="1" applyAlignment="1" applyProtection="1">
      <alignment horizontal="right" vertical="center"/>
      <protection hidden="1"/>
    </xf>
    <xf numFmtId="4" fontId="1" fillId="2" borderId="20" xfId="0" applyNumberFormat="1" applyFont="1" applyFill="1" applyBorder="1" applyAlignment="1" applyProtection="1">
      <alignment horizontal="right" vertical="center"/>
      <protection hidden="1"/>
    </xf>
    <xf numFmtId="4" fontId="1" fillId="2" borderId="51" xfId="0" applyNumberFormat="1" applyFont="1" applyFill="1" applyBorder="1" applyAlignment="1" applyProtection="1">
      <alignment horizontal="right" vertical="center"/>
      <protection hidden="1"/>
    </xf>
    <xf numFmtId="4" fontId="3" fillId="2" borderId="5" xfId="0" applyNumberFormat="1" applyFont="1" applyFill="1" applyBorder="1" applyAlignment="1" applyProtection="1">
      <alignment horizontal="right" vertical="center"/>
      <protection hidden="1"/>
    </xf>
    <xf numFmtId="4" fontId="3" fillId="2" borderId="22" xfId="0" applyNumberFormat="1" applyFont="1" applyFill="1" applyBorder="1" applyAlignment="1" applyProtection="1">
      <alignment horizontal="right" vertical="center"/>
      <protection hidden="1"/>
    </xf>
    <xf numFmtId="4" fontId="3" fillId="2" borderId="34" xfId="0" applyNumberFormat="1" applyFont="1" applyFill="1" applyBorder="1" applyAlignment="1" applyProtection="1">
      <alignment horizontal="right" vertical="center"/>
      <protection hidden="1"/>
    </xf>
    <xf numFmtId="4" fontId="3" fillId="2" borderId="24" xfId="0" applyNumberFormat="1" applyFont="1" applyFill="1" applyBorder="1" applyAlignment="1" applyProtection="1">
      <alignment horizontal="right" vertical="center"/>
      <protection hidden="1"/>
    </xf>
    <xf numFmtId="1" fontId="3" fillId="2" borderId="6" xfId="0" applyNumberFormat="1" applyFont="1" applyFill="1" applyBorder="1" applyAlignment="1" applyProtection="1">
      <alignment horizontal="center" vertical="center"/>
      <protection hidden="1"/>
    </xf>
    <xf numFmtId="0" fontId="3" fillId="2" borderId="30" xfId="0" applyFont="1" applyFill="1" applyBorder="1" applyAlignment="1" applyProtection="1">
      <alignment horizontal="center" textRotation="90" wrapText="1"/>
      <protection hidden="1"/>
    </xf>
    <xf numFmtId="4" fontId="3" fillId="2" borderId="52" xfId="0" applyNumberFormat="1" applyFont="1" applyFill="1" applyBorder="1" applyAlignment="1" applyProtection="1">
      <alignment horizontal="center" textRotation="90" wrapText="1"/>
      <protection hidden="1"/>
    </xf>
    <xf numFmtId="4" fontId="3" fillId="2" borderId="1" xfId="0" applyNumberFormat="1" applyFont="1" applyFill="1" applyBorder="1" applyAlignment="1" applyProtection="1">
      <alignment horizontal="center" textRotation="90" wrapText="1"/>
      <protection hidden="1"/>
    </xf>
    <xf numFmtId="0" fontId="3" fillId="2" borderId="14" xfId="0" applyFont="1" applyFill="1" applyBorder="1" applyAlignment="1" applyProtection="1">
      <alignment horizontal="center" textRotation="90" wrapText="1"/>
      <protection hidden="1"/>
    </xf>
    <xf numFmtId="0" fontId="3" fillId="2" borderId="53" xfId="0" applyFont="1" applyFill="1" applyBorder="1" applyAlignment="1" applyProtection="1">
      <alignment horizontal="center" textRotation="90" wrapText="1"/>
      <protection hidden="1"/>
    </xf>
    <xf numFmtId="4" fontId="3" fillId="2" borderId="31" xfId="0" applyNumberFormat="1" applyFont="1" applyFill="1" applyBorder="1" applyAlignment="1" applyProtection="1">
      <alignment horizontal="center" textRotation="90" wrapText="1"/>
      <protection hidden="1"/>
    </xf>
    <xf numFmtId="0" fontId="3" fillId="2" borderId="25" xfId="0" applyFont="1" applyFill="1" applyBorder="1" applyAlignment="1" applyProtection="1">
      <alignment horizontal="center" textRotation="90" wrapText="1"/>
      <protection hidden="1"/>
    </xf>
    <xf numFmtId="4" fontId="3" fillId="2" borderId="39" xfId="0" applyNumberFormat="1" applyFont="1" applyFill="1" applyBorder="1" applyAlignment="1" applyProtection="1">
      <alignment horizontal="right" vertical="center"/>
      <protection hidden="1"/>
    </xf>
    <xf numFmtId="4" fontId="3" fillId="2" borderId="41" xfId="0" applyNumberFormat="1" applyFont="1" applyFill="1" applyBorder="1" applyAlignment="1" applyProtection="1">
      <alignment horizontal="right" vertical="center"/>
      <protection hidden="1"/>
    </xf>
    <xf numFmtId="4" fontId="3" fillId="2" borderId="32" xfId="0" applyNumberFormat="1" applyFont="1" applyFill="1" applyBorder="1" applyAlignment="1" applyProtection="1">
      <alignment horizontal="right" vertical="center"/>
      <protection hidden="1"/>
    </xf>
    <xf numFmtId="4" fontId="3" fillId="2" borderId="23" xfId="0" applyNumberFormat="1" applyFont="1" applyFill="1" applyBorder="1" applyAlignment="1" applyProtection="1">
      <alignment horizontal="right" vertical="center"/>
      <protection hidden="1"/>
    </xf>
    <xf numFmtId="4" fontId="3" fillId="2" borderId="54" xfId="0" applyNumberFormat="1" applyFont="1" applyFill="1" applyBorder="1" applyAlignment="1" applyProtection="1">
      <alignment horizontal="right" vertical="center"/>
      <protection hidden="1"/>
    </xf>
    <xf numFmtId="4" fontId="3" fillId="2" borderId="40" xfId="0" applyNumberFormat="1" applyFont="1" applyFill="1" applyBorder="1" applyAlignment="1" applyProtection="1">
      <alignment horizontal="right" vertical="center"/>
      <protection hidden="1"/>
    </xf>
    <xf numFmtId="4" fontId="3" fillId="2" borderId="6" xfId="0" applyNumberFormat="1" applyFont="1" applyFill="1" applyBorder="1" applyAlignment="1" applyProtection="1">
      <alignment horizontal="right" vertical="center"/>
      <protection hidden="1"/>
    </xf>
    <xf numFmtId="4" fontId="6" fillId="2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left" vertical="center"/>
      <protection/>
    </xf>
    <xf numFmtId="0" fontId="2" fillId="4" borderId="0" xfId="0" applyFont="1" applyFill="1" applyBorder="1" applyAlignment="1" applyProtection="1">
      <alignment horizontal="left" vertical="center" wrapText="1"/>
      <protection hidden="1"/>
    </xf>
    <xf numFmtId="0" fontId="2" fillId="4" borderId="55" xfId="0" applyFont="1" applyFill="1" applyBorder="1" applyAlignment="1" applyProtection="1">
      <alignment horizontal="left" vertical="center" wrapText="1"/>
      <protection hidden="1"/>
    </xf>
    <xf numFmtId="0" fontId="2" fillId="4" borderId="56" xfId="0" applyFont="1" applyFill="1" applyBorder="1" applyAlignment="1" applyProtection="1">
      <alignment horizontal="left" vertical="center" wrapText="1"/>
      <protection hidden="1"/>
    </xf>
    <xf numFmtId="1" fontId="2" fillId="4" borderId="56" xfId="0" applyNumberFormat="1" applyFont="1" applyFill="1" applyBorder="1" applyAlignment="1" applyProtection="1">
      <alignment horizontal="left" vertical="center" wrapText="1"/>
      <protection hidden="1"/>
    </xf>
    <xf numFmtId="4" fontId="2" fillId="4" borderId="56" xfId="0" applyNumberFormat="1" applyFont="1" applyFill="1" applyBorder="1" applyAlignment="1" applyProtection="1">
      <alignment horizontal="left" vertical="center" wrapText="1"/>
      <protection hidden="1"/>
    </xf>
    <xf numFmtId="0" fontId="2" fillId="4" borderId="56" xfId="0" applyFont="1" applyFill="1" applyBorder="1" applyAlignment="1" applyProtection="1">
      <alignment horizontal="left" vertical="center"/>
      <protection hidden="1"/>
    </xf>
    <xf numFmtId="0" fontId="5" fillId="5" borderId="26" xfId="0" applyFont="1" applyFill="1" applyBorder="1" applyAlignment="1" applyProtection="1">
      <alignment horizontal="center" vertical="center"/>
      <protection/>
    </xf>
    <xf numFmtId="1" fontId="2" fillId="5" borderId="57" xfId="0" applyNumberFormat="1" applyFont="1" applyFill="1" applyBorder="1" applyAlignment="1" applyProtection="1">
      <alignment horizontal="center" vertical="center"/>
      <protection/>
    </xf>
    <xf numFmtId="4" fontId="2" fillId="5" borderId="10" xfId="0" applyNumberFormat="1" applyFont="1" applyFill="1" applyBorder="1" applyAlignment="1" applyProtection="1">
      <alignment horizontal="right" vertical="center"/>
      <protection/>
    </xf>
    <xf numFmtId="1" fontId="2" fillId="5" borderId="7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1" fontId="2" fillId="0" borderId="31" xfId="0" applyNumberFormat="1" applyFont="1" applyFill="1" applyBorder="1" applyAlignment="1" applyProtection="1">
      <alignment horizontal="center" vertical="center"/>
      <protection hidden="1"/>
    </xf>
    <xf numFmtId="1" fontId="2" fillId="0" borderId="2" xfId="0" applyNumberFormat="1" applyFont="1" applyFill="1" applyBorder="1" applyAlignment="1" applyProtection="1">
      <alignment horizontal="center" vertical="center"/>
      <protection hidden="1"/>
    </xf>
    <xf numFmtId="1" fontId="2" fillId="0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right" vertical="center"/>
      <protection hidden="1"/>
    </xf>
    <xf numFmtId="0" fontId="2" fillId="2" borderId="4" xfId="0" applyFont="1" applyFill="1" applyBorder="1" applyAlignment="1" applyProtection="1">
      <alignment horizontal="right" vertical="center"/>
      <protection hidden="1"/>
    </xf>
    <xf numFmtId="0" fontId="2" fillId="2" borderId="5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72" fontId="2" fillId="0" borderId="0" xfId="0" applyNumberFormat="1" applyFont="1" applyFill="1" applyAlignment="1" applyProtection="1">
      <alignment horizontal="left" vertical="center"/>
      <protection hidden="1"/>
    </xf>
    <xf numFmtId="172" fontId="2" fillId="0" borderId="0" xfId="0" applyNumberFormat="1" applyFont="1" applyFill="1" applyBorder="1" applyAlignment="1" applyProtection="1">
      <alignment horizontal="center" vertical="center"/>
      <protection hidden="1"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73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172" fontId="2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172" fontId="0" fillId="0" borderId="60" xfId="0" applyNumberFormat="1" applyBorder="1" applyAlignment="1" applyProtection="1">
      <alignment horizontal="center"/>
      <protection hidden="1"/>
    </xf>
    <xf numFmtId="0" fontId="0" fillId="0" borderId="61" xfId="0" applyNumberFormat="1" applyBorder="1" applyAlignment="1" applyProtection="1">
      <alignment horizontal="center"/>
      <protection hidden="1"/>
    </xf>
    <xf numFmtId="170" fontId="0" fillId="0" borderId="61" xfId="0" applyNumberFormat="1" applyBorder="1" applyAlignment="1" applyProtection="1">
      <alignment horizontal="center"/>
      <protection hidden="1"/>
    </xf>
    <xf numFmtId="0" fontId="0" fillId="0" borderId="62" xfId="0" applyNumberFormat="1" applyBorder="1" applyAlignment="1" applyProtection="1">
      <alignment horizontal="center"/>
      <protection hidden="1"/>
    </xf>
    <xf numFmtId="165" fontId="2" fillId="0" borderId="63" xfId="0" applyNumberFormat="1" applyFont="1" applyFill="1" applyBorder="1" applyAlignment="1" applyProtection="1">
      <alignment horizontal="center" vertical="center"/>
      <protection hidden="1"/>
    </xf>
    <xf numFmtId="170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30" xfId="0" applyNumberFormat="1" applyBorder="1" applyAlignment="1" applyProtection="1">
      <alignment horizontal="center"/>
      <protection hidden="1"/>
    </xf>
    <xf numFmtId="1" fontId="0" fillId="0" borderId="30" xfId="0" applyNumberFormat="1" applyBorder="1" applyAlignment="1" applyProtection="1">
      <alignment horizontal="center"/>
      <protection hidden="1"/>
    </xf>
    <xf numFmtId="170" fontId="0" fillId="0" borderId="30" xfId="0" applyNumberFormat="1" applyBorder="1" applyAlignment="1" applyProtection="1">
      <alignment horizontal="center"/>
      <protection hidden="1"/>
    </xf>
    <xf numFmtId="173" fontId="0" fillId="0" borderId="25" xfId="0" applyNumberFormat="1" applyBorder="1" applyAlignment="1" applyProtection="1">
      <alignment horizontal="center"/>
      <protection hidden="1"/>
    </xf>
    <xf numFmtId="0" fontId="0" fillId="0" borderId="16" xfId="0" applyNumberFormat="1" applyBorder="1" applyAlignment="1" applyProtection="1">
      <alignment horizontal="center"/>
      <protection hidden="1"/>
    </xf>
    <xf numFmtId="0" fontId="0" fillId="0" borderId="18" xfId="0" applyNumberFormat="1" applyBorder="1" applyAlignment="1" applyProtection="1">
      <alignment horizontal="center"/>
      <protection hidden="1"/>
    </xf>
    <xf numFmtId="165" fontId="2" fillId="0" borderId="56" xfId="0" applyNumberFormat="1" applyFont="1" applyFill="1" applyBorder="1" applyAlignment="1" applyProtection="1">
      <alignment horizontal="center" vertical="center"/>
      <protection hidden="1"/>
    </xf>
    <xf numFmtId="165" fontId="2" fillId="0" borderId="64" xfId="0" applyNumberFormat="1" applyFont="1" applyFill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NumberFormat="1" applyBorder="1" applyAlignment="1" applyProtection="1">
      <alignment horizontal="center"/>
      <protection hidden="1"/>
    </xf>
    <xf numFmtId="0" fontId="0" fillId="0" borderId="34" xfId="0" applyNumberFormat="1" applyBorder="1" applyAlignment="1" applyProtection="1">
      <alignment horizontal="center"/>
      <protection hidden="1"/>
    </xf>
    <xf numFmtId="0" fontId="0" fillId="0" borderId="23" xfId="0" applyNumberFormat="1" applyBorder="1" applyAlignment="1" applyProtection="1">
      <alignment horizontal="center"/>
      <protection hidden="1"/>
    </xf>
    <xf numFmtId="168" fontId="0" fillId="0" borderId="0" xfId="0" applyNumberFormat="1" applyBorder="1" applyAlignment="1" applyProtection="1">
      <alignment horizontal="center" vertical="center"/>
      <protection hidden="1"/>
    </xf>
    <xf numFmtId="168" fontId="2" fillId="0" borderId="0" xfId="0" applyNumberFormat="1" applyFont="1" applyFill="1" applyAlignment="1" applyProtection="1">
      <alignment horizontal="center" vertical="center"/>
      <protection hidden="1"/>
    </xf>
    <xf numFmtId="1" fontId="2" fillId="0" borderId="5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Font="1" applyFill="1" applyBorder="1" applyAlignment="1" applyProtection="1">
      <alignment horizontal="left" vertical="center"/>
      <protection hidden="1"/>
    </xf>
    <xf numFmtId="1" fontId="0" fillId="0" borderId="0" xfId="0" applyNumberFormat="1" applyFill="1" applyBorder="1" applyAlignment="1" applyProtection="1">
      <alignment horizontal="left"/>
      <protection hidden="1"/>
    </xf>
    <xf numFmtId="1" fontId="2" fillId="0" borderId="30" xfId="0" applyNumberFormat="1" applyFont="1" applyFill="1" applyBorder="1" applyAlignment="1" applyProtection="1">
      <alignment horizontal="center" vertical="center"/>
      <protection hidden="1"/>
    </xf>
    <xf numFmtId="1" fontId="2" fillId="0" borderId="31" xfId="0" applyNumberFormat="1" applyFont="1" applyFill="1" applyBorder="1" applyAlignment="1" applyProtection="1">
      <alignment horizontal="center" vertical="center"/>
      <protection/>
    </xf>
    <xf numFmtId="1" fontId="2" fillId="0" borderId="1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 hidden="1"/>
    </xf>
    <xf numFmtId="1" fontId="2" fillId="0" borderId="22" xfId="0" applyNumberFormat="1" applyFont="1" applyFill="1" applyBorder="1" applyAlignment="1" applyProtection="1">
      <alignment horizontal="center" vertical="center"/>
      <protection hidden="1"/>
    </xf>
    <xf numFmtId="1" fontId="2" fillId="0" borderId="23" xfId="0" applyNumberFormat="1" applyFont="1" applyFill="1" applyBorder="1" applyAlignment="1" applyProtection="1">
      <alignment horizontal="center" vertical="center"/>
      <protection hidden="1"/>
    </xf>
    <xf numFmtId="173" fontId="2" fillId="0" borderId="54" xfId="0" applyNumberFormat="1" applyFont="1" applyFill="1" applyBorder="1" applyAlignment="1" applyProtection="1">
      <alignment horizontal="left" vertical="center"/>
      <protection hidden="1"/>
    </xf>
    <xf numFmtId="173" fontId="2" fillId="0" borderId="0" xfId="0" applyNumberFormat="1" applyFont="1" applyFill="1" applyBorder="1" applyAlignment="1" applyProtection="1">
      <alignment horizontal="left" vertical="center"/>
      <protection hidden="1"/>
    </xf>
    <xf numFmtId="180" fontId="2" fillId="4" borderId="0" xfId="0" applyNumberFormat="1" applyFont="1" applyFill="1" applyBorder="1" applyAlignment="1" applyProtection="1">
      <alignment horizontal="center" vertical="center"/>
      <protection/>
    </xf>
    <xf numFmtId="1" fontId="2" fillId="4" borderId="0" xfId="0" applyNumberFormat="1" applyFont="1" applyFill="1" applyBorder="1" applyAlignment="1" applyProtection="1">
      <alignment horizontal="center" vertical="center"/>
      <protection/>
    </xf>
    <xf numFmtId="0" fontId="0" fillId="4" borderId="0" xfId="0" applyFill="1" applyBorder="1" applyAlignment="1">
      <alignment horizontal="center" vertical="center"/>
    </xf>
    <xf numFmtId="173" fontId="2" fillId="4" borderId="0" xfId="0" applyNumberFormat="1" applyFont="1" applyFill="1" applyBorder="1" applyAlignment="1" applyProtection="1">
      <alignment horizontal="right" vertical="center"/>
      <protection hidden="1"/>
    </xf>
    <xf numFmtId="173" fontId="2" fillId="2" borderId="1" xfId="0" applyNumberFormat="1" applyFont="1" applyFill="1" applyBorder="1" applyAlignment="1" applyProtection="1">
      <alignment horizontal="right" vertical="center"/>
      <protection hidden="1"/>
    </xf>
    <xf numFmtId="173" fontId="2" fillId="2" borderId="18" xfId="0" applyNumberFormat="1" applyFont="1" applyFill="1" applyBorder="1" applyAlignment="1" applyProtection="1">
      <alignment horizontal="right" vertical="center"/>
      <protection hidden="1"/>
    </xf>
    <xf numFmtId="173" fontId="2" fillId="2" borderId="23" xfId="0" applyNumberFormat="1" applyFont="1" applyFill="1" applyBorder="1" applyAlignment="1" applyProtection="1">
      <alignment horizontal="right" vertical="center"/>
      <protection hidden="1"/>
    </xf>
    <xf numFmtId="0" fontId="2" fillId="2" borderId="25" xfId="0" applyFont="1" applyFill="1" applyBorder="1" applyAlignment="1" applyProtection="1">
      <alignment horizontal="left" vertical="center"/>
      <protection hidden="1"/>
    </xf>
    <xf numFmtId="1" fontId="2" fillId="0" borderId="65" xfId="0" applyNumberFormat="1" applyFont="1" applyFill="1" applyBorder="1" applyAlignment="1" applyProtection="1">
      <alignment horizontal="center" vertical="center"/>
      <protection hidden="1"/>
    </xf>
    <xf numFmtId="1" fontId="2" fillId="0" borderId="66" xfId="0" applyNumberFormat="1" applyFont="1" applyFill="1" applyBorder="1" applyAlignment="1" applyProtection="1">
      <alignment horizontal="center" vertical="center"/>
      <protection hidden="1"/>
    </xf>
    <xf numFmtId="1" fontId="2" fillId="0" borderId="67" xfId="0" applyNumberFormat="1" applyFont="1" applyFill="1" applyBorder="1" applyAlignment="1" applyProtection="1">
      <alignment horizontal="center" vertical="center"/>
      <protection hidden="1"/>
    </xf>
    <xf numFmtId="1" fontId="2" fillId="0" borderId="8" xfId="0" applyNumberFormat="1" applyFont="1" applyFill="1" applyBorder="1" applyAlignment="1" applyProtection="1">
      <alignment horizontal="center" vertical="center"/>
      <protection hidden="1"/>
    </xf>
    <xf numFmtId="1" fontId="2" fillId="0" borderId="55" xfId="0" applyNumberFormat="1" applyFont="1" applyFill="1" applyBorder="1" applyAlignment="1" applyProtection="1">
      <alignment horizontal="center" vertical="center"/>
      <protection hidden="1"/>
    </xf>
    <xf numFmtId="1" fontId="2" fillId="0" borderId="68" xfId="0" applyNumberFormat="1" applyFont="1" applyFill="1" applyBorder="1" applyAlignment="1" applyProtection="1">
      <alignment horizontal="center" vertical="center"/>
      <protection hidden="1"/>
    </xf>
    <xf numFmtId="1" fontId="2" fillId="0" borderId="54" xfId="0" applyNumberFormat="1" applyFont="1" applyFill="1" applyBorder="1" applyAlignment="1" applyProtection="1">
      <alignment horizontal="center" vertical="center"/>
      <protection hidden="1"/>
    </xf>
    <xf numFmtId="1" fontId="2" fillId="0" borderId="69" xfId="0" applyNumberFormat="1" applyFont="1" applyFill="1" applyBorder="1" applyAlignment="1" applyProtection="1">
      <alignment horizontal="center" vertical="center"/>
      <protection hidden="1"/>
    </xf>
    <xf numFmtId="0" fontId="2" fillId="0" borderId="65" xfId="0" applyFont="1" applyFill="1" applyBorder="1" applyAlignment="1" applyProtection="1">
      <alignment horizontal="center" vertical="center"/>
      <protection hidden="1"/>
    </xf>
    <xf numFmtId="0" fontId="2" fillId="0" borderId="66" xfId="0" applyFont="1" applyFill="1" applyBorder="1" applyAlignment="1" applyProtection="1">
      <alignment horizontal="center" vertical="center"/>
      <protection hidden="1"/>
    </xf>
    <xf numFmtId="0" fontId="2" fillId="0" borderId="67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2" fillId="0" borderId="68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2" fillId="0" borderId="69" xfId="0" applyFont="1" applyFill="1" applyBorder="1" applyAlignment="1" applyProtection="1">
      <alignment horizontal="center" vertical="center"/>
      <protection hidden="1"/>
    </xf>
    <xf numFmtId="180" fontId="2" fillId="5" borderId="7" xfId="0" applyNumberFormat="1" applyFont="1" applyFill="1" applyBorder="1" applyAlignment="1" applyProtection="1">
      <alignment horizontal="center" vertical="center"/>
      <protection/>
    </xf>
    <xf numFmtId="0" fontId="1" fillId="2" borderId="3" xfId="0" applyFont="1" applyFill="1" applyBorder="1" applyAlignment="1" applyProtection="1">
      <alignment horizontal="right" vertical="center"/>
      <protection hidden="1"/>
    </xf>
    <xf numFmtId="0" fontId="1" fillId="2" borderId="53" xfId="0" applyFont="1" applyFill="1" applyBorder="1" applyAlignment="1" applyProtection="1">
      <alignment horizontal="right" vertical="center"/>
      <protection hidden="1"/>
    </xf>
    <xf numFmtId="0" fontId="3" fillId="2" borderId="64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>
      <alignment horizontal="center" vertical="center"/>
    </xf>
    <xf numFmtId="0" fontId="2" fillId="5" borderId="70" xfId="0" applyFont="1" applyFill="1" applyBorder="1" applyAlignment="1" applyProtection="1">
      <alignment horizontal="left" vertical="center" wrapText="1"/>
      <protection/>
    </xf>
    <xf numFmtId="0" fontId="2" fillId="5" borderId="48" xfId="0" applyFont="1" applyFill="1" applyBorder="1" applyAlignment="1" applyProtection="1">
      <alignment horizontal="left" vertical="center" wrapText="1"/>
      <protection/>
    </xf>
    <xf numFmtId="0" fontId="2" fillId="2" borderId="71" xfId="0" applyFont="1" applyFill="1" applyBorder="1" applyAlignment="1" applyProtection="1">
      <alignment horizontal="center" vertical="center"/>
      <protection hidden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173" fontId="2" fillId="0" borderId="0" xfId="0" applyNumberFormat="1" applyFont="1" applyFill="1" applyBorder="1" applyAlignment="1" applyProtection="1">
      <alignment horizontal="center" vertical="center"/>
      <protection hidden="1"/>
    </xf>
    <xf numFmtId="173" fontId="0" fillId="0" borderId="0" xfId="0" applyNumberFormat="1" applyBorder="1" applyAlignment="1">
      <alignment horizontal="center" vertical="center"/>
    </xf>
    <xf numFmtId="170" fontId="2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173" fontId="2" fillId="0" borderId="71" xfId="0" applyNumberFormat="1" applyFont="1" applyFill="1" applyBorder="1" applyAlignment="1" applyProtection="1">
      <alignment horizontal="center" vertical="center"/>
      <protection hidden="1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164" fontId="1" fillId="2" borderId="3" xfId="0" applyNumberFormat="1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4" fontId="1" fillId="2" borderId="5" xfId="0" applyNumberFormat="1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/>
      <protection hidden="1"/>
    </xf>
    <xf numFmtId="0" fontId="6" fillId="2" borderId="63" xfId="0" applyFont="1" applyFill="1" applyBorder="1" applyAlignment="1" applyProtection="1">
      <alignment horizontal="center" vertical="center"/>
      <protection hidden="1"/>
    </xf>
    <xf numFmtId="0" fontId="6" fillId="2" borderId="64" xfId="0" applyFont="1" applyFill="1" applyBorder="1" applyAlignment="1" applyProtection="1">
      <alignment horizontal="center" vertical="center"/>
      <protection hidden="1"/>
    </xf>
    <xf numFmtId="0" fontId="1" fillId="2" borderId="65" xfId="0" applyFont="1" applyFill="1" applyBorder="1" applyAlignment="1" applyProtection="1">
      <alignment horizontal="right" vertical="center"/>
      <protection hidden="1"/>
    </xf>
    <xf numFmtId="0" fontId="1" fillId="2" borderId="66" xfId="0" applyFont="1" applyFill="1" applyBorder="1" applyAlignment="1" applyProtection="1">
      <alignment/>
      <protection hidden="1"/>
    </xf>
    <xf numFmtId="0" fontId="6" fillId="2" borderId="66" xfId="0" applyFont="1" applyFill="1" applyBorder="1" applyAlignment="1" applyProtection="1">
      <alignment horizontal="left" vertical="center"/>
      <protection hidden="1"/>
    </xf>
    <xf numFmtId="0" fontId="6" fillId="2" borderId="67" xfId="0" applyFont="1" applyFill="1" applyBorder="1" applyAlignment="1" applyProtection="1">
      <alignment horizontal="left" vertical="center"/>
      <protection hidden="1"/>
    </xf>
    <xf numFmtId="0" fontId="1" fillId="2" borderId="68" xfId="0" applyFont="1" applyFill="1" applyBorder="1" applyAlignment="1" applyProtection="1">
      <alignment horizontal="right" vertical="center"/>
      <protection hidden="1"/>
    </xf>
    <xf numFmtId="0" fontId="1" fillId="2" borderId="54" xfId="0" applyFont="1" applyFill="1" applyBorder="1" applyAlignment="1" applyProtection="1">
      <alignment horizontal="right"/>
      <protection hidden="1"/>
    </xf>
    <xf numFmtId="0" fontId="6" fillId="2" borderId="54" xfId="0" applyFont="1" applyFill="1" applyBorder="1" applyAlignment="1" applyProtection="1">
      <alignment horizontal="left" vertical="center"/>
      <protection hidden="1"/>
    </xf>
    <xf numFmtId="0" fontId="6" fillId="2" borderId="69" xfId="0" applyFont="1" applyFill="1" applyBorder="1" applyAlignment="1" applyProtection="1">
      <alignment horizontal="left" vertical="center"/>
      <protection hidden="1"/>
    </xf>
    <xf numFmtId="0" fontId="3" fillId="2" borderId="63" xfId="0" applyFont="1" applyFill="1" applyBorder="1" applyAlignment="1" applyProtection="1">
      <alignment horizontal="center" vertical="center" wrapText="1"/>
      <protection hidden="1"/>
    </xf>
    <xf numFmtId="0" fontId="1" fillId="2" borderId="63" xfId="0" applyFont="1" applyFill="1" applyBorder="1" applyAlignment="1" applyProtection="1">
      <alignment horizontal="center" textRotation="90" wrapText="1"/>
      <protection hidden="1"/>
    </xf>
    <xf numFmtId="0" fontId="1" fillId="2" borderId="56" xfId="0" applyFont="1" applyFill="1" applyBorder="1" applyAlignment="1" applyProtection="1">
      <alignment horizontal="center" textRotation="90" wrapText="1"/>
      <protection hidden="1"/>
    </xf>
    <xf numFmtId="0" fontId="1" fillId="2" borderId="64" xfId="0" applyFont="1" applyFill="1" applyBorder="1" applyAlignment="1" applyProtection="1">
      <alignment wrapText="1"/>
      <protection hidden="1"/>
    </xf>
    <xf numFmtId="4" fontId="1" fillId="2" borderId="63" xfId="0" applyNumberFormat="1" applyFont="1" applyFill="1" applyBorder="1" applyAlignment="1" applyProtection="1">
      <alignment horizontal="center" vertical="center" wrapText="1"/>
      <protection hidden="1"/>
    </xf>
    <xf numFmtId="4" fontId="1" fillId="2" borderId="56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/>
      <protection hidden="1"/>
    </xf>
    <xf numFmtId="0" fontId="1" fillId="2" borderId="14" xfId="0" applyFont="1" applyFill="1" applyBorder="1" applyAlignment="1" applyProtection="1">
      <alignment/>
      <protection hidden="1"/>
    </xf>
    <xf numFmtId="0" fontId="1" fillId="2" borderId="64" xfId="0" applyFont="1" applyFill="1" applyBorder="1" applyAlignment="1" applyProtection="1">
      <alignment horizontal="center" wrapText="1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2" borderId="48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 wrapText="1"/>
      <protection hidden="1"/>
    </xf>
    <xf numFmtId="0" fontId="1" fillId="2" borderId="48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Costi!$E$13</c:f>
              <c:strCache>
                <c:ptCount val="1"/>
                <c:pt idx="0">
                  <c:v>Spesa senza 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Costi!$E$15:$E$23</c:f>
              <c:numCache>
                <c:ptCount val="9"/>
              </c:numCache>
            </c:numRef>
          </c:val>
        </c:ser>
        <c:ser>
          <c:idx val="1"/>
          <c:order val="1"/>
          <c:tx>
            <c:strRef>
              <c:f>Costi!$F$13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Costi!$F$15:$F$23</c:f>
              <c:numCache>
                <c:ptCount val="9"/>
              </c:numCache>
            </c:numRef>
          </c:val>
        </c:ser>
        <c:ser>
          <c:idx val="2"/>
          <c:order val="2"/>
          <c:tx>
            <c:strRef>
              <c:f>Costi!$G$14</c:f>
              <c:strCache>
                <c:ptCount val="1"/>
                <c:pt idx="0">
                  <c:v>Imponibile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Costi!$G$15:$G$23</c:f>
              <c:numCache>
                <c:ptCount val="9"/>
              </c:numCache>
            </c:numRef>
          </c:val>
        </c:ser>
        <c:ser>
          <c:idx val="3"/>
          <c:order val="3"/>
          <c:tx>
            <c:strRef>
              <c:f>Costi!$H$14</c:f>
              <c:strCache>
                <c:ptCount val="1"/>
                <c:pt idx="0">
                  <c:v>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Costi!$H$15:$H$23</c:f>
              <c:numCache>
                <c:ptCount val="9"/>
              </c:numCache>
            </c:numRef>
          </c:val>
        </c:ser>
        <c:ser>
          <c:idx val="4"/>
          <c:order val="4"/>
          <c:tx>
            <c:strRef>
              <c:f>Costi!$I$12</c:f>
              <c:strCache>
                <c:ptCount val="1"/>
                <c:pt idx="0">
                  <c:v>Totali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Costi!$I$15:$I$23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Costi!$J$14</c:f>
              <c:strCache>
                <c:ptCount val="1"/>
                <c:pt idx="0">
                  <c:v>Quota
Privato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Costi!$J$15:$J$23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tx>
            <c:strRef>
              <c:f>Costi!$K$14</c:f>
              <c:strCache>
                <c:ptCount val="1"/>
                <c:pt idx="0">
                  <c:v>Quota
Regione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Costi!$K$15:$K$23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7"/>
          <c:tx>
            <c:strRef>
              <c:f>Costi!$L$14</c:f>
              <c:strCache>
                <c:ptCount val="1"/>
                <c:pt idx="0">
                  <c:v>Recupero
Anticipazione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Costi!$L$15:$L$23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8"/>
          <c:order val="8"/>
          <c:tx>
            <c:strRef>
              <c:f>Costi!$M$14</c:f>
              <c:strCache>
                <c:ptCount val="1"/>
                <c:pt idx="0">
                  <c:v>Liquidazione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Costi!$M$15:$M$23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9"/>
          <c:order val="9"/>
          <c:tx>
            <c:strRef>
              <c:f>Costi!$N$12</c:f>
              <c:strCache>
                <c:ptCount val="1"/>
                <c:pt idx="0">
                  <c:v>% Spesa SAL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Costi!$N$15:$N$23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8482755"/>
        <c:axId val="32127068"/>
      </c:barChart>
      <c:catAx>
        <c:axId val="18482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27068"/>
        <c:crosses val="autoZero"/>
        <c:auto val="1"/>
        <c:lblOffset val="100"/>
        <c:noMultiLvlLbl val="0"/>
      </c:catAx>
      <c:valAx>
        <c:axId val="321270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827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Chart 1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64"/>
  <sheetViews>
    <sheetView showGridLines="0" showRowColHeaders="0" showZeros="0" showOutlineSymbols="0" zoomScale="90" zoomScaleNormal="90" workbookViewId="0" topLeftCell="A1">
      <selection activeCell="A1" sqref="A1"/>
    </sheetView>
  </sheetViews>
  <sheetFormatPr defaultColWidth="9.140625" defaultRowHeight="12.75"/>
  <cols>
    <col min="1" max="1" width="8.28125" style="39" customWidth="1"/>
    <col min="2" max="2" width="3.421875" style="39" customWidth="1"/>
    <col min="3" max="3" width="37.00390625" style="39" customWidth="1"/>
    <col min="4" max="4" width="2.140625" style="39" customWidth="1"/>
    <col min="5" max="5" width="3.28125" style="40" customWidth="1"/>
    <col min="6" max="6" width="14.00390625" style="39" customWidth="1"/>
    <col min="7" max="7" width="44.28125" style="39" customWidth="1"/>
    <col min="8" max="9" width="2.7109375" style="39" customWidth="1"/>
    <col min="10" max="10" width="14.140625" style="39" customWidth="1"/>
    <col min="11" max="11" width="2.140625" style="41" customWidth="1"/>
    <col min="12" max="12" width="17.8515625" style="39" customWidth="1"/>
    <col min="13" max="14" width="3.7109375" style="39" customWidth="1"/>
    <col min="15" max="15" width="13.7109375" style="39" customWidth="1"/>
    <col min="16" max="16" width="5.28125" style="45" hidden="1" customWidth="1"/>
    <col min="17" max="17" width="5.28125" style="39" hidden="1" customWidth="1"/>
    <col min="18" max="19" width="9.28125" style="39" hidden="1" customWidth="1"/>
    <col min="20" max="20" width="18.140625" style="39" hidden="1" customWidth="1"/>
    <col min="21" max="21" width="3.7109375" style="39" hidden="1" customWidth="1"/>
    <col min="22" max="22" width="18.140625" style="39" hidden="1" customWidth="1"/>
    <col min="23" max="23" width="5.28125" style="45" hidden="1" customWidth="1"/>
    <col min="24" max="24" width="21.28125" style="39" hidden="1" customWidth="1"/>
    <col min="25" max="25" width="2.140625" style="39" hidden="1" customWidth="1"/>
    <col min="26" max="26" width="13.28125" style="39" hidden="1" customWidth="1"/>
    <col min="27" max="27" width="5.140625" style="45" hidden="1" customWidth="1"/>
    <col min="28" max="28" width="2.421875" style="39" hidden="1" customWidth="1"/>
    <col min="29" max="29" width="11.140625" style="7" hidden="1" customWidth="1"/>
    <col min="30" max="30" width="11.28125" style="7" hidden="1" customWidth="1"/>
    <col min="31" max="31" width="11.8515625" style="7" hidden="1" customWidth="1"/>
    <col min="32" max="32" width="11.57421875" style="7" hidden="1" customWidth="1"/>
    <col min="33" max="33" width="10.57421875" style="7" hidden="1" customWidth="1"/>
    <col min="34" max="34" width="10.421875" style="7" hidden="1" customWidth="1"/>
    <col min="35" max="35" width="10.7109375" style="27" hidden="1" customWidth="1"/>
    <col min="36" max="36" width="10.28125" style="36" hidden="1" customWidth="1"/>
    <col min="37" max="37" width="7.8515625" style="27" hidden="1" customWidth="1"/>
    <col min="38" max="44" width="3.7109375" style="7" hidden="1" customWidth="1"/>
    <col min="45" max="45" width="3.7109375" style="27" hidden="1" customWidth="1"/>
    <col min="46" max="46" width="3.7109375" style="30" hidden="1" customWidth="1"/>
    <col min="47" max="50" width="3.7109375" style="40" hidden="1" customWidth="1"/>
    <col min="51" max="51" width="12.00390625" style="40" hidden="1" customWidth="1"/>
    <col min="52" max="52" width="12.140625" style="40" hidden="1" customWidth="1"/>
    <col min="53" max="53" width="12.28125" style="40" hidden="1" customWidth="1"/>
    <col min="54" max="54" width="10.00390625" style="40" hidden="1" customWidth="1"/>
    <col min="55" max="55" width="9.7109375" style="40" hidden="1" customWidth="1"/>
    <col min="56" max="56" width="9.28125" style="40" hidden="1" customWidth="1"/>
    <col min="57" max="57" width="9.57421875" style="40" hidden="1" customWidth="1"/>
    <col min="58" max="61" width="3.7109375" style="40" hidden="1" customWidth="1"/>
    <col min="62" max="62" width="4.57421875" style="41" hidden="1" customWidth="1"/>
    <col min="63" max="65" width="3.57421875" style="39" hidden="1" customWidth="1"/>
    <col min="66" max="66" width="6.421875" style="39" hidden="1" customWidth="1"/>
    <col min="67" max="67" width="4.140625" style="39" hidden="1" customWidth="1"/>
    <col min="68" max="86" width="3.57421875" style="39" hidden="1" customWidth="1"/>
    <col min="87" max="87" width="1.28515625" style="39" hidden="1" customWidth="1"/>
    <col min="88" max="88" width="4.421875" style="192" hidden="1" customWidth="1"/>
    <col min="89" max="89" width="10.28125" style="186" hidden="1" customWidth="1"/>
    <col min="90" max="90" width="1.28515625" style="39" hidden="1" customWidth="1"/>
    <col min="91" max="91" width="4.421875" style="192" hidden="1" customWidth="1"/>
    <col min="92" max="92" width="5.421875" style="192" hidden="1" customWidth="1"/>
    <col min="93" max="93" width="5.8515625" style="192" hidden="1" customWidth="1"/>
    <col min="94" max="94" width="10.28125" style="186" hidden="1" customWidth="1"/>
    <col min="95" max="95" width="1.28515625" style="39" customWidth="1"/>
    <col min="96" max="96" width="4.421875" style="192" customWidth="1"/>
    <col min="97" max="97" width="5.421875" style="192" customWidth="1"/>
    <col min="98" max="98" width="5.8515625" style="192" customWidth="1"/>
    <col min="99" max="99" width="10.28125" style="186" customWidth="1"/>
    <col min="100" max="100" width="1.28515625" style="39" customWidth="1"/>
    <col min="101" max="101" width="4.421875" style="192" customWidth="1"/>
    <col min="102" max="102" width="5.421875" style="192" customWidth="1"/>
    <col min="103" max="103" width="5.8515625" style="192" customWidth="1"/>
    <col min="104" max="104" width="10.28125" style="186" customWidth="1"/>
    <col min="105" max="105" width="1.28515625" style="39" customWidth="1"/>
    <col min="106" max="106" width="4.421875" style="192" customWidth="1"/>
    <col min="107" max="107" width="5.421875" style="192" customWidth="1"/>
    <col min="108" max="108" width="5.8515625" style="192" customWidth="1"/>
    <col min="109" max="109" width="10.28125" style="186" customWidth="1"/>
    <col min="110" max="110" width="1.28515625" style="39" customWidth="1"/>
    <col min="111" max="111" width="4.421875" style="192" customWidth="1"/>
    <col min="112" max="112" width="5.421875" style="192" customWidth="1"/>
    <col min="113" max="113" width="5.8515625" style="192" customWidth="1"/>
    <col min="114" max="114" width="10.28125" style="186" customWidth="1"/>
    <col min="115" max="115" width="1.28515625" style="39" customWidth="1"/>
    <col min="116" max="116" width="4.421875" style="192" customWidth="1"/>
    <col min="117" max="117" width="5.421875" style="192" customWidth="1"/>
    <col min="118" max="118" width="5.8515625" style="192" customWidth="1"/>
    <col min="119" max="119" width="10.28125" style="186" customWidth="1"/>
    <col min="120" max="120" width="1.28515625" style="39" customWidth="1"/>
    <col min="121" max="121" width="4.421875" style="192" customWidth="1"/>
    <col min="122" max="122" width="5.421875" style="192" customWidth="1"/>
    <col min="123" max="123" width="5.8515625" style="192" customWidth="1"/>
    <col min="124" max="124" width="10.28125" style="186" customWidth="1"/>
    <col min="125" max="125" width="1.28515625" style="39" customWidth="1"/>
    <col min="126" max="126" width="4.421875" style="192" customWidth="1"/>
    <col min="127" max="127" width="5.421875" style="192" customWidth="1"/>
    <col min="128" max="128" width="5.8515625" style="192" customWidth="1"/>
    <col min="129" max="129" width="10.28125" style="186" customWidth="1"/>
    <col min="130" max="130" width="1.28515625" style="39" customWidth="1"/>
    <col min="131" max="131" width="4.421875" style="192" customWidth="1"/>
    <col min="132" max="132" width="5.421875" style="192" customWidth="1"/>
    <col min="133" max="133" width="5.8515625" style="192" customWidth="1"/>
    <col min="134" max="134" width="10.28125" style="186" customWidth="1"/>
    <col min="135" max="135" width="1.28515625" style="39" customWidth="1"/>
    <col min="136" max="136" width="4.421875" style="192" customWidth="1"/>
    <col min="137" max="137" width="5.421875" style="192" customWidth="1"/>
    <col min="138" max="138" width="5.8515625" style="192" customWidth="1"/>
    <col min="139" max="139" width="10.28125" style="186" customWidth="1"/>
    <col min="140" max="140" width="1.28515625" style="39" customWidth="1"/>
    <col min="141" max="141" width="4.421875" style="192" customWidth="1"/>
    <col min="142" max="142" width="5.421875" style="192" customWidth="1"/>
    <col min="143" max="143" width="5.8515625" style="192" customWidth="1"/>
    <col min="144" max="144" width="10.28125" style="186" customWidth="1"/>
    <col min="145" max="145" width="1.28515625" style="39" customWidth="1"/>
    <col min="146" max="146" width="4.421875" style="192" customWidth="1"/>
    <col min="147" max="147" width="5.421875" style="192" customWidth="1"/>
    <col min="148" max="148" width="5.8515625" style="192" customWidth="1"/>
    <col min="149" max="149" width="10.28125" style="186" customWidth="1"/>
    <col min="150" max="150" width="1.28515625" style="39" customWidth="1"/>
    <col min="151" max="151" width="4.421875" style="192" customWidth="1"/>
    <col min="152" max="152" width="5.421875" style="192" customWidth="1"/>
    <col min="153" max="153" width="5.8515625" style="192" customWidth="1"/>
    <col min="154" max="154" width="10.28125" style="186" customWidth="1"/>
    <col min="155" max="155" width="1.28515625" style="39" customWidth="1"/>
    <col min="156" max="156" width="4.421875" style="192" customWidth="1"/>
    <col min="157" max="157" width="5.421875" style="192" customWidth="1"/>
    <col min="158" max="158" width="5.8515625" style="192" customWidth="1"/>
    <col min="159" max="159" width="10.28125" style="186" customWidth="1"/>
    <col min="160" max="160" width="1.28515625" style="39" customWidth="1"/>
    <col min="161" max="161" width="4.421875" style="192" customWidth="1"/>
    <col min="162" max="162" width="5.421875" style="192" customWidth="1"/>
    <col min="163" max="163" width="5.8515625" style="192" customWidth="1"/>
    <col min="164" max="164" width="10.28125" style="186" customWidth="1"/>
    <col min="165" max="165" width="1.28515625" style="39" customWidth="1"/>
    <col min="166" max="166" width="4.421875" style="192" customWidth="1"/>
    <col min="167" max="167" width="5.421875" style="192" customWidth="1"/>
    <col min="168" max="168" width="5.8515625" style="192" customWidth="1"/>
    <col min="169" max="169" width="10.28125" style="186" customWidth="1"/>
    <col min="170" max="170" width="1.28515625" style="39" customWidth="1"/>
    <col min="171" max="171" width="4.421875" style="192" customWidth="1"/>
    <col min="172" max="172" width="5.421875" style="192" customWidth="1"/>
    <col min="173" max="173" width="5.8515625" style="192" customWidth="1"/>
    <col min="174" max="174" width="10.28125" style="186" customWidth="1"/>
    <col min="175" max="175" width="1.28515625" style="39" customWidth="1"/>
    <col min="176" max="176" width="4.421875" style="192" customWidth="1"/>
    <col min="177" max="177" width="5.421875" style="192" customWidth="1"/>
    <col min="178" max="178" width="5.8515625" style="192" customWidth="1"/>
    <col min="179" max="179" width="10.28125" style="186" customWidth="1"/>
    <col min="180" max="180" width="1.28515625" style="39" customWidth="1"/>
    <col min="181" max="181" width="4.421875" style="192" customWidth="1"/>
    <col min="182" max="182" width="5.421875" style="192" customWidth="1"/>
    <col min="183" max="183" width="5.8515625" style="192" customWidth="1"/>
    <col min="184" max="184" width="10.28125" style="186" customWidth="1"/>
    <col min="185" max="185" width="1.28515625" style="39" customWidth="1"/>
    <col min="186" max="186" width="4.421875" style="192" customWidth="1"/>
    <col min="187" max="16384" width="4.421875" style="39" customWidth="1"/>
  </cols>
  <sheetData>
    <row r="1" spans="1:45" ht="15.75">
      <c r="A1" s="67"/>
      <c r="B1" s="67"/>
      <c r="C1" s="67"/>
      <c r="D1" s="67"/>
      <c r="E1" s="68"/>
      <c r="F1" s="67"/>
      <c r="G1" s="67"/>
      <c r="H1" s="67"/>
      <c r="I1" s="67"/>
      <c r="J1" s="67"/>
      <c r="K1" s="69"/>
      <c r="L1" s="67"/>
      <c r="M1" s="67"/>
      <c r="N1" s="67"/>
      <c r="O1" s="67"/>
      <c r="AO1" s="30"/>
      <c r="AP1" s="30"/>
      <c r="AQ1" s="30"/>
      <c r="AR1" s="30"/>
      <c r="AS1" s="198"/>
    </row>
    <row r="2" spans="1:159" ht="66" customHeight="1">
      <c r="A2" s="67"/>
      <c r="B2" s="67"/>
      <c r="C2" s="67"/>
      <c r="D2" s="67"/>
      <c r="E2" s="68"/>
      <c r="F2" s="67"/>
      <c r="G2" s="67"/>
      <c r="H2" s="67"/>
      <c r="I2" s="67"/>
      <c r="J2" s="67"/>
      <c r="K2" s="69"/>
      <c r="L2" s="67"/>
      <c r="M2" s="67"/>
      <c r="N2" s="67"/>
      <c r="O2" s="67"/>
      <c r="Z2" s="229" t="str">
        <f>TEXT(DAY($L$5),0)&amp;"-"&amp;TEXT(BK5,0)&amp;"-"&amp;TEXT(YEAR(Z4),0)</f>
        <v>29-4-2007</v>
      </c>
      <c r="AC2" s="199">
        <f>+$L$5</f>
        <v>38289</v>
      </c>
      <c r="AD2" s="200">
        <f>DAY($AC$2)</f>
        <v>29</v>
      </c>
      <c r="AE2" s="200">
        <f>MONTH($AC$2)</f>
        <v>10</v>
      </c>
      <c r="AF2" s="200">
        <f>YEAR($AC$2)</f>
        <v>2004</v>
      </c>
      <c r="AG2" s="200" t="str">
        <f>TEXT(AD2,0)</f>
        <v>29</v>
      </c>
      <c r="AH2" s="200" t="str">
        <f>TEXT(AE2,0)</f>
        <v>10</v>
      </c>
      <c r="AI2" s="200" t="str">
        <f>TEXT(AF2,0)</f>
        <v>2004</v>
      </c>
      <c r="AJ2" s="201" t="str">
        <f>+AG2&amp;"-"&amp;+AH2&amp;"-"&amp;AF2</f>
        <v>29-10-2004</v>
      </c>
      <c r="AK2" s="202"/>
      <c r="AL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L2" s="195">
        <f>+DAY($L$5)</f>
        <v>29</v>
      </c>
      <c r="BM2" s="45">
        <f>+BK5</f>
        <v>4</v>
      </c>
      <c r="BN2" s="269">
        <f>YEAR(Z4)</f>
        <v>2007</v>
      </c>
      <c r="BO2" s="270"/>
      <c r="CU2" s="187"/>
      <c r="FC2" s="187"/>
    </row>
    <row r="3" spans="1:159" ht="21" customHeight="1">
      <c r="A3" s="67"/>
      <c r="B3" s="67"/>
      <c r="C3" s="67"/>
      <c r="D3" s="67"/>
      <c r="E3" s="68"/>
      <c r="F3" s="67"/>
      <c r="G3" s="67"/>
      <c r="H3" s="67"/>
      <c r="I3" s="67"/>
      <c r="J3" s="67"/>
      <c r="K3" s="69"/>
      <c r="L3" s="67"/>
      <c r="M3" s="67"/>
      <c r="N3" s="67"/>
      <c r="O3" s="67"/>
      <c r="T3" s="45">
        <f>DAY(L5)</f>
        <v>29</v>
      </c>
      <c r="U3" s="45"/>
      <c r="V3" s="45"/>
      <c r="X3" s="203">
        <f>+X5&amp;X6&amp;X7&amp;X8&amp;X9&amp;X10&amp;X11</f>
      </c>
      <c r="Y3" s="44"/>
      <c r="Z3" s="204"/>
      <c r="AA3" s="30">
        <f>+L6/4</f>
        <v>7.5</v>
      </c>
      <c r="AC3" s="30">
        <f>+AF2</f>
        <v>2004</v>
      </c>
      <c r="AD3" s="205">
        <f>+AD2</f>
        <v>29</v>
      </c>
      <c r="AE3" s="206">
        <f>+AL3</f>
        <v>10</v>
      </c>
      <c r="AF3" s="205">
        <f>+AF2</f>
        <v>2004</v>
      </c>
      <c r="AG3" s="205" t="str">
        <f>+AG2</f>
        <v>29</v>
      </c>
      <c r="AH3" s="205" t="str">
        <f>+AH2</f>
        <v>10</v>
      </c>
      <c r="AI3" s="205" t="str">
        <f>+AI2</f>
        <v>2004</v>
      </c>
      <c r="AJ3" s="207" t="str">
        <f>+AG3&amp;"-"&amp;+AH3&amp;"-"&amp;AC3</f>
        <v>29-10-2004</v>
      </c>
      <c r="AK3" s="208"/>
      <c r="AL3" s="239">
        <f>IF($AE$2=1,1,AM3)</f>
        <v>10</v>
      </c>
      <c r="AM3" s="240">
        <f>IF($AE$2=2,2,AN3)</f>
        <v>10</v>
      </c>
      <c r="AN3" s="240">
        <f>IF($AE$2=3,3,AO3)</f>
        <v>10</v>
      </c>
      <c r="AO3" s="240">
        <f>IF($AE$2=4,4,AP3)</f>
        <v>10</v>
      </c>
      <c r="AP3" s="240">
        <f>IF($AE$2=5,5,AQ3)</f>
        <v>10</v>
      </c>
      <c r="AQ3" s="240">
        <f>IF($AE$2=6,6,AR3)</f>
        <v>10</v>
      </c>
      <c r="AR3" s="240">
        <f>IF($AE$2=7,7,AS3)</f>
        <v>10</v>
      </c>
      <c r="AS3" s="240">
        <f>IF($AE$2=8,8,AT3)</f>
        <v>10</v>
      </c>
      <c r="AT3" s="240">
        <f>IF($AE$2=9,9,AU3)</f>
        <v>10</v>
      </c>
      <c r="AU3" s="240">
        <f>IF($AE$2=10,10,AV3)</f>
        <v>10</v>
      </c>
      <c r="AV3" s="240">
        <f>IF($AE$2=11,11,AW3)</f>
        <v>0</v>
      </c>
      <c r="AW3" s="241">
        <f>IF($AE$2=12,12,AX3)</f>
        <v>0</v>
      </c>
      <c r="CI3" s="44"/>
      <c r="CJ3" s="195"/>
      <c r="CL3" s="44"/>
      <c r="CM3" s="195"/>
      <c r="CN3" s="195"/>
      <c r="CO3" s="195"/>
      <c r="ES3" s="196"/>
      <c r="ET3" s="44"/>
      <c r="EU3" s="193"/>
      <c r="EV3" s="193"/>
      <c r="EW3" s="193"/>
      <c r="EX3" s="196"/>
      <c r="EY3" s="184"/>
      <c r="EZ3" s="197"/>
      <c r="FA3" s="197"/>
      <c r="FB3" s="197"/>
      <c r="FC3" s="196"/>
    </row>
    <row r="4" spans="1:159" ht="21" customHeight="1">
      <c r="A4" s="67"/>
      <c r="B4" s="67"/>
      <c r="C4" s="67"/>
      <c r="D4" s="67"/>
      <c r="E4" s="68"/>
      <c r="F4" s="67"/>
      <c r="G4" s="67"/>
      <c r="H4" s="67"/>
      <c r="I4" s="67"/>
      <c r="J4" s="67"/>
      <c r="K4" s="69"/>
      <c r="L4" s="67"/>
      <c r="M4" s="67"/>
      <c r="N4" s="67"/>
      <c r="O4" s="67"/>
      <c r="T4" s="45">
        <f>BK5</f>
        <v>4</v>
      </c>
      <c r="U4" s="45"/>
      <c r="V4" s="45"/>
      <c r="X4" s="219"/>
      <c r="Y4" s="173"/>
      <c r="Z4" s="204">
        <f>IF(INT($AA$3)=AA4,VALUE(AJ4),Z5)</f>
        <v>39142</v>
      </c>
      <c r="AA4" s="45">
        <v>1</v>
      </c>
      <c r="AC4" s="30">
        <f>IF(AE3+4&lt;=12,AC3,AC3+1)</f>
        <v>2005</v>
      </c>
      <c r="AD4" s="209">
        <f aca="true" t="shared" si="0" ref="AD4:AD12">+$AD$2</f>
        <v>29</v>
      </c>
      <c r="AE4" s="29">
        <f>+AL4</f>
        <v>2</v>
      </c>
      <c r="AF4" s="205">
        <f aca="true" t="shared" si="1" ref="AF4:AF12">IF(AK4&lt;$AL$2,2004,2005)</f>
        <v>2005</v>
      </c>
      <c r="AG4" s="28" t="str">
        <f aca="true" t="shared" si="2" ref="AG4:AI12">TEXT(AD4,0)</f>
        <v>29</v>
      </c>
      <c r="AH4" s="28" t="str">
        <f t="shared" si="2"/>
        <v>2</v>
      </c>
      <c r="AI4" s="28" t="str">
        <f t="shared" si="2"/>
        <v>2005</v>
      </c>
      <c r="AJ4" s="207" t="str">
        <f aca="true" t="shared" si="3" ref="AJ4:AJ12">+AD14</f>
        <v>1-3-2005</v>
      </c>
      <c r="AK4" s="210"/>
      <c r="AL4" s="242">
        <f>IF($AE$2=1,5,AM4)</f>
        <v>2</v>
      </c>
      <c r="AM4" s="185">
        <f>IF($AE$2=2,6,AN4)</f>
        <v>2</v>
      </c>
      <c r="AN4" s="185">
        <f>IF($AE$2=3,7,AO4)</f>
        <v>2</v>
      </c>
      <c r="AO4" s="185">
        <f>IF($AE$2=4,8,AP4)</f>
        <v>2</v>
      </c>
      <c r="AP4" s="185">
        <f>IF($AE$2=5,9,AQ4)</f>
        <v>2</v>
      </c>
      <c r="AQ4" s="185">
        <f>IF($AE$2=6,10,AR4)</f>
        <v>2</v>
      </c>
      <c r="AR4" s="185">
        <f>IF($AE$2=7,11,AS4)</f>
        <v>2</v>
      </c>
      <c r="AS4" s="185">
        <f>IF($AE$2=8,12,AT4)</f>
        <v>2</v>
      </c>
      <c r="AT4" s="185">
        <f>IF($AE$2=9,1,AU4)</f>
        <v>2</v>
      </c>
      <c r="AU4" s="185">
        <f>IF($AE$2=10,2,AV4)</f>
        <v>2</v>
      </c>
      <c r="AV4" s="185">
        <f>IF($AE$2=11,3,AW4)</f>
        <v>0</v>
      </c>
      <c r="AW4" s="243">
        <f>IF($AE$2=12,4,AX4)</f>
        <v>0</v>
      </c>
      <c r="BL4" s="271" t="e">
        <f>+#REF!</f>
        <v>#REF!</v>
      </c>
      <c r="BM4" s="272"/>
      <c r="BN4" s="272"/>
      <c r="BO4" s="272"/>
      <c r="BP4" s="273"/>
      <c r="CI4" s="173"/>
      <c r="CJ4" s="189"/>
      <c r="CK4" s="196"/>
      <c r="CL4" s="173"/>
      <c r="CM4" s="267"/>
      <c r="CN4" s="267"/>
      <c r="CO4" s="267"/>
      <c r="CP4" s="267"/>
      <c r="CQ4" s="184"/>
      <c r="CR4" s="267"/>
      <c r="CS4" s="267"/>
      <c r="CT4" s="267"/>
      <c r="CU4" s="267"/>
      <c r="CV4" s="184"/>
      <c r="ES4" s="196"/>
      <c r="ET4" s="173"/>
      <c r="EU4" s="267"/>
      <c r="EV4" s="268"/>
      <c r="EW4" s="268"/>
      <c r="EX4" s="268"/>
      <c r="EY4" s="184"/>
      <c r="EZ4" s="267"/>
      <c r="FA4" s="268"/>
      <c r="FB4" s="268"/>
      <c r="FC4" s="268"/>
    </row>
    <row r="5" spans="1:159" ht="21" customHeight="1">
      <c r="A5" s="67"/>
      <c r="B5" s="58" t="s">
        <v>54</v>
      </c>
      <c r="C5" s="42" t="s">
        <v>22</v>
      </c>
      <c r="D5" s="165"/>
      <c r="E5" s="55"/>
      <c r="F5" s="169">
        <v>4</v>
      </c>
      <c r="G5" s="162"/>
      <c r="H5" s="67"/>
      <c r="I5" s="58" t="s">
        <v>60</v>
      </c>
      <c r="J5" s="238" t="s">
        <v>4</v>
      </c>
      <c r="K5" s="168"/>
      <c r="L5" s="256">
        <v>38289</v>
      </c>
      <c r="M5" s="231"/>
      <c r="N5" s="231"/>
      <c r="O5" s="231"/>
      <c r="P5" s="190"/>
      <c r="Q5" s="188"/>
      <c r="R5" s="188"/>
      <c r="S5" s="188"/>
      <c r="T5" s="194">
        <f>YEAR(Z4)</f>
        <v>2007</v>
      </c>
      <c r="U5" s="194"/>
      <c r="V5" s="194"/>
      <c r="W5" s="190"/>
      <c r="X5" s="211">
        <f>IF(F5&lt;&gt;"","",B5&amp;"  ")</f>
      </c>
      <c r="Y5" s="44"/>
      <c r="Z5" s="204">
        <f aca="true" t="shared" si="4" ref="Z5:Z11">IF(INT($AA$3)=AA5,VALUE(AJ5),Z6)</f>
        <v>39142</v>
      </c>
      <c r="AA5" s="45">
        <v>2</v>
      </c>
      <c r="AC5" s="30">
        <f aca="true" t="shared" si="5" ref="AC5:AC12">IF(AE4+4&lt;=12,AC4,AC4+1)</f>
        <v>2005</v>
      </c>
      <c r="AD5" s="209">
        <f t="shared" si="0"/>
        <v>29</v>
      </c>
      <c r="AE5" s="29">
        <f aca="true" t="shared" si="6" ref="AE5:AE12">+AL5</f>
        <v>6</v>
      </c>
      <c r="AF5" s="205">
        <f t="shared" si="1"/>
        <v>2005</v>
      </c>
      <c r="AG5" s="28" t="str">
        <f t="shared" si="2"/>
        <v>29</v>
      </c>
      <c r="AH5" s="28" t="str">
        <f t="shared" si="2"/>
        <v>6</v>
      </c>
      <c r="AI5" s="28" t="str">
        <f t="shared" si="2"/>
        <v>2005</v>
      </c>
      <c r="AJ5" s="207" t="str">
        <f t="shared" si="3"/>
        <v>29-6-2005</v>
      </c>
      <c r="AK5" s="210"/>
      <c r="AL5" s="242">
        <f>IF($AE$2=1,9,AM5)</f>
        <v>6</v>
      </c>
      <c r="AM5" s="185">
        <f>IF($AE$2=2,10,AN5)</f>
        <v>6</v>
      </c>
      <c r="AN5" s="185">
        <f>IF($AE$2=3,11,AO5)</f>
        <v>6</v>
      </c>
      <c r="AO5" s="185">
        <f>IF($AE$2=4,12,AP5)</f>
        <v>6</v>
      </c>
      <c r="AP5" s="185">
        <f>IF($AE$2=5,1,AQ5)</f>
        <v>6</v>
      </c>
      <c r="AQ5" s="185">
        <f>IF($AE$2=6,2,AR5)</f>
        <v>6</v>
      </c>
      <c r="AR5" s="185">
        <f>IF($AE$2=7,3,AS5)</f>
        <v>6</v>
      </c>
      <c r="AS5" s="185">
        <f>IF($AE$2=8,4,AT5)</f>
        <v>6</v>
      </c>
      <c r="AT5" s="185">
        <f>IF($AE$2=9,5,AU5)</f>
        <v>6</v>
      </c>
      <c r="AU5" s="185">
        <f>IF($AE$2=10,6,AV5)</f>
        <v>6</v>
      </c>
      <c r="AV5" s="185">
        <f>IF($AE$2=11,7,AW5)</f>
        <v>0</v>
      </c>
      <c r="AW5" s="243">
        <f>IF($AE$2=12,8,AX5)</f>
        <v>0</v>
      </c>
      <c r="BJ5" s="190">
        <v>12</v>
      </c>
      <c r="BK5" s="223">
        <f>IF(AND($L$6=BJ5,MONTH($L$5)=1),BL5,BK6)</f>
        <v>4</v>
      </c>
      <c r="BL5" s="224">
        <v>1</v>
      </c>
      <c r="BM5" s="174">
        <f>IF(AND($L$6=BJ5,MONTH($L$5)=2),BN5,BM6)</f>
        <v>4</v>
      </c>
      <c r="BN5" s="224">
        <v>2</v>
      </c>
      <c r="BO5" s="174">
        <f>IF(AND($L$6=BJ5,MONTH($L$5)=3),BP5,BO6)</f>
        <v>4</v>
      </c>
      <c r="BP5" s="224">
        <v>3</v>
      </c>
      <c r="BQ5" s="174">
        <f>IF(AND($L$6=BJ5,MONTH($L$5)=4),BR5,BQ6)</f>
        <v>4</v>
      </c>
      <c r="BR5" s="224">
        <v>4</v>
      </c>
      <c r="BS5" s="174">
        <f>IF(AND($L$6=BJ5,MONTH($L$5)=5),BT5,BS6)</f>
        <v>4</v>
      </c>
      <c r="BT5" s="224">
        <v>5</v>
      </c>
      <c r="BU5" s="174">
        <f>IF(AND($L$6=BJ5,MONTH($L$5)=6),BV5,BU6)</f>
        <v>4</v>
      </c>
      <c r="BV5" s="224">
        <v>6</v>
      </c>
      <c r="BW5" s="174">
        <f>IF(AND($L$6=BJ5,MONTH($L$5)=7),BX5,BW6)</f>
        <v>4</v>
      </c>
      <c r="BX5" s="224">
        <v>7</v>
      </c>
      <c r="BY5" s="174">
        <f>IF(AND($L$6=BJ5,MONTH($L$5)=8),BZ5,BY6)</f>
        <v>4</v>
      </c>
      <c r="BZ5" s="224">
        <v>8</v>
      </c>
      <c r="CA5" s="174">
        <f>IF(AND($L$6=BJ5,MONTH($L$5)=9),CB5,CA6)</f>
        <v>4</v>
      </c>
      <c r="CB5" s="224">
        <v>9</v>
      </c>
      <c r="CC5" s="174">
        <f>IF(AND($L$6=BJ5,MONTH($L$5)=10),CD5,CC6)</f>
        <v>4</v>
      </c>
      <c r="CD5" s="224">
        <v>10</v>
      </c>
      <c r="CE5" s="174">
        <f>IF(AND($L$6=BJ5,MONTH($L$5)=11),CF5,CE6)</f>
      </c>
      <c r="CF5" s="224">
        <v>11</v>
      </c>
      <c r="CG5" s="174">
        <f>IF(AND($L$6=BJ5,MONTH($L$5)=12),CH5,CG6)</f>
      </c>
      <c r="CH5" s="225">
        <v>12</v>
      </c>
      <c r="CI5" s="189"/>
      <c r="CK5" s="196"/>
      <c r="CL5" s="189"/>
      <c r="CM5" s="197"/>
      <c r="CN5" s="197"/>
      <c r="CO5" s="197"/>
      <c r="CP5" s="196"/>
      <c r="CQ5" s="184"/>
      <c r="CR5" s="197"/>
      <c r="CS5" s="197"/>
      <c r="CT5" s="197"/>
      <c r="CU5" s="196"/>
      <c r="CV5" s="184"/>
      <c r="ES5" s="196"/>
      <c r="ET5" s="189"/>
      <c r="EU5" s="197"/>
      <c r="EV5" s="197"/>
      <c r="EW5" s="197"/>
      <c r="EX5" s="196"/>
      <c r="EY5" s="184"/>
      <c r="EZ5" s="197"/>
      <c r="FA5" s="197"/>
      <c r="FB5" s="197"/>
      <c r="FC5" s="196"/>
    </row>
    <row r="6" spans="1:159" ht="21" customHeight="1">
      <c r="A6" s="67"/>
      <c r="B6" s="58" t="s">
        <v>55</v>
      </c>
      <c r="C6" s="46" t="s">
        <v>23</v>
      </c>
      <c r="D6" s="165"/>
      <c r="E6" s="56"/>
      <c r="F6" s="262" t="s">
        <v>86</v>
      </c>
      <c r="G6" s="263"/>
      <c r="H6" s="67"/>
      <c r="I6" s="58" t="s">
        <v>61</v>
      </c>
      <c r="J6" s="43" t="s">
        <v>6</v>
      </c>
      <c r="K6" s="168"/>
      <c r="L6" s="172">
        <v>30</v>
      </c>
      <c r="M6" s="232"/>
      <c r="N6" s="232"/>
      <c r="O6" s="232"/>
      <c r="Q6" s="220"/>
      <c r="R6" s="220"/>
      <c r="S6" s="220"/>
      <c r="T6" s="39" t="str">
        <f>+T3&amp;" "&amp;T7&amp;" "&amp;T5</f>
        <v>29 aprile 2007</v>
      </c>
      <c r="X6" s="211">
        <f>IF(F6&lt;&gt;"","",B6&amp;"  ")</f>
      </c>
      <c r="Y6" s="44"/>
      <c r="Z6" s="204">
        <f t="shared" si="4"/>
        <v>39142</v>
      </c>
      <c r="AA6" s="45">
        <v>3</v>
      </c>
      <c r="AC6" s="30">
        <f t="shared" si="5"/>
        <v>2005</v>
      </c>
      <c r="AD6" s="209">
        <f t="shared" si="0"/>
        <v>29</v>
      </c>
      <c r="AE6" s="28">
        <f t="shared" si="6"/>
        <v>10</v>
      </c>
      <c r="AF6" s="205">
        <f t="shared" si="1"/>
        <v>2005</v>
      </c>
      <c r="AG6" s="28" t="str">
        <f t="shared" si="2"/>
        <v>29</v>
      </c>
      <c r="AH6" s="28" t="str">
        <f t="shared" si="2"/>
        <v>10</v>
      </c>
      <c r="AI6" s="28" t="str">
        <f t="shared" si="2"/>
        <v>2005</v>
      </c>
      <c r="AJ6" s="207" t="str">
        <f t="shared" si="3"/>
        <v>29-10-2005</v>
      </c>
      <c r="AK6" s="210"/>
      <c r="AL6" s="242">
        <f>IF($AE$2=1,1,AM6)</f>
        <v>10</v>
      </c>
      <c r="AM6" s="185">
        <f>IF($AE$2=2,2,AN6)</f>
        <v>10</v>
      </c>
      <c r="AN6" s="185">
        <f>IF($AE$2=3,3,AO6)</f>
        <v>10</v>
      </c>
      <c r="AO6" s="185">
        <f>IF($AE$2=4,4,AP6)</f>
        <v>10</v>
      </c>
      <c r="AP6" s="185">
        <f>IF($AE$2=5,5,AQ6)</f>
        <v>10</v>
      </c>
      <c r="AQ6" s="185">
        <f>IF($AE$2=6,6,AR6)</f>
        <v>10</v>
      </c>
      <c r="AR6" s="185">
        <f>IF($AE$2=7,7,AS6)</f>
        <v>10</v>
      </c>
      <c r="AS6" s="185">
        <f>IF($AE$2=8,8,AT6)</f>
        <v>10</v>
      </c>
      <c r="AT6" s="185">
        <f>IF($AE$2=9,9,AU6)</f>
        <v>10</v>
      </c>
      <c r="AU6" s="185">
        <f>IF($AE$2=10,10,AV6)</f>
        <v>10</v>
      </c>
      <c r="AV6" s="185">
        <f>IF($AE$2=11,11,AW6)</f>
        <v>0</v>
      </c>
      <c r="AW6" s="243">
        <f>IF($AE$2=12,12,AX6)</f>
        <v>0</v>
      </c>
      <c r="BJ6" s="190">
        <f>1+BJ5</f>
        <v>13</v>
      </c>
      <c r="BK6" s="226">
        <f aca="true" t="shared" si="7" ref="BK6:BK28">IF(AND($L$6=BJ6,MONTH($L$5)=1),BL6,BK7)</f>
        <v>4</v>
      </c>
      <c r="BL6" s="175">
        <f aca="true" t="shared" si="8" ref="BL6:BL16">1+BL5</f>
        <v>2</v>
      </c>
      <c r="BM6" s="175">
        <f aca="true" t="shared" si="9" ref="BM6:BM28">IF(AND($L$6=BJ6,MONTH($L$5)=2),BN6,BM7)</f>
        <v>4</v>
      </c>
      <c r="BN6" s="175">
        <f>1+BN5</f>
        <v>3</v>
      </c>
      <c r="BO6" s="175">
        <f aca="true" t="shared" si="10" ref="BO6:BO28">IF(AND($L$6=BJ6,MONTH($L$5)=3),BP6,BO7)</f>
        <v>4</v>
      </c>
      <c r="BP6" s="175">
        <f aca="true" t="shared" si="11" ref="BP6:BP29">1+BP5</f>
        <v>4</v>
      </c>
      <c r="BQ6" s="175">
        <f aca="true" t="shared" si="12" ref="BQ6:BQ28">IF(AND($L$6=BJ6,MONTH($L$5)=4),BR6,BQ7)</f>
        <v>4</v>
      </c>
      <c r="BR6" s="175">
        <f aca="true" t="shared" si="13" ref="BR6:BR29">1+BR5</f>
        <v>5</v>
      </c>
      <c r="BS6" s="175">
        <f aca="true" t="shared" si="14" ref="BS6:BS28">IF(AND($L$6=BJ6,MONTH($L$5)=5),BT6,BS7)</f>
        <v>4</v>
      </c>
      <c r="BT6" s="175">
        <f aca="true" t="shared" si="15" ref="BT6:BT29">1+BT5</f>
        <v>6</v>
      </c>
      <c r="BU6" s="175">
        <f aca="true" t="shared" si="16" ref="BU6:BU28">IF(AND($L$6=BJ6,MONTH($L$5)=6),BV6,BU7)</f>
        <v>4</v>
      </c>
      <c r="BV6" s="175">
        <f aca="true" t="shared" si="17" ref="BV6:BV29">1+BV5</f>
        <v>7</v>
      </c>
      <c r="BW6" s="175">
        <f aca="true" t="shared" si="18" ref="BW6:BW28">IF(AND($L$6=BJ6,MONTH($L$5)=7),BX6,BW7)</f>
        <v>4</v>
      </c>
      <c r="BX6" s="175">
        <f aca="true" t="shared" si="19" ref="BX6:BX29">1+BX5</f>
        <v>8</v>
      </c>
      <c r="BY6" s="175">
        <f aca="true" t="shared" si="20" ref="BY6:BY28">IF(AND($L$6=BJ6,MONTH($L$5)=8),BZ6,BY7)</f>
        <v>4</v>
      </c>
      <c r="BZ6" s="175">
        <f>1+BZ5</f>
        <v>9</v>
      </c>
      <c r="CA6" s="175">
        <f aca="true" t="shared" si="21" ref="CA6:CA28">IF(AND($L$6=BJ6,MONTH($L$5)=9),CB6,CA7)</f>
        <v>4</v>
      </c>
      <c r="CB6" s="175">
        <f>1+CB5</f>
        <v>10</v>
      </c>
      <c r="CC6" s="175">
        <f aca="true" t="shared" si="22" ref="CC6:CC28">IF(AND($L$6=BJ6,MONTH($L$5)=10),CD6,CC7)</f>
        <v>4</v>
      </c>
      <c r="CD6" s="175">
        <f>1+CD5</f>
        <v>11</v>
      </c>
      <c r="CE6" s="175">
        <f aca="true" t="shared" si="23" ref="CE6:CE28">IF(AND($L$6=BJ6,MONTH($L$5)=11),CF6,CE7)</f>
      </c>
      <c r="CF6" s="175">
        <f>1+CF5</f>
        <v>12</v>
      </c>
      <c r="CG6" s="175">
        <f aca="true" t="shared" si="24" ref="CG6:CG28">IF(AND($L$6=BJ6,MONTH($L$5)=12),CH6,CG7)</f>
      </c>
      <c r="CH6" s="177">
        <v>1</v>
      </c>
      <c r="ES6" s="196"/>
      <c r="ET6" s="184"/>
      <c r="EU6" s="197"/>
      <c r="EV6" s="197"/>
      <c r="EW6" s="197"/>
      <c r="EX6" s="196"/>
      <c r="EY6" s="184"/>
      <c r="EZ6" s="197"/>
      <c r="FA6" s="197"/>
      <c r="FB6" s="197"/>
      <c r="FC6" s="196"/>
    </row>
    <row r="7" spans="1:150" ht="21" customHeight="1">
      <c r="A7" s="67"/>
      <c r="B7" s="58" t="s">
        <v>56</v>
      </c>
      <c r="C7" s="46" t="s">
        <v>24</v>
      </c>
      <c r="D7" s="165"/>
      <c r="E7" s="56"/>
      <c r="F7" s="262" t="s">
        <v>87</v>
      </c>
      <c r="G7" s="263"/>
      <c r="H7" s="163"/>
      <c r="I7" s="164"/>
      <c r="J7" s="47" t="s">
        <v>5</v>
      </c>
      <c r="K7" s="168"/>
      <c r="L7" s="48" t="str">
        <f>IF(AND(L5&lt;&gt;"",L6&lt;&gt;""),T6,"")</f>
        <v>29 aprile 2007</v>
      </c>
      <c r="M7" s="70"/>
      <c r="N7" s="70"/>
      <c r="O7" s="70"/>
      <c r="Q7" s="220"/>
      <c r="R7" s="220"/>
      <c r="S7" s="220"/>
      <c r="T7" s="220" t="str">
        <f aca="true" t="shared" si="25" ref="T7:T17">IF($T$4=U7,V7,T8)</f>
        <v>aprile</v>
      </c>
      <c r="U7" s="220">
        <v>1</v>
      </c>
      <c r="V7" s="220" t="s">
        <v>62</v>
      </c>
      <c r="X7" s="211">
        <f>IF(F7&lt;&gt;"","",B7&amp;"  ")</f>
      </c>
      <c r="Y7" s="44"/>
      <c r="Z7" s="204">
        <f t="shared" si="4"/>
        <v>39142</v>
      </c>
      <c r="AA7" s="45">
        <v>4</v>
      </c>
      <c r="AC7" s="30">
        <f t="shared" si="5"/>
        <v>2006</v>
      </c>
      <c r="AD7" s="209">
        <f t="shared" si="0"/>
        <v>29</v>
      </c>
      <c r="AE7" s="28">
        <f t="shared" si="6"/>
        <v>2</v>
      </c>
      <c r="AF7" s="205">
        <f t="shared" si="1"/>
        <v>2005</v>
      </c>
      <c r="AG7" s="28" t="str">
        <f t="shared" si="2"/>
        <v>29</v>
      </c>
      <c r="AH7" s="28" t="str">
        <f t="shared" si="2"/>
        <v>2</v>
      </c>
      <c r="AI7" s="28" t="str">
        <f t="shared" si="2"/>
        <v>2005</v>
      </c>
      <c r="AJ7" s="207" t="str">
        <f t="shared" si="3"/>
        <v>1-3-2006</v>
      </c>
      <c r="AK7" s="210"/>
      <c r="AL7" s="242">
        <f>IF($AE$2=1,5,AM7)</f>
        <v>2</v>
      </c>
      <c r="AM7" s="185">
        <f>IF($AE$2=2,6,AN7)</f>
        <v>2</v>
      </c>
      <c r="AN7" s="185">
        <f>IF($AE$2=3,7,AO7)</f>
        <v>2</v>
      </c>
      <c r="AO7" s="185">
        <f>IF($AE$2=4,8,AP7)</f>
        <v>2</v>
      </c>
      <c r="AP7" s="185">
        <f>IF($AE$2=5,9,AQ7)</f>
        <v>2</v>
      </c>
      <c r="AQ7" s="185">
        <f>IF($AE$2=6,10,AR7)</f>
        <v>2</v>
      </c>
      <c r="AR7" s="185">
        <f>IF($AE$2=7,11,AS7)</f>
        <v>2</v>
      </c>
      <c r="AS7" s="185">
        <f>IF($AE$2=8,12,AT7)</f>
        <v>2</v>
      </c>
      <c r="AT7" s="185">
        <f>IF($AE$2=9,1,AU7)</f>
        <v>2</v>
      </c>
      <c r="AU7" s="185">
        <f>IF($AE$2=10,2,AV7)</f>
        <v>2</v>
      </c>
      <c r="AV7" s="185">
        <f>IF($AE$2=11,3,AW7)</f>
        <v>0</v>
      </c>
      <c r="AW7" s="243">
        <f>IF($AE$2=12,4,AX7)</f>
        <v>0</v>
      </c>
      <c r="BJ7" s="190">
        <f aca="true" t="shared" si="26" ref="BJ7:BJ29">1+BJ6</f>
        <v>14</v>
      </c>
      <c r="BK7" s="226">
        <f t="shared" si="7"/>
        <v>4</v>
      </c>
      <c r="BL7" s="175">
        <f t="shared" si="8"/>
        <v>3</v>
      </c>
      <c r="BM7" s="175">
        <f t="shared" si="9"/>
        <v>4</v>
      </c>
      <c r="BN7" s="175">
        <f aca="true" t="shared" si="27" ref="BN7:BN29">1+BN6</f>
        <v>4</v>
      </c>
      <c r="BO7" s="175">
        <f t="shared" si="10"/>
        <v>4</v>
      </c>
      <c r="BP7" s="175">
        <f t="shared" si="11"/>
        <v>5</v>
      </c>
      <c r="BQ7" s="175">
        <f t="shared" si="12"/>
        <v>4</v>
      </c>
      <c r="BR7" s="175">
        <f t="shared" si="13"/>
        <v>6</v>
      </c>
      <c r="BS7" s="175">
        <f t="shared" si="14"/>
        <v>4</v>
      </c>
      <c r="BT7" s="175">
        <f t="shared" si="15"/>
        <v>7</v>
      </c>
      <c r="BU7" s="175">
        <f t="shared" si="16"/>
        <v>4</v>
      </c>
      <c r="BV7" s="175">
        <f t="shared" si="17"/>
        <v>8</v>
      </c>
      <c r="BW7" s="175">
        <f t="shared" si="18"/>
        <v>4</v>
      </c>
      <c r="BX7" s="175">
        <f t="shared" si="19"/>
        <v>9</v>
      </c>
      <c r="BY7" s="175">
        <f t="shared" si="20"/>
        <v>4</v>
      </c>
      <c r="BZ7" s="175">
        <f aca="true" t="shared" si="28" ref="BZ7:BZ29">1+BZ6</f>
        <v>10</v>
      </c>
      <c r="CA7" s="175">
        <f t="shared" si="21"/>
        <v>4</v>
      </c>
      <c r="CB7" s="175">
        <f aca="true" t="shared" si="29" ref="CB7:CB29">1+CB6</f>
        <v>11</v>
      </c>
      <c r="CC7" s="175">
        <f t="shared" si="22"/>
        <v>4</v>
      </c>
      <c r="CD7" s="175">
        <f>1+CD6</f>
        <v>12</v>
      </c>
      <c r="CE7" s="175">
        <f t="shared" si="23"/>
      </c>
      <c r="CF7" s="175">
        <v>1</v>
      </c>
      <c r="CG7" s="175">
        <f t="shared" si="24"/>
      </c>
      <c r="CH7" s="177">
        <f aca="true" t="shared" si="30" ref="CH7:CH29">1+CH6</f>
        <v>2</v>
      </c>
      <c r="CI7" s="191"/>
      <c r="CL7" s="191"/>
      <c r="ET7" s="191"/>
    </row>
    <row r="8" spans="1:86" ht="21" customHeight="1">
      <c r="A8" s="67"/>
      <c r="B8" s="58" t="s">
        <v>57</v>
      </c>
      <c r="C8" s="49" t="s">
        <v>43</v>
      </c>
      <c r="D8" s="166"/>
      <c r="E8" s="51"/>
      <c r="F8" s="170">
        <v>65</v>
      </c>
      <c r="G8" s="65"/>
      <c r="H8" s="67"/>
      <c r="I8" s="67"/>
      <c r="J8" s="67"/>
      <c r="K8" s="69"/>
      <c r="L8" s="67"/>
      <c r="M8" s="67"/>
      <c r="N8" s="67"/>
      <c r="O8" s="67"/>
      <c r="Q8" s="220"/>
      <c r="R8" s="220"/>
      <c r="S8" s="220"/>
      <c r="T8" s="220" t="str">
        <f t="shared" si="25"/>
        <v>aprile</v>
      </c>
      <c r="U8" s="220">
        <v>2</v>
      </c>
      <c r="V8" s="220" t="s">
        <v>63</v>
      </c>
      <c r="X8" s="211">
        <f>IF(F8&lt;&gt;"","",B8&amp;"  ")</f>
      </c>
      <c r="Y8" s="44"/>
      <c r="Z8" s="204">
        <f>IF(INT($AA$3)=AA8,VALUE(AJ8),Z9)</f>
        <v>39142</v>
      </c>
      <c r="AA8" s="45">
        <v>5</v>
      </c>
      <c r="AC8" s="30">
        <f t="shared" si="5"/>
        <v>2006</v>
      </c>
      <c r="AD8" s="209">
        <f t="shared" si="0"/>
        <v>29</v>
      </c>
      <c r="AE8" s="28">
        <f t="shared" si="6"/>
        <v>6</v>
      </c>
      <c r="AF8" s="205">
        <f t="shared" si="1"/>
        <v>2005</v>
      </c>
      <c r="AG8" s="28" t="str">
        <f t="shared" si="2"/>
        <v>29</v>
      </c>
      <c r="AH8" s="28" t="str">
        <f t="shared" si="2"/>
        <v>6</v>
      </c>
      <c r="AI8" s="28" t="str">
        <f t="shared" si="2"/>
        <v>2005</v>
      </c>
      <c r="AJ8" s="207" t="str">
        <f t="shared" si="3"/>
        <v>29-6-2006</v>
      </c>
      <c r="AK8" s="210"/>
      <c r="AL8" s="242">
        <f>IF($AE$2=1,9,AM8)</f>
        <v>6</v>
      </c>
      <c r="AM8" s="185">
        <f>IF($AE$2=2,10,AN8)</f>
        <v>6</v>
      </c>
      <c r="AN8" s="185">
        <f>IF($AE$2=3,11,AO8)</f>
        <v>6</v>
      </c>
      <c r="AO8" s="185">
        <f>IF($AE$2=4,12,AP8)</f>
        <v>6</v>
      </c>
      <c r="AP8" s="185">
        <f>IF($AE$2=5,1,AQ8)</f>
        <v>6</v>
      </c>
      <c r="AQ8" s="185">
        <f>IF($AE$2=6,2,AR8)</f>
        <v>6</v>
      </c>
      <c r="AR8" s="185">
        <f>IF($AE$2=7,3,AS8)</f>
        <v>6</v>
      </c>
      <c r="AS8" s="185">
        <f>IF($AE$2=8,4,AT8)</f>
        <v>6</v>
      </c>
      <c r="AT8" s="185">
        <f>IF($AE$2=9,5,AU8)</f>
        <v>6</v>
      </c>
      <c r="AU8" s="185">
        <f>IF($AE$2=10,6,AV8)</f>
        <v>6</v>
      </c>
      <c r="AV8" s="185">
        <f>IF($AE$2=11,7,AW8)</f>
        <v>0</v>
      </c>
      <c r="AW8" s="243">
        <f>IF($AE$2=12,8,AX8)</f>
        <v>0</v>
      </c>
      <c r="BJ8" s="190">
        <f t="shared" si="26"/>
        <v>15</v>
      </c>
      <c r="BK8" s="226">
        <f t="shared" si="7"/>
        <v>4</v>
      </c>
      <c r="BL8" s="175">
        <f t="shared" si="8"/>
        <v>4</v>
      </c>
      <c r="BM8" s="175">
        <f t="shared" si="9"/>
        <v>4</v>
      </c>
      <c r="BN8" s="175">
        <f t="shared" si="27"/>
        <v>5</v>
      </c>
      <c r="BO8" s="175">
        <f t="shared" si="10"/>
        <v>4</v>
      </c>
      <c r="BP8" s="175">
        <f t="shared" si="11"/>
        <v>6</v>
      </c>
      <c r="BQ8" s="175">
        <f t="shared" si="12"/>
        <v>4</v>
      </c>
      <c r="BR8" s="175">
        <f t="shared" si="13"/>
        <v>7</v>
      </c>
      <c r="BS8" s="175">
        <f t="shared" si="14"/>
        <v>4</v>
      </c>
      <c r="BT8" s="175">
        <f t="shared" si="15"/>
        <v>8</v>
      </c>
      <c r="BU8" s="175">
        <f t="shared" si="16"/>
        <v>4</v>
      </c>
      <c r="BV8" s="175">
        <f t="shared" si="17"/>
        <v>9</v>
      </c>
      <c r="BW8" s="175">
        <f t="shared" si="18"/>
        <v>4</v>
      </c>
      <c r="BX8" s="175">
        <f t="shared" si="19"/>
        <v>10</v>
      </c>
      <c r="BY8" s="175">
        <f t="shared" si="20"/>
        <v>4</v>
      </c>
      <c r="BZ8" s="175">
        <f t="shared" si="28"/>
        <v>11</v>
      </c>
      <c r="CA8" s="175">
        <f t="shared" si="21"/>
        <v>4</v>
      </c>
      <c r="CB8" s="175">
        <f t="shared" si="29"/>
        <v>12</v>
      </c>
      <c r="CC8" s="175">
        <f t="shared" si="22"/>
        <v>4</v>
      </c>
      <c r="CD8" s="175">
        <v>1</v>
      </c>
      <c r="CE8" s="175">
        <f t="shared" si="23"/>
      </c>
      <c r="CF8" s="175">
        <f aca="true" t="shared" si="31" ref="CF8:CF29">1+CF7</f>
        <v>2</v>
      </c>
      <c r="CG8" s="175">
        <f t="shared" si="24"/>
      </c>
      <c r="CH8" s="177">
        <f t="shared" si="30"/>
        <v>3</v>
      </c>
    </row>
    <row r="9" spans="1:86" ht="21" customHeight="1">
      <c r="A9" s="67"/>
      <c r="B9" s="58" t="s">
        <v>58</v>
      </c>
      <c r="C9" s="50" t="s">
        <v>42</v>
      </c>
      <c r="D9" s="167"/>
      <c r="E9" s="57" t="s">
        <v>46</v>
      </c>
      <c r="F9" s="171">
        <v>1730560</v>
      </c>
      <c r="G9" s="66"/>
      <c r="H9" s="67"/>
      <c r="I9" s="67"/>
      <c r="J9" s="264" t="s">
        <v>45</v>
      </c>
      <c r="K9" s="265"/>
      <c r="L9" s="266"/>
      <c r="M9" s="233"/>
      <c r="N9" s="233"/>
      <c r="O9" s="233"/>
      <c r="Q9" s="220"/>
      <c r="R9" s="220"/>
      <c r="S9" s="220"/>
      <c r="T9" s="220" t="str">
        <f t="shared" si="25"/>
        <v>aprile</v>
      </c>
      <c r="U9" s="220">
        <v>3</v>
      </c>
      <c r="V9" s="220" t="s">
        <v>64</v>
      </c>
      <c r="X9" s="211">
        <f>IF(F9&lt;&gt;"","",B9&amp;"  ")</f>
      </c>
      <c r="Y9" s="44"/>
      <c r="Z9" s="204">
        <f t="shared" si="4"/>
        <v>39142</v>
      </c>
      <c r="AA9" s="45">
        <v>6</v>
      </c>
      <c r="AC9" s="30">
        <f>IF(AE8+4&lt;=12,AC8,AC8+1)</f>
        <v>2006</v>
      </c>
      <c r="AD9" s="209">
        <f t="shared" si="0"/>
        <v>29</v>
      </c>
      <c r="AE9" s="28">
        <f t="shared" si="6"/>
        <v>10</v>
      </c>
      <c r="AF9" s="205">
        <f t="shared" si="1"/>
        <v>2005</v>
      </c>
      <c r="AG9" s="28" t="str">
        <f t="shared" si="2"/>
        <v>29</v>
      </c>
      <c r="AH9" s="28" t="str">
        <f t="shared" si="2"/>
        <v>10</v>
      </c>
      <c r="AI9" s="28" t="str">
        <f t="shared" si="2"/>
        <v>2005</v>
      </c>
      <c r="AJ9" s="207" t="str">
        <f t="shared" si="3"/>
        <v>29-10-2006</v>
      </c>
      <c r="AK9" s="210"/>
      <c r="AL9" s="242">
        <f>IF($AE$2=1,1,AM9)</f>
        <v>10</v>
      </c>
      <c r="AM9" s="185">
        <f>IF($AE$2=2,2,AN9)</f>
        <v>10</v>
      </c>
      <c r="AN9" s="185">
        <f>IF($AE$2=3,3,AO9)</f>
        <v>10</v>
      </c>
      <c r="AO9" s="185">
        <f>IF($AE$2=4,4,AP9)</f>
        <v>10</v>
      </c>
      <c r="AP9" s="185">
        <f>IF($AE$2=5,5,AQ9)</f>
        <v>10</v>
      </c>
      <c r="AQ9" s="185">
        <f>IF($AE$2=6,6,AR9)</f>
        <v>10</v>
      </c>
      <c r="AR9" s="185">
        <f>IF($AE$2=7,7,AS9)</f>
        <v>10</v>
      </c>
      <c r="AS9" s="185">
        <f>IF($AE$2=8,8,AT9)</f>
        <v>10</v>
      </c>
      <c r="AT9" s="185">
        <f>IF($AE$2=9,9,AU9)</f>
        <v>10</v>
      </c>
      <c r="AU9" s="185">
        <f>IF($AE$2=10,10,AV9)</f>
        <v>10</v>
      </c>
      <c r="AV9" s="185">
        <f>IF($AE$2=11,11,AW9)</f>
        <v>0</v>
      </c>
      <c r="AW9" s="243">
        <f>IF($AE$2=12,12,AX10)</f>
        <v>0</v>
      </c>
      <c r="BJ9" s="190">
        <f t="shared" si="26"/>
        <v>16</v>
      </c>
      <c r="BK9" s="226">
        <f t="shared" si="7"/>
        <v>4</v>
      </c>
      <c r="BL9" s="175">
        <f t="shared" si="8"/>
        <v>5</v>
      </c>
      <c r="BM9" s="175">
        <f t="shared" si="9"/>
        <v>4</v>
      </c>
      <c r="BN9" s="175">
        <f t="shared" si="27"/>
        <v>6</v>
      </c>
      <c r="BO9" s="175">
        <f t="shared" si="10"/>
        <v>4</v>
      </c>
      <c r="BP9" s="175">
        <f t="shared" si="11"/>
        <v>7</v>
      </c>
      <c r="BQ9" s="175">
        <f t="shared" si="12"/>
        <v>4</v>
      </c>
      <c r="BR9" s="175">
        <f t="shared" si="13"/>
        <v>8</v>
      </c>
      <c r="BS9" s="175">
        <f t="shared" si="14"/>
        <v>4</v>
      </c>
      <c r="BT9" s="175">
        <f t="shared" si="15"/>
        <v>9</v>
      </c>
      <c r="BU9" s="175">
        <f t="shared" si="16"/>
        <v>4</v>
      </c>
      <c r="BV9" s="175">
        <f t="shared" si="17"/>
        <v>10</v>
      </c>
      <c r="BW9" s="175">
        <f t="shared" si="18"/>
        <v>4</v>
      </c>
      <c r="BX9" s="175">
        <f t="shared" si="19"/>
        <v>11</v>
      </c>
      <c r="BY9" s="175">
        <f t="shared" si="20"/>
        <v>4</v>
      </c>
      <c r="BZ9" s="175">
        <f t="shared" si="28"/>
        <v>12</v>
      </c>
      <c r="CA9" s="175">
        <f t="shared" si="21"/>
        <v>4</v>
      </c>
      <c r="CB9" s="175">
        <v>1</v>
      </c>
      <c r="CC9" s="175">
        <f t="shared" si="22"/>
        <v>4</v>
      </c>
      <c r="CD9" s="175">
        <f aca="true" t="shared" si="32" ref="CD9:CD19">1+CD8</f>
        <v>2</v>
      </c>
      <c r="CE9" s="175">
        <f t="shared" si="23"/>
      </c>
      <c r="CF9" s="175">
        <f t="shared" si="31"/>
        <v>3</v>
      </c>
      <c r="CG9" s="175">
        <f t="shared" si="24"/>
      </c>
      <c r="CH9" s="177">
        <f t="shared" si="30"/>
        <v>4</v>
      </c>
    </row>
    <row r="10" spans="1:150" ht="21" customHeight="1">
      <c r="A10" s="67"/>
      <c r="B10" s="58" t="s">
        <v>59</v>
      </c>
      <c r="C10" s="50" t="s">
        <v>10</v>
      </c>
      <c r="D10" s="167"/>
      <c r="E10" s="51" t="s">
        <v>46</v>
      </c>
      <c r="F10" s="171">
        <v>670360</v>
      </c>
      <c r="G10" s="66"/>
      <c r="H10" s="67"/>
      <c r="I10" s="67"/>
      <c r="J10" s="181" t="str">
        <f>IF(L10&lt;&gt;"","1° Rendiconto","")</f>
        <v>1° Rendiconto</v>
      </c>
      <c r="K10" s="178"/>
      <c r="L10" s="235">
        <f>IF(G11&lt;&gt;"","",+VALUE(AJ4))</f>
        <v>38412</v>
      </c>
      <c r="M10" s="234"/>
      <c r="N10" s="234"/>
      <c r="O10" s="234"/>
      <c r="Q10" s="220"/>
      <c r="R10" s="220"/>
      <c r="S10" s="220"/>
      <c r="T10" s="220" t="str">
        <f t="shared" si="25"/>
        <v>aprile</v>
      </c>
      <c r="U10" s="220">
        <v>4</v>
      </c>
      <c r="V10" s="220" t="s">
        <v>73</v>
      </c>
      <c r="X10" s="211">
        <f>IF(L5&lt;&gt;"","",I5&amp;"  ")</f>
      </c>
      <c r="Y10" s="213"/>
      <c r="Z10" s="204">
        <f t="shared" si="4"/>
        <v>39142</v>
      </c>
      <c r="AA10" s="45">
        <v>7</v>
      </c>
      <c r="AC10" s="30">
        <f t="shared" si="5"/>
        <v>2007</v>
      </c>
      <c r="AD10" s="209">
        <f t="shared" si="0"/>
        <v>29</v>
      </c>
      <c r="AE10" s="28">
        <f t="shared" si="6"/>
        <v>2</v>
      </c>
      <c r="AF10" s="205">
        <f t="shared" si="1"/>
        <v>2005</v>
      </c>
      <c r="AG10" s="28" t="str">
        <f t="shared" si="2"/>
        <v>29</v>
      </c>
      <c r="AH10" s="28" t="str">
        <f t="shared" si="2"/>
        <v>2</v>
      </c>
      <c r="AI10" s="28" t="str">
        <f t="shared" si="2"/>
        <v>2005</v>
      </c>
      <c r="AJ10" s="207" t="str">
        <f t="shared" si="3"/>
        <v>1-3-2007</v>
      </c>
      <c r="AK10" s="210"/>
      <c r="AL10" s="242">
        <f>IF($AE$2=1,5,AM10)</f>
        <v>2</v>
      </c>
      <c r="AM10" s="185">
        <f>IF($AE$2=2,6,AN10)</f>
        <v>2</v>
      </c>
      <c r="AN10" s="185">
        <f>IF($AE$2=3,7,AO10)</f>
        <v>2</v>
      </c>
      <c r="AO10" s="185">
        <f>IF($AE$2=4,8,AP10)</f>
        <v>2</v>
      </c>
      <c r="AP10" s="185">
        <f>IF($AE$2=5,9,AQ10)</f>
        <v>2</v>
      </c>
      <c r="AQ10" s="185">
        <f>IF($AE$2=6,10,AR10)</f>
        <v>2</v>
      </c>
      <c r="AR10" s="185">
        <f>IF($AE$2=7,11,AS10)</f>
        <v>2</v>
      </c>
      <c r="AS10" s="185">
        <f>IF($AE$2=8,12,AT10)</f>
        <v>2</v>
      </c>
      <c r="AT10" s="185">
        <f>IF($AE$2=9,1,AU10)</f>
        <v>2</v>
      </c>
      <c r="AU10" s="185">
        <f>IF($AE$2=10,2,AV10)</f>
        <v>2</v>
      </c>
      <c r="AV10" s="185">
        <f>IF($AE$2=11,3,AW10)</f>
        <v>0</v>
      </c>
      <c r="AW10" s="243">
        <f>IF($AE$2=12,4,AX11)</f>
        <v>0</v>
      </c>
      <c r="BJ10" s="190">
        <f t="shared" si="26"/>
        <v>17</v>
      </c>
      <c r="BK10" s="226">
        <f t="shared" si="7"/>
        <v>4</v>
      </c>
      <c r="BL10" s="175">
        <f t="shared" si="8"/>
        <v>6</v>
      </c>
      <c r="BM10" s="175">
        <f t="shared" si="9"/>
        <v>4</v>
      </c>
      <c r="BN10" s="175">
        <f t="shared" si="27"/>
        <v>7</v>
      </c>
      <c r="BO10" s="175">
        <f t="shared" si="10"/>
        <v>4</v>
      </c>
      <c r="BP10" s="175">
        <f t="shared" si="11"/>
        <v>8</v>
      </c>
      <c r="BQ10" s="175">
        <f t="shared" si="12"/>
        <v>4</v>
      </c>
      <c r="BR10" s="175">
        <f t="shared" si="13"/>
        <v>9</v>
      </c>
      <c r="BS10" s="175">
        <f t="shared" si="14"/>
        <v>4</v>
      </c>
      <c r="BT10" s="175">
        <f t="shared" si="15"/>
        <v>10</v>
      </c>
      <c r="BU10" s="175">
        <f t="shared" si="16"/>
        <v>4</v>
      </c>
      <c r="BV10" s="175">
        <f t="shared" si="17"/>
        <v>11</v>
      </c>
      <c r="BW10" s="175">
        <f t="shared" si="18"/>
        <v>4</v>
      </c>
      <c r="BX10" s="175">
        <f t="shared" si="19"/>
        <v>12</v>
      </c>
      <c r="BY10" s="175">
        <f t="shared" si="20"/>
        <v>4</v>
      </c>
      <c r="BZ10" s="175">
        <v>1</v>
      </c>
      <c r="CA10" s="175">
        <f t="shared" si="21"/>
        <v>4</v>
      </c>
      <c r="CB10" s="175">
        <f t="shared" si="29"/>
        <v>2</v>
      </c>
      <c r="CC10" s="175">
        <f t="shared" si="22"/>
        <v>4</v>
      </c>
      <c r="CD10" s="175">
        <f t="shared" si="32"/>
        <v>3</v>
      </c>
      <c r="CE10" s="175">
        <f t="shared" si="23"/>
      </c>
      <c r="CF10" s="175">
        <f t="shared" si="31"/>
        <v>4</v>
      </c>
      <c r="CG10" s="175">
        <f t="shared" si="24"/>
      </c>
      <c r="CH10" s="177">
        <f t="shared" si="30"/>
        <v>5</v>
      </c>
      <c r="CI10" s="54"/>
      <c r="CL10" s="54"/>
      <c r="ET10" s="54"/>
    </row>
    <row r="11" spans="1:150" ht="21" customHeight="1">
      <c r="A11" s="67"/>
      <c r="B11" s="67"/>
      <c r="C11" s="50" t="s">
        <v>25</v>
      </c>
      <c r="D11" s="167"/>
      <c r="E11" s="51" t="s">
        <v>46</v>
      </c>
      <c r="F11" s="61">
        <f>IF(G11&lt;&gt;"","",+$F$9-$F$10)</f>
        <v>1060200</v>
      </c>
      <c r="G11" s="64">
        <f>IF(X3&lt;&gt;"","Inserire valori  "&amp;X3,"")</f>
      </c>
      <c r="H11" s="67"/>
      <c r="I11" s="67"/>
      <c r="J11" s="182" t="str">
        <f>IF(L11&lt;&gt;"","2° Rendiconto","")</f>
        <v>2° Rendiconto</v>
      </c>
      <c r="K11" s="179"/>
      <c r="L11" s="236">
        <f>IF(G11&lt;&gt;"","",(IF(AA5&lt;=$AA$3,+VALUE(AJ5),"")))</f>
        <v>38532</v>
      </c>
      <c r="M11" s="234"/>
      <c r="N11" s="234"/>
      <c r="O11" s="234"/>
      <c r="Q11" s="220"/>
      <c r="R11" s="220"/>
      <c r="S11" s="220"/>
      <c r="T11" s="220">
        <f t="shared" si="25"/>
      </c>
      <c r="U11" s="220">
        <v>5</v>
      </c>
      <c r="V11" s="220" t="s">
        <v>65</v>
      </c>
      <c r="X11" s="212">
        <f>IF(L6&lt;&gt;"","",I6&amp;"  ")</f>
      </c>
      <c r="Y11" s="213"/>
      <c r="Z11" s="204">
        <f t="shared" si="4"/>
      </c>
      <c r="AA11" s="45">
        <v>8</v>
      </c>
      <c r="AC11" s="30">
        <f t="shared" si="5"/>
        <v>2007</v>
      </c>
      <c r="AD11" s="209">
        <f t="shared" si="0"/>
        <v>29</v>
      </c>
      <c r="AE11" s="28">
        <f t="shared" si="6"/>
        <v>6</v>
      </c>
      <c r="AF11" s="205">
        <f t="shared" si="1"/>
        <v>2005</v>
      </c>
      <c r="AG11" s="28" t="str">
        <f t="shared" si="2"/>
        <v>29</v>
      </c>
      <c r="AH11" s="28" t="str">
        <f t="shared" si="2"/>
        <v>6</v>
      </c>
      <c r="AI11" s="28" t="str">
        <f t="shared" si="2"/>
        <v>2005</v>
      </c>
      <c r="AJ11" s="207" t="str">
        <f t="shared" si="3"/>
        <v>29-6-2007</v>
      </c>
      <c r="AK11" s="210"/>
      <c r="AL11" s="242">
        <f>IF($AE$2=1,9,AM11)</f>
        <v>6</v>
      </c>
      <c r="AM11" s="185">
        <f>IF($AE$2=2,10,AN11)</f>
        <v>6</v>
      </c>
      <c r="AN11" s="185">
        <f>IF($AE$2=3,11,AO11)</f>
        <v>6</v>
      </c>
      <c r="AO11" s="185">
        <f>IF($AE$2=4,12,AP11)</f>
        <v>6</v>
      </c>
      <c r="AP11" s="185">
        <f>IF($AE$2=5,1,AQ11)</f>
        <v>6</v>
      </c>
      <c r="AQ11" s="185">
        <f>IF($AE$2=6,2,AR11)</f>
        <v>6</v>
      </c>
      <c r="AR11" s="185">
        <f>IF($AE$2=7,3,AS11)</f>
        <v>6</v>
      </c>
      <c r="AS11" s="185">
        <f>IF($AE$2=8,4,AT11)</f>
        <v>6</v>
      </c>
      <c r="AT11" s="185">
        <f>IF($AE$2=9,5,AU11)</f>
        <v>6</v>
      </c>
      <c r="AU11" s="185">
        <f>IF($AE$2=10,6,AV11)</f>
        <v>6</v>
      </c>
      <c r="AV11" s="185">
        <f>IF($AE$2=11,7,AW11)</f>
        <v>0</v>
      </c>
      <c r="AW11" s="243">
        <f>IF($AE$2=12,8,AX12)</f>
        <v>0</v>
      </c>
      <c r="BJ11" s="190">
        <f t="shared" si="26"/>
        <v>18</v>
      </c>
      <c r="BK11" s="226">
        <f t="shared" si="7"/>
        <v>4</v>
      </c>
      <c r="BL11" s="175">
        <f t="shared" si="8"/>
        <v>7</v>
      </c>
      <c r="BM11" s="175">
        <f t="shared" si="9"/>
        <v>4</v>
      </c>
      <c r="BN11" s="175">
        <f t="shared" si="27"/>
        <v>8</v>
      </c>
      <c r="BO11" s="175">
        <f t="shared" si="10"/>
        <v>4</v>
      </c>
      <c r="BP11" s="175">
        <f t="shared" si="11"/>
        <v>9</v>
      </c>
      <c r="BQ11" s="175">
        <f t="shared" si="12"/>
        <v>4</v>
      </c>
      <c r="BR11" s="175">
        <f t="shared" si="13"/>
        <v>10</v>
      </c>
      <c r="BS11" s="175">
        <f t="shared" si="14"/>
        <v>4</v>
      </c>
      <c r="BT11" s="175">
        <f t="shared" si="15"/>
        <v>11</v>
      </c>
      <c r="BU11" s="175">
        <f t="shared" si="16"/>
        <v>4</v>
      </c>
      <c r="BV11" s="175">
        <f t="shared" si="17"/>
        <v>12</v>
      </c>
      <c r="BW11" s="175">
        <f t="shared" si="18"/>
        <v>4</v>
      </c>
      <c r="BX11" s="175">
        <v>1</v>
      </c>
      <c r="BY11" s="175">
        <f t="shared" si="20"/>
        <v>4</v>
      </c>
      <c r="BZ11" s="175">
        <f t="shared" si="28"/>
        <v>2</v>
      </c>
      <c r="CA11" s="175">
        <f t="shared" si="21"/>
        <v>4</v>
      </c>
      <c r="CB11" s="175">
        <f t="shared" si="29"/>
        <v>3</v>
      </c>
      <c r="CC11" s="175">
        <f t="shared" si="22"/>
        <v>4</v>
      </c>
      <c r="CD11" s="175">
        <f t="shared" si="32"/>
        <v>4</v>
      </c>
      <c r="CE11" s="175">
        <f t="shared" si="23"/>
      </c>
      <c r="CF11" s="175">
        <f t="shared" si="31"/>
        <v>5</v>
      </c>
      <c r="CG11" s="175">
        <f t="shared" si="24"/>
      </c>
      <c r="CH11" s="177">
        <f t="shared" si="30"/>
        <v>6</v>
      </c>
      <c r="CI11" s="54"/>
      <c r="CL11" s="54"/>
      <c r="ET11" s="54"/>
    </row>
    <row r="12" spans="1:150" ht="21" customHeight="1">
      <c r="A12" s="67"/>
      <c r="B12" s="67"/>
      <c r="C12" s="52" t="s">
        <v>47</v>
      </c>
      <c r="D12" s="67"/>
      <c r="E12" s="53" t="s">
        <v>46</v>
      </c>
      <c r="F12" s="61">
        <f>IF(G11&lt;&gt;"",0,+F11*0.2)</f>
        <v>212040</v>
      </c>
      <c r="G12" s="60"/>
      <c r="H12" s="67"/>
      <c r="I12" s="67"/>
      <c r="J12" s="182" t="str">
        <f>IF(L12&lt;&gt;"","3° Rendiconto","")</f>
        <v>3° Rendiconto</v>
      </c>
      <c r="K12" s="179"/>
      <c r="L12" s="236">
        <f>IF(G11&lt;&gt;"","",(IF(AA6&lt;=$AA$3,+VALUE(AJ6),"")))</f>
        <v>38654</v>
      </c>
      <c r="M12" s="234"/>
      <c r="N12" s="234"/>
      <c r="O12" s="234"/>
      <c r="Q12" s="220"/>
      <c r="R12" s="220"/>
      <c r="S12" s="220"/>
      <c r="T12" s="220">
        <f t="shared" si="25"/>
      </c>
      <c r="U12" s="220">
        <v>6</v>
      </c>
      <c r="V12" s="220" t="s">
        <v>66</v>
      </c>
      <c r="X12" s="213"/>
      <c r="Y12" s="213"/>
      <c r="Z12" s="204">
        <f>IF(INT($AA$3)=AA12,VALUE(AJ12),"")</f>
      </c>
      <c r="AA12" s="45">
        <v>9</v>
      </c>
      <c r="AC12" s="30">
        <f t="shared" si="5"/>
        <v>2007</v>
      </c>
      <c r="AD12" s="214">
        <f t="shared" si="0"/>
        <v>29</v>
      </c>
      <c r="AE12" s="215">
        <f t="shared" si="6"/>
        <v>10</v>
      </c>
      <c r="AF12" s="205">
        <f t="shared" si="1"/>
        <v>2005</v>
      </c>
      <c r="AG12" s="215" t="str">
        <f t="shared" si="2"/>
        <v>29</v>
      </c>
      <c r="AH12" s="215" t="str">
        <f t="shared" si="2"/>
        <v>10</v>
      </c>
      <c r="AI12" s="215" t="str">
        <f t="shared" si="2"/>
        <v>2005</v>
      </c>
      <c r="AJ12" s="207" t="str">
        <f t="shared" si="3"/>
        <v>29-10-2007</v>
      </c>
      <c r="AK12" s="216"/>
      <c r="AL12" s="244">
        <f>IF($AE$2=1,1,AM12)</f>
        <v>10</v>
      </c>
      <c r="AM12" s="245">
        <f>IF($AE$2=2,2,AN12)</f>
        <v>10</v>
      </c>
      <c r="AN12" s="245">
        <f>IF($AE$2=3,3,AO12)</f>
        <v>10</v>
      </c>
      <c r="AO12" s="245">
        <f>IF($AE$2=4,4,AP12)</f>
        <v>10</v>
      </c>
      <c r="AP12" s="245">
        <f>IF($AE$2=5,5,AQ12)</f>
        <v>10</v>
      </c>
      <c r="AQ12" s="245">
        <f>IF($AE$2=6,6,AR12)</f>
        <v>10</v>
      </c>
      <c r="AR12" s="245">
        <f>IF($AE$2=7,7,AS12)</f>
        <v>10</v>
      </c>
      <c r="AS12" s="245">
        <f>IF($AE$2=8,8,AT12)</f>
        <v>10</v>
      </c>
      <c r="AT12" s="245">
        <f>IF($AE$2=9,9,AU12)</f>
        <v>10</v>
      </c>
      <c r="AU12" s="245">
        <f>IF($AE$2=10,10,AV12)</f>
        <v>10</v>
      </c>
      <c r="AV12" s="245">
        <f>IF($AE$2=11,11,AW12)</f>
        <v>0</v>
      </c>
      <c r="AW12" s="246">
        <f>IF($AE$2=12,12,AX13)</f>
        <v>0</v>
      </c>
      <c r="BJ12" s="190">
        <f t="shared" si="26"/>
        <v>19</v>
      </c>
      <c r="BK12" s="226">
        <f t="shared" si="7"/>
        <v>4</v>
      </c>
      <c r="BL12" s="175">
        <f t="shared" si="8"/>
        <v>8</v>
      </c>
      <c r="BM12" s="175">
        <f t="shared" si="9"/>
        <v>4</v>
      </c>
      <c r="BN12" s="175">
        <f t="shared" si="27"/>
        <v>9</v>
      </c>
      <c r="BO12" s="175">
        <f t="shared" si="10"/>
        <v>4</v>
      </c>
      <c r="BP12" s="175">
        <f t="shared" si="11"/>
        <v>10</v>
      </c>
      <c r="BQ12" s="175">
        <f t="shared" si="12"/>
        <v>4</v>
      </c>
      <c r="BR12" s="175">
        <f t="shared" si="13"/>
        <v>11</v>
      </c>
      <c r="BS12" s="175">
        <f t="shared" si="14"/>
        <v>4</v>
      </c>
      <c r="BT12" s="175">
        <f t="shared" si="15"/>
        <v>12</v>
      </c>
      <c r="BU12" s="175">
        <f t="shared" si="16"/>
        <v>4</v>
      </c>
      <c r="BV12" s="175">
        <v>1</v>
      </c>
      <c r="BW12" s="175">
        <f t="shared" si="18"/>
        <v>4</v>
      </c>
      <c r="BX12" s="175">
        <f t="shared" si="19"/>
        <v>2</v>
      </c>
      <c r="BY12" s="175">
        <f t="shared" si="20"/>
        <v>4</v>
      </c>
      <c r="BZ12" s="175">
        <f t="shared" si="28"/>
        <v>3</v>
      </c>
      <c r="CA12" s="175">
        <f t="shared" si="21"/>
        <v>4</v>
      </c>
      <c r="CB12" s="175">
        <f t="shared" si="29"/>
        <v>4</v>
      </c>
      <c r="CC12" s="175">
        <f t="shared" si="22"/>
        <v>4</v>
      </c>
      <c r="CD12" s="175">
        <f t="shared" si="32"/>
        <v>5</v>
      </c>
      <c r="CE12" s="175">
        <f t="shared" si="23"/>
      </c>
      <c r="CF12" s="175">
        <f t="shared" si="31"/>
        <v>6</v>
      </c>
      <c r="CG12" s="175">
        <f t="shared" si="24"/>
      </c>
      <c r="CH12" s="177">
        <f t="shared" si="30"/>
        <v>7</v>
      </c>
      <c r="CI12" s="54"/>
      <c r="CL12" s="54"/>
      <c r="ET12" s="54"/>
    </row>
    <row r="13" spans="1:150" ht="21" customHeight="1">
      <c r="A13" s="67"/>
      <c r="B13" s="67"/>
      <c r="C13" s="50" t="s">
        <v>44</v>
      </c>
      <c r="D13" s="167"/>
      <c r="E13" s="51" t="s">
        <v>46</v>
      </c>
      <c r="F13" s="61">
        <f>IF(G11&lt;&gt;"",0,F11*1.2+F10)</f>
        <v>1942600</v>
      </c>
      <c r="G13" s="60"/>
      <c r="H13" s="67"/>
      <c r="I13" s="67"/>
      <c r="J13" s="182" t="str">
        <f>IF(L13&lt;&gt;"","4° Rendiconto","")</f>
        <v>4° Rendiconto</v>
      </c>
      <c r="K13" s="179"/>
      <c r="L13" s="236">
        <f>IF(G11&lt;&gt;"","",(IF(AA7&lt;=$AA$3,+VALUE(AJ7),"")))</f>
        <v>38777</v>
      </c>
      <c r="M13" s="234"/>
      <c r="N13" s="234"/>
      <c r="O13" s="234"/>
      <c r="Q13" s="220"/>
      <c r="R13" s="220"/>
      <c r="S13" s="220"/>
      <c r="T13" s="220">
        <f t="shared" si="25"/>
      </c>
      <c r="U13" s="220">
        <v>7</v>
      </c>
      <c r="V13" s="220" t="s">
        <v>67</v>
      </c>
      <c r="X13" s="221"/>
      <c r="Y13" s="213"/>
      <c r="Z13" s="213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0"/>
      <c r="AO13" s="40"/>
      <c r="AP13" s="40"/>
      <c r="AQ13" s="213"/>
      <c r="AR13" s="39"/>
      <c r="AS13" s="39"/>
      <c r="AT13" s="39"/>
      <c r="AU13" s="39"/>
      <c r="AV13" s="39"/>
      <c r="AW13" s="39"/>
      <c r="BJ13" s="190">
        <f t="shared" si="26"/>
        <v>20</v>
      </c>
      <c r="BK13" s="226">
        <f t="shared" si="7"/>
        <v>4</v>
      </c>
      <c r="BL13" s="175">
        <f t="shared" si="8"/>
        <v>9</v>
      </c>
      <c r="BM13" s="175">
        <f t="shared" si="9"/>
        <v>4</v>
      </c>
      <c r="BN13" s="175">
        <f t="shared" si="27"/>
        <v>10</v>
      </c>
      <c r="BO13" s="175">
        <f t="shared" si="10"/>
        <v>4</v>
      </c>
      <c r="BP13" s="175">
        <f t="shared" si="11"/>
        <v>11</v>
      </c>
      <c r="BQ13" s="175">
        <f t="shared" si="12"/>
        <v>4</v>
      </c>
      <c r="BR13" s="175">
        <f t="shared" si="13"/>
        <v>12</v>
      </c>
      <c r="BS13" s="175">
        <f t="shared" si="14"/>
        <v>4</v>
      </c>
      <c r="BT13" s="175">
        <v>1</v>
      </c>
      <c r="BU13" s="175">
        <f t="shared" si="16"/>
        <v>4</v>
      </c>
      <c r="BV13" s="175">
        <f t="shared" si="17"/>
        <v>2</v>
      </c>
      <c r="BW13" s="175">
        <f t="shared" si="18"/>
        <v>4</v>
      </c>
      <c r="BX13" s="175">
        <f t="shared" si="19"/>
        <v>3</v>
      </c>
      <c r="BY13" s="175">
        <f t="shared" si="20"/>
        <v>4</v>
      </c>
      <c r="BZ13" s="175">
        <f t="shared" si="28"/>
        <v>4</v>
      </c>
      <c r="CA13" s="175">
        <f t="shared" si="21"/>
        <v>4</v>
      </c>
      <c r="CB13" s="175">
        <f t="shared" si="29"/>
        <v>5</v>
      </c>
      <c r="CC13" s="175">
        <f t="shared" si="22"/>
        <v>4</v>
      </c>
      <c r="CD13" s="175">
        <f t="shared" si="32"/>
        <v>6</v>
      </c>
      <c r="CE13" s="175">
        <f t="shared" si="23"/>
      </c>
      <c r="CF13" s="175">
        <f t="shared" si="31"/>
        <v>7</v>
      </c>
      <c r="CG13" s="175">
        <f t="shared" si="24"/>
      </c>
      <c r="CH13" s="177">
        <f t="shared" si="30"/>
        <v>8</v>
      </c>
      <c r="CI13" s="54"/>
      <c r="CL13" s="54"/>
      <c r="ET13" s="54"/>
    </row>
    <row r="14" spans="1:150" ht="21" customHeight="1">
      <c r="A14" s="67"/>
      <c r="B14" s="67"/>
      <c r="C14" s="50" t="s">
        <v>26</v>
      </c>
      <c r="D14" s="167"/>
      <c r="E14" s="51" t="s">
        <v>46</v>
      </c>
      <c r="F14" s="61">
        <f>IF(G11&lt;&gt;"""",IF((F13*F8/100)&gt;2500000,2500000,F13*F8/100),0)</f>
        <v>1262690</v>
      </c>
      <c r="G14" s="60"/>
      <c r="H14" s="67"/>
      <c r="I14" s="67"/>
      <c r="J14" s="182" t="str">
        <f>IF(L14&lt;&gt;"","5° Rendiconto","")</f>
        <v>5° Rendiconto</v>
      </c>
      <c r="K14" s="179"/>
      <c r="L14" s="236">
        <f>IF(G11&lt;&gt;"","",(IF(AA8&lt;=$AA$3,+VALUE(AJ8),"")))</f>
        <v>38897</v>
      </c>
      <c r="M14" s="234"/>
      <c r="N14" s="234"/>
      <c r="O14" s="234"/>
      <c r="Q14" s="220"/>
      <c r="R14" s="220"/>
      <c r="S14" s="220"/>
      <c r="T14" s="220">
        <f t="shared" si="25"/>
      </c>
      <c r="U14" s="220">
        <v>8</v>
      </c>
      <c r="V14" s="220" t="s">
        <v>68</v>
      </c>
      <c r="AC14" s="217"/>
      <c r="AD14" s="247" t="str">
        <f>IF(AND(AD4=29,AE4=2),TEXT(1,0)&amp;"-"&amp;TEXT(3,0)&amp;"-"&amp;AC4,AE14)</f>
        <v>1-3-2005</v>
      </c>
      <c r="AE14" s="248" t="str">
        <f>IF(AND(AD4=30,AE4=2),TEXT(1,0)&amp;"-"&amp;TEXT(3,0)&amp;"-"&amp;AC4,AF14)</f>
        <v>29-2-2005</v>
      </c>
      <c r="AF14" s="248" t="str">
        <f>IF(AND(AD4=31,AE4=2),TEXT(1,0)&amp;"-"&amp;TEXT(3,0)&amp;"-"&amp;AC4,AG14)</f>
        <v>29-2-2005</v>
      </c>
      <c r="AG14" s="248" t="str">
        <f>IF(AND(AD4=31,AE4=4),TEXT(1,0)&amp;"-"&amp;TEXT(5,0)&amp;"-"&amp;AC4,AH14)</f>
        <v>29-2-2005</v>
      </c>
      <c r="AH14" s="248" t="str">
        <f>IF(AND(AD4=31,AE4=6),TEXT(1,0)&amp;"-"&amp;TEXT(7,0)&amp;"-"&amp;AC4,AI14)</f>
        <v>29-2-2005</v>
      </c>
      <c r="AI14" s="248" t="str">
        <f>IF(AND(AD4=31,AE4=9),TEXT(1,0)&amp;"-"&amp;TEXT(10,0)&amp;"-"&amp;AC4,AJ14)</f>
        <v>29-2-2005</v>
      </c>
      <c r="AJ14" s="249" t="str">
        <f>IF(AND(AD4=31,AE4=11),TEXT(1,0)&amp;"-"&amp;TEXT(12,0)&amp;"-"&amp;AC4,+AG4&amp;"-"&amp;+AH4&amp;"-"&amp;AC4)</f>
        <v>29-2-2005</v>
      </c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190">
        <f t="shared" si="26"/>
        <v>21</v>
      </c>
      <c r="BK14" s="226">
        <f t="shared" si="7"/>
        <v>4</v>
      </c>
      <c r="BL14" s="175">
        <f t="shared" si="8"/>
        <v>10</v>
      </c>
      <c r="BM14" s="175">
        <f t="shared" si="9"/>
        <v>4</v>
      </c>
      <c r="BN14" s="175">
        <f t="shared" si="27"/>
        <v>11</v>
      </c>
      <c r="BO14" s="175">
        <f t="shared" si="10"/>
        <v>4</v>
      </c>
      <c r="BP14" s="175">
        <f t="shared" si="11"/>
        <v>12</v>
      </c>
      <c r="BQ14" s="175">
        <f t="shared" si="12"/>
        <v>4</v>
      </c>
      <c r="BR14" s="175">
        <v>1</v>
      </c>
      <c r="BS14" s="175">
        <f t="shared" si="14"/>
        <v>4</v>
      </c>
      <c r="BT14" s="175">
        <f t="shared" si="15"/>
        <v>2</v>
      </c>
      <c r="BU14" s="175">
        <f t="shared" si="16"/>
        <v>4</v>
      </c>
      <c r="BV14" s="175">
        <f t="shared" si="17"/>
        <v>3</v>
      </c>
      <c r="BW14" s="175">
        <f t="shared" si="18"/>
        <v>4</v>
      </c>
      <c r="BX14" s="175">
        <f t="shared" si="19"/>
        <v>4</v>
      </c>
      <c r="BY14" s="175">
        <f t="shared" si="20"/>
        <v>4</v>
      </c>
      <c r="BZ14" s="175">
        <f t="shared" si="28"/>
        <v>5</v>
      </c>
      <c r="CA14" s="175">
        <f t="shared" si="21"/>
        <v>4</v>
      </c>
      <c r="CB14" s="175">
        <f t="shared" si="29"/>
        <v>6</v>
      </c>
      <c r="CC14" s="175">
        <f t="shared" si="22"/>
        <v>4</v>
      </c>
      <c r="CD14" s="175">
        <f t="shared" si="32"/>
        <v>7</v>
      </c>
      <c r="CE14" s="175">
        <f t="shared" si="23"/>
      </c>
      <c r="CF14" s="175">
        <f t="shared" si="31"/>
        <v>8</v>
      </c>
      <c r="CG14" s="175">
        <f t="shared" si="24"/>
      </c>
      <c r="CH14" s="177">
        <f t="shared" si="30"/>
        <v>9</v>
      </c>
      <c r="CI14" s="54"/>
      <c r="CL14" s="54"/>
      <c r="ET14" s="54"/>
    </row>
    <row r="15" spans="1:150" ht="21" customHeight="1">
      <c r="A15" s="67"/>
      <c r="B15" s="67"/>
      <c r="C15" s="50" t="s">
        <v>27</v>
      </c>
      <c r="D15" s="167"/>
      <c r="E15" s="51" t="s">
        <v>46</v>
      </c>
      <c r="F15" s="61">
        <f>+F13-F14</f>
        <v>679910</v>
      </c>
      <c r="G15" s="60"/>
      <c r="H15" s="67"/>
      <c r="I15" s="67"/>
      <c r="J15" s="182" t="str">
        <f>IF(L15&lt;&gt;"","6° Rendiconto","")</f>
        <v>6° Rendiconto</v>
      </c>
      <c r="K15" s="179"/>
      <c r="L15" s="236">
        <f>IF(G11&lt;&gt;"","",(IF(AA9&lt;=$AA$3,+VALUE(AJ9),"")))</f>
        <v>39019</v>
      </c>
      <c r="M15" s="234"/>
      <c r="N15" s="234"/>
      <c r="O15" s="234"/>
      <c r="Q15" s="220"/>
      <c r="R15" s="220"/>
      <c r="S15" s="220"/>
      <c r="T15" s="220">
        <f t="shared" si="25"/>
      </c>
      <c r="U15" s="220">
        <v>9</v>
      </c>
      <c r="V15" s="220" t="s">
        <v>69</v>
      </c>
      <c r="X15" s="41"/>
      <c r="AA15" s="230"/>
      <c r="AB15" s="230"/>
      <c r="AC15" s="230"/>
      <c r="AD15" s="250" t="str">
        <f aca="true" t="shared" si="33" ref="AD15:AD22">IF(AND(AD5=29,AE5=2),TEXT(1,0)&amp;"-"&amp;TEXT(3,0)&amp;"-"&amp;AC5,AE15)</f>
        <v>29-6-2005</v>
      </c>
      <c r="AE15" s="251" t="str">
        <f aca="true" t="shared" si="34" ref="AE15:AE22">IF(AND(AD5=30,AE5=2),TEXT(1,0)&amp;"-"&amp;TEXT(3,0)&amp;"-"&amp;AC5,AF15)</f>
        <v>29-6-2005</v>
      </c>
      <c r="AF15" s="251" t="str">
        <f aca="true" t="shared" si="35" ref="AF15:AF22">IF(AND(AD5=31,AE5=2),TEXT(1,0)&amp;"-"&amp;TEXT(3,0)&amp;"-"&amp;AC5,AG15)</f>
        <v>29-6-2005</v>
      </c>
      <c r="AG15" s="251" t="str">
        <f aca="true" t="shared" si="36" ref="AG15:AG22">IF(AND(AD5=31,AE5=4),TEXT(1,0)&amp;"-"&amp;TEXT(5,0)&amp;"-"&amp;AC5,AH15)</f>
        <v>29-6-2005</v>
      </c>
      <c r="AH15" s="251" t="str">
        <f aca="true" t="shared" si="37" ref="AH15:AH22">IF(AND(AD5=31,AE5=6),TEXT(1,0)&amp;"-"&amp;TEXT(7,0)&amp;"-"&amp;AC5,AI15)</f>
        <v>29-6-2005</v>
      </c>
      <c r="AI15" s="251" t="str">
        <f aca="true" t="shared" si="38" ref="AI15:AI22">IF(AND(AD5=31,AE5=9),TEXT(1,0)&amp;"-"&amp;TEXT(10,0)&amp;"-"&amp;AC5,AJ15)</f>
        <v>29-6-2005</v>
      </c>
      <c r="AJ15" s="252" t="str">
        <f aca="true" t="shared" si="39" ref="AJ15:AJ22">IF(AND(AD5=31,AE5=11),TEXT(1,0)&amp;"-"&amp;TEXT(12,0)&amp;"-"&amp;AC5,+AG5&amp;"-"&amp;+AH5&amp;"-"&amp;AC5)</f>
        <v>29-6-2005</v>
      </c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190">
        <f t="shared" si="26"/>
        <v>22</v>
      </c>
      <c r="BK15" s="226">
        <f t="shared" si="7"/>
        <v>4</v>
      </c>
      <c r="BL15" s="175">
        <f t="shared" si="8"/>
        <v>11</v>
      </c>
      <c r="BM15" s="175">
        <f t="shared" si="9"/>
        <v>4</v>
      </c>
      <c r="BN15" s="175">
        <f t="shared" si="27"/>
        <v>12</v>
      </c>
      <c r="BO15" s="175">
        <f t="shared" si="10"/>
        <v>4</v>
      </c>
      <c r="BP15" s="175">
        <v>1</v>
      </c>
      <c r="BQ15" s="175">
        <f t="shared" si="12"/>
        <v>4</v>
      </c>
      <c r="BR15" s="175">
        <f t="shared" si="13"/>
        <v>2</v>
      </c>
      <c r="BS15" s="175">
        <f t="shared" si="14"/>
        <v>4</v>
      </c>
      <c r="BT15" s="175">
        <f t="shared" si="15"/>
        <v>3</v>
      </c>
      <c r="BU15" s="175">
        <f t="shared" si="16"/>
        <v>4</v>
      </c>
      <c r="BV15" s="175">
        <f t="shared" si="17"/>
        <v>4</v>
      </c>
      <c r="BW15" s="175">
        <f t="shared" si="18"/>
        <v>4</v>
      </c>
      <c r="BX15" s="175">
        <f t="shared" si="19"/>
        <v>5</v>
      </c>
      <c r="BY15" s="175">
        <f t="shared" si="20"/>
        <v>4</v>
      </c>
      <c r="BZ15" s="175">
        <f t="shared" si="28"/>
        <v>6</v>
      </c>
      <c r="CA15" s="175">
        <f t="shared" si="21"/>
        <v>4</v>
      </c>
      <c r="CB15" s="175">
        <f t="shared" si="29"/>
        <v>7</v>
      </c>
      <c r="CC15" s="175">
        <f t="shared" si="22"/>
        <v>4</v>
      </c>
      <c r="CD15" s="175">
        <f t="shared" si="32"/>
        <v>8</v>
      </c>
      <c r="CE15" s="175">
        <f t="shared" si="23"/>
      </c>
      <c r="CF15" s="175">
        <f t="shared" si="31"/>
        <v>9</v>
      </c>
      <c r="CG15" s="175">
        <f t="shared" si="24"/>
      </c>
      <c r="CH15" s="177">
        <f t="shared" si="30"/>
        <v>10</v>
      </c>
      <c r="CI15" s="54"/>
      <c r="CL15" s="54"/>
      <c r="ET15" s="54"/>
    </row>
    <row r="16" spans="1:150" ht="21" customHeight="1">
      <c r="A16" s="67"/>
      <c r="B16" s="67"/>
      <c r="C16" s="50" t="s">
        <v>28</v>
      </c>
      <c r="D16" s="167"/>
      <c r="E16" s="51" t="s">
        <v>46</v>
      </c>
      <c r="F16" s="61">
        <f>+F14*0.3</f>
        <v>378807</v>
      </c>
      <c r="G16" s="60"/>
      <c r="H16" s="67"/>
      <c r="I16" s="67"/>
      <c r="J16" s="182" t="str">
        <f>IF(L16&lt;&gt;"","7° Rendiconto","")</f>
        <v>7° Rendiconto</v>
      </c>
      <c r="K16" s="179"/>
      <c r="L16" s="236">
        <f>IF(G11&lt;&gt;"","",(IF(AA10&lt;=$AA$3,+VALUE(AJ10),"")))</f>
        <v>39142</v>
      </c>
      <c r="M16" s="234"/>
      <c r="N16" s="234"/>
      <c r="O16" s="234"/>
      <c r="Q16" s="220"/>
      <c r="R16" s="220"/>
      <c r="S16" s="220"/>
      <c r="T16" s="220">
        <f t="shared" si="25"/>
      </c>
      <c r="U16" s="220">
        <v>10</v>
      </c>
      <c r="V16" s="220" t="s">
        <v>70</v>
      </c>
      <c r="X16" s="221"/>
      <c r="Y16" s="213"/>
      <c r="Z16" s="40"/>
      <c r="AC16" s="218"/>
      <c r="AD16" s="250" t="str">
        <f t="shared" si="33"/>
        <v>29-10-2005</v>
      </c>
      <c r="AE16" s="251" t="str">
        <f t="shared" si="34"/>
        <v>29-10-2005</v>
      </c>
      <c r="AF16" s="251" t="str">
        <f t="shared" si="35"/>
        <v>29-10-2005</v>
      </c>
      <c r="AG16" s="251" t="str">
        <f t="shared" si="36"/>
        <v>29-10-2005</v>
      </c>
      <c r="AH16" s="251" t="str">
        <f t="shared" si="37"/>
        <v>29-10-2005</v>
      </c>
      <c r="AI16" s="251" t="str">
        <f t="shared" si="38"/>
        <v>29-10-2005</v>
      </c>
      <c r="AJ16" s="252" t="str">
        <f t="shared" si="39"/>
        <v>29-10-2005</v>
      </c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190">
        <f t="shared" si="26"/>
        <v>23</v>
      </c>
      <c r="BK16" s="226">
        <f t="shared" si="7"/>
        <v>4</v>
      </c>
      <c r="BL16" s="175">
        <f t="shared" si="8"/>
        <v>12</v>
      </c>
      <c r="BM16" s="175">
        <f t="shared" si="9"/>
        <v>4</v>
      </c>
      <c r="BN16" s="175">
        <v>1</v>
      </c>
      <c r="BO16" s="175">
        <f t="shared" si="10"/>
        <v>4</v>
      </c>
      <c r="BP16" s="175">
        <f t="shared" si="11"/>
        <v>2</v>
      </c>
      <c r="BQ16" s="175">
        <f t="shared" si="12"/>
        <v>4</v>
      </c>
      <c r="BR16" s="175">
        <f t="shared" si="13"/>
        <v>3</v>
      </c>
      <c r="BS16" s="175">
        <f t="shared" si="14"/>
        <v>4</v>
      </c>
      <c r="BT16" s="175">
        <f t="shared" si="15"/>
        <v>4</v>
      </c>
      <c r="BU16" s="175">
        <f t="shared" si="16"/>
        <v>4</v>
      </c>
      <c r="BV16" s="175">
        <f t="shared" si="17"/>
        <v>5</v>
      </c>
      <c r="BW16" s="175">
        <f t="shared" si="18"/>
        <v>4</v>
      </c>
      <c r="BX16" s="175">
        <f t="shared" si="19"/>
        <v>6</v>
      </c>
      <c r="BY16" s="175">
        <f t="shared" si="20"/>
        <v>4</v>
      </c>
      <c r="BZ16" s="175">
        <f t="shared" si="28"/>
        <v>7</v>
      </c>
      <c r="CA16" s="175">
        <f t="shared" si="21"/>
        <v>4</v>
      </c>
      <c r="CB16" s="175">
        <f t="shared" si="29"/>
        <v>8</v>
      </c>
      <c r="CC16" s="175">
        <f t="shared" si="22"/>
        <v>4</v>
      </c>
      <c r="CD16" s="175">
        <f t="shared" si="32"/>
        <v>9</v>
      </c>
      <c r="CE16" s="175">
        <f t="shared" si="23"/>
      </c>
      <c r="CF16" s="175">
        <f t="shared" si="31"/>
        <v>10</v>
      </c>
      <c r="CG16" s="175">
        <f t="shared" si="24"/>
      </c>
      <c r="CH16" s="177">
        <f t="shared" si="30"/>
        <v>11</v>
      </c>
      <c r="CI16" s="54"/>
      <c r="CL16" s="54"/>
      <c r="ET16" s="54"/>
    </row>
    <row r="17" spans="1:150" ht="21" customHeight="1">
      <c r="A17" s="67"/>
      <c r="B17" s="67"/>
      <c r="C17" s="50" t="s">
        <v>48</v>
      </c>
      <c r="D17" s="167"/>
      <c r="E17" s="51" t="s">
        <v>46</v>
      </c>
      <c r="F17" s="61">
        <f>+F14*0.5</f>
        <v>631345</v>
      </c>
      <c r="G17" s="60"/>
      <c r="H17" s="67"/>
      <c r="I17" s="67"/>
      <c r="J17" s="182">
        <f>IF(L17&lt;&gt;"","8° Rendiconto","")</f>
      </c>
      <c r="K17" s="179"/>
      <c r="L17" s="236">
        <f>IF(G11&lt;&gt;"","",(IF(AA11&lt;=$AA$3,+VALUE(AJ11),"")))</f>
      </c>
      <c r="M17" s="234"/>
      <c r="N17" s="234"/>
      <c r="O17" s="234"/>
      <c r="Q17" s="220"/>
      <c r="R17" s="220"/>
      <c r="S17" s="220"/>
      <c r="T17" s="220">
        <f t="shared" si="25"/>
      </c>
      <c r="U17" s="220">
        <v>11</v>
      </c>
      <c r="V17" s="220" t="s">
        <v>71</v>
      </c>
      <c r="X17" s="221"/>
      <c r="Y17" s="213"/>
      <c r="AC17" s="218"/>
      <c r="AD17" s="250" t="str">
        <f t="shared" si="33"/>
        <v>1-3-2006</v>
      </c>
      <c r="AE17" s="251" t="str">
        <f t="shared" si="34"/>
        <v>29-2-2006</v>
      </c>
      <c r="AF17" s="251" t="str">
        <f t="shared" si="35"/>
        <v>29-2-2006</v>
      </c>
      <c r="AG17" s="251" t="str">
        <f t="shared" si="36"/>
        <v>29-2-2006</v>
      </c>
      <c r="AH17" s="251" t="str">
        <f t="shared" si="37"/>
        <v>29-2-2006</v>
      </c>
      <c r="AI17" s="251" t="str">
        <f t="shared" si="38"/>
        <v>29-2-2006</v>
      </c>
      <c r="AJ17" s="252" t="str">
        <f t="shared" si="39"/>
        <v>29-2-2006</v>
      </c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190">
        <f t="shared" si="26"/>
        <v>24</v>
      </c>
      <c r="BK17" s="226">
        <f t="shared" si="7"/>
        <v>4</v>
      </c>
      <c r="BL17" s="175">
        <v>1</v>
      </c>
      <c r="BM17" s="175">
        <f t="shared" si="9"/>
        <v>4</v>
      </c>
      <c r="BN17" s="175">
        <f t="shared" si="27"/>
        <v>2</v>
      </c>
      <c r="BO17" s="175">
        <f t="shared" si="10"/>
        <v>4</v>
      </c>
      <c r="BP17" s="175">
        <f t="shared" si="11"/>
        <v>3</v>
      </c>
      <c r="BQ17" s="175">
        <f t="shared" si="12"/>
        <v>4</v>
      </c>
      <c r="BR17" s="175">
        <f t="shared" si="13"/>
        <v>4</v>
      </c>
      <c r="BS17" s="175">
        <f t="shared" si="14"/>
        <v>4</v>
      </c>
      <c r="BT17" s="175">
        <f t="shared" si="15"/>
        <v>5</v>
      </c>
      <c r="BU17" s="175">
        <f t="shared" si="16"/>
        <v>4</v>
      </c>
      <c r="BV17" s="175">
        <f t="shared" si="17"/>
        <v>6</v>
      </c>
      <c r="BW17" s="175">
        <f t="shared" si="18"/>
        <v>4</v>
      </c>
      <c r="BX17" s="175">
        <f t="shared" si="19"/>
        <v>7</v>
      </c>
      <c r="BY17" s="175">
        <f t="shared" si="20"/>
        <v>4</v>
      </c>
      <c r="BZ17" s="175">
        <f t="shared" si="28"/>
        <v>8</v>
      </c>
      <c r="CA17" s="175">
        <f t="shared" si="21"/>
        <v>4</v>
      </c>
      <c r="CB17" s="175">
        <f t="shared" si="29"/>
        <v>9</v>
      </c>
      <c r="CC17" s="175">
        <f t="shared" si="22"/>
        <v>4</v>
      </c>
      <c r="CD17" s="175">
        <f t="shared" si="32"/>
        <v>10</v>
      </c>
      <c r="CE17" s="175">
        <f t="shared" si="23"/>
      </c>
      <c r="CF17" s="175">
        <f t="shared" si="31"/>
        <v>11</v>
      </c>
      <c r="CG17" s="175">
        <f t="shared" si="24"/>
      </c>
      <c r="CH17" s="177">
        <f t="shared" si="30"/>
        <v>12</v>
      </c>
      <c r="CI17" s="54"/>
      <c r="CL17" s="54"/>
      <c r="ET17" s="54"/>
    </row>
    <row r="18" spans="1:150" ht="21" customHeight="1">
      <c r="A18" s="67"/>
      <c r="B18" s="67"/>
      <c r="C18" s="50" t="s">
        <v>49</v>
      </c>
      <c r="D18" s="167"/>
      <c r="E18" s="59" t="s">
        <v>46</v>
      </c>
      <c r="F18" s="62">
        <f>+F14*0.2</f>
        <v>252538</v>
      </c>
      <c r="G18" s="63"/>
      <c r="H18" s="67"/>
      <c r="I18" s="67"/>
      <c r="J18" s="183" t="str">
        <f>IF(G11="","SAL Finale","")</f>
        <v>SAL Finale</v>
      </c>
      <c r="K18" s="180"/>
      <c r="L18" s="237" t="str">
        <f>IF(G11&lt;&gt;"","",+L7)</f>
        <v>29 aprile 2007</v>
      </c>
      <c r="M18" s="234"/>
      <c r="N18" s="234"/>
      <c r="O18" s="234"/>
      <c r="Q18" s="220"/>
      <c r="R18" s="220"/>
      <c r="S18" s="220"/>
      <c r="T18" s="220">
        <f>IF($T$4=U18,V18,"")</f>
      </c>
      <c r="U18" s="220">
        <v>12</v>
      </c>
      <c r="V18" s="220" t="s">
        <v>72</v>
      </c>
      <c r="X18" s="221"/>
      <c r="Y18" s="213"/>
      <c r="AC18" s="218"/>
      <c r="AD18" s="250" t="str">
        <f t="shared" si="33"/>
        <v>29-6-2006</v>
      </c>
      <c r="AE18" s="251" t="str">
        <f t="shared" si="34"/>
        <v>29-6-2006</v>
      </c>
      <c r="AF18" s="251" t="str">
        <f t="shared" si="35"/>
        <v>29-6-2006</v>
      </c>
      <c r="AG18" s="251" t="str">
        <f t="shared" si="36"/>
        <v>29-6-2006</v>
      </c>
      <c r="AH18" s="251" t="str">
        <f t="shared" si="37"/>
        <v>29-6-2006</v>
      </c>
      <c r="AI18" s="251" t="str">
        <f t="shared" si="38"/>
        <v>29-6-2006</v>
      </c>
      <c r="AJ18" s="252" t="str">
        <f t="shared" si="39"/>
        <v>29-6-2006</v>
      </c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190">
        <f t="shared" si="26"/>
        <v>25</v>
      </c>
      <c r="BK18" s="226">
        <f t="shared" si="7"/>
        <v>4</v>
      </c>
      <c r="BL18" s="175">
        <f aca="true" t="shared" si="40" ref="BL18:BL28">1+BL17</f>
        <v>2</v>
      </c>
      <c r="BM18" s="175">
        <f t="shared" si="9"/>
        <v>4</v>
      </c>
      <c r="BN18" s="175">
        <f t="shared" si="27"/>
        <v>3</v>
      </c>
      <c r="BO18" s="175">
        <f t="shared" si="10"/>
        <v>4</v>
      </c>
      <c r="BP18" s="175">
        <f t="shared" si="11"/>
        <v>4</v>
      </c>
      <c r="BQ18" s="175">
        <f t="shared" si="12"/>
        <v>4</v>
      </c>
      <c r="BR18" s="175">
        <f t="shared" si="13"/>
        <v>5</v>
      </c>
      <c r="BS18" s="175">
        <f t="shared" si="14"/>
        <v>4</v>
      </c>
      <c r="BT18" s="175">
        <f t="shared" si="15"/>
        <v>6</v>
      </c>
      <c r="BU18" s="175">
        <f t="shared" si="16"/>
        <v>4</v>
      </c>
      <c r="BV18" s="175">
        <f t="shared" si="17"/>
        <v>7</v>
      </c>
      <c r="BW18" s="175">
        <f t="shared" si="18"/>
        <v>4</v>
      </c>
      <c r="BX18" s="175">
        <f t="shared" si="19"/>
        <v>8</v>
      </c>
      <c r="BY18" s="175">
        <f t="shared" si="20"/>
        <v>4</v>
      </c>
      <c r="BZ18" s="175">
        <f t="shared" si="28"/>
        <v>9</v>
      </c>
      <c r="CA18" s="175">
        <f t="shared" si="21"/>
        <v>4</v>
      </c>
      <c r="CB18" s="175">
        <f t="shared" si="29"/>
        <v>10</v>
      </c>
      <c r="CC18" s="175">
        <f t="shared" si="22"/>
        <v>4</v>
      </c>
      <c r="CD18" s="175">
        <f t="shared" si="32"/>
        <v>11</v>
      </c>
      <c r="CE18" s="175">
        <f t="shared" si="23"/>
      </c>
      <c r="CF18" s="175">
        <f t="shared" si="31"/>
        <v>12</v>
      </c>
      <c r="CG18" s="175">
        <f t="shared" si="24"/>
      </c>
      <c r="CH18" s="177">
        <v>1</v>
      </c>
      <c r="CI18" s="54"/>
      <c r="CL18" s="54"/>
      <c r="ET18" s="54"/>
    </row>
    <row r="19" spans="1:150" ht="21" customHeight="1">
      <c r="A19" s="67"/>
      <c r="B19" s="67"/>
      <c r="C19" s="67"/>
      <c r="D19" s="67"/>
      <c r="E19" s="68"/>
      <c r="F19" s="67"/>
      <c r="G19" s="67"/>
      <c r="H19" s="67"/>
      <c r="I19" s="67"/>
      <c r="J19" s="67"/>
      <c r="K19" s="67"/>
      <c r="L19" s="67"/>
      <c r="M19" s="67"/>
      <c r="N19" s="67"/>
      <c r="O19" s="67"/>
      <c r="Q19" s="220"/>
      <c r="R19" s="220"/>
      <c r="S19" s="220"/>
      <c r="T19" s="220"/>
      <c r="U19" s="220"/>
      <c r="V19" s="220"/>
      <c r="X19" s="222"/>
      <c r="Y19" s="37"/>
      <c r="AC19" s="218"/>
      <c r="AD19" s="250" t="str">
        <f t="shared" si="33"/>
        <v>29-10-2006</v>
      </c>
      <c r="AE19" s="251" t="str">
        <f t="shared" si="34"/>
        <v>29-10-2006</v>
      </c>
      <c r="AF19" s="251" t="str">
        <f t="shared" si="35"/>
        <v>29-10-2006</v>
      </c>
      <c r="AG19" s="251" t="str">
        <f t="shared" si="36"/>
        <v>29-10-2006</v>
      </c>
      <c r="AH19" s="251" t="str">
        <f t="shared" si="37"/>
        <v>29-10-2006</v>
      </c>
      <c r="AI19" s="251" t="str">
        <f t="shared" si="38"/>
        <v>29-10-2006</v>
      </c>
      <c r="AJ19" s="252" t="str">
        <f t="shared" si="39"/>
        <v>29-10-2006</v>
      </c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190">
        <f t="shared" si="26"/>
        <v>26</v>
      </c>
      <c r="BK19" s="226">
        <f t="shared" si="7"/>
        <v>4</v>
      </c>
      <c r="BL19" s="175">
        <f t="shared" si="40"/>
        <v>3</v>
      </c>
      <c r="BM19" s="175">
        <f t="shared" si="9"/>
        <v>4</v>
      </c>
      <c r="BN19" s="175">
        <f t="shared" si="27"/>
        <v>4</v>
      </c>
      <c r="BO19" s="175">
        <f t="shared" si="10"/>
        <v>4</v>
      </c>
      <c r="BP19" s="175">
        <f t="shared" si="11"/>
        <v>5</v>
      </c>
      <c r="BQ19" s="175">
        <f t="shared" si="12"/>
        <v>4</v>
      </c>
      <c r="BR19" s="175">
        <f t="shared" si="13"/>
        <v>6</v>
      </c>
      <c r="BS19" s="175">
        <f t="shared" si="14"/>
        <v>4</v>
      </c>
      <c r="BT19" s="175">
        <f t="shared" si="15"/>
        <v>7</v>
      </c>
      <c r="BU19" s="175">
        <f t="shared" si="16"/>
        <v>4</v>
      </c>
      <c r="BV19" s="175">
        <f t="shared" si="17"/>
        <v>8</v>
      </c>
      <c r="BW19" s="175">
        <f t="shared" si="18"/>
        <v>4</v>
      </c>
      <c r="BX19" s="175">
        <f t="shared" si="19"/>
        <v>9</v>
      </c>
      <c r="BY19" s="175">
        <f t="shared" si="20"/>
        <v>4</v>
      </c>
      <c r="BZ19" s="175">
        <f t="shared" si="28"/>
        <v>10</v>
      </c>
      <c r="CA19" s="175">
        <f t="shared" si="21"/>
        <v>4</v>
      </c>
      <c r="CB19" s="175">
        <f t="shared" si="29"/>
        <v>11</v>
      </c>
      <c r="CC19" s="175">
        <f t="shared" si="22"/>
        <v>4</v>
      </c>
      <c r="CD19" s="175">
        <f t="shared" si="32"/>
        <v>12</v>
      </c>
      <c r="CE19" s="175">
        <f t="shared" si="23"/>
      </c>
      <c r="CF19" s="175">
        <v>1</v>
      </c>
      <c r="CG19" s="175">
        <f t="shared" si="24"/>
      </c>
      <c r="CH19" s="177">
        <f t="shared" si="30"/>
        <v>2</v>
      </c>
      <c r="CI19" s="37"/>
      <c r="CL19" s="37"/>
      <c r="ET19" s="37"/>
    </row>
    <row r="20" spans="1:150" ht="21" customHeight="1">
      <c r="A20" s="67"/>
      <c r="B20" s="67"/>
      <c r="C20" s="67"/>
      <c r="D20" s="67"/>
      <c r="E20" s="68"/>
      <c r="F20" s="67"/>
      <c r="G20" s="67"/>
      <c r="H20" s="67"/>
      <c r="I20" s="67"/>
      <c r="J20" s="67"/>
      <c r="K20" s="67"/>
      <c r="L20" s="67"/>
      <c r="M20" s="67"/>
      <c r="N20" s="67"/>
      <c r="O20" s="67"/>
      <c r="Q20" s="220"/>
      <c r="R20" s="220"/>
      <c r="S20" s="220"/>
      <c r="T20" s="220"/>
      <c r="U20" s="220"/>
      <c r="V20" s="220"/>
      <c r="X20" s="222"/>
      <c r="Y20" s="37"/>
      <c r="AC20" s="218"/>
      <c r="AD20" s="250" t="str">
        <f t="shared" si="33"/>
        <v>1-3-2007</v>
      </c>
      <c r="AE20" s="251" t="str">
        <f t="shared" si="34"/>
        <v>29-2-2007</v>
      </c>
      <c r="AF20" s="251" t="str">
        <f t="shared" si="35"/>
        <v>29-2-2007</v>
      </c>
      <c r="AG20" s="251" t="str">
        <f t="shared" si="36"/>
        <v>29-2-2007</v>
      </c>
      <c r="AH20" s="251" t="str">
        <f t="shared" si="37"/>
        <v>29-2-2007</v>
      </c>
      <c r="AI20" s="251" t="str">
        <f t="shared" si="38"/>
        <v>29-2-2007</v>
      </c>
      <c r="AJ20" s="252" t="str">
        <f t="shared" si="39"/>
        <v>29-2-2007</v>
      </c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190">
        <f t="shared" si="26"/>
        <v>27</v>
      </c>
      <c r="BK20" s="226">
        <f t="shared" si="7"/>
        <v>4</v>
      </c>
      <c r="BL20" s="175">
        <f t="shared" si="40"/>
        <v>4</v>
      </c>
      <c r="BM20" s="175">
        <f t="shared" si="9"/>
        <v>4</v>
      </c>
      <c r="BN20" s="175">
        <f t="shared" si="27"/>
        <v>5</v>
      </c>
      <c r="BO20" s="175">
        <f t="shared" si="10"/>
        <v>4</v>
      </c>
      <c r="BP20" s="175">
        <f t="shared" si="11"/>
        <v>6</v>
      </c>
      <c r="BQ20" s="175">
        <f t="shared" si="12"/>
        <v>4</v>
      </c>
      <c r="BR20" s="175">
        <f t="shared" si="13"/>
        <v>7</v>
      </c>
      <c r="BS20" s="175">
        <f t="shared" si="14"/>
        <v>4</v>
      </c>
      <c r="BT20" s="175">
        <f t="shared" si="15"/>
        <v>8</v>
      </c>
      <c r="BU20" s="175">
        <f t="shared" si="16"/>
        <v>4</v>
      </c>
      <c r="BV20" s="175">
        <f t="shared" si="17"/>
        <v>9</v>
      </c>
      <c r="BW20" s="175">
        <f t="shared" si="18"/>
        <v>4</v>
      </c>
      <c r="BX20" s="175">
        <f t="shared" si="19"/>
        <v>10</v>
      </c>
      <c r="BY20" s="175">
        <f t="shared" si="20"/>
        <v>4</v>
      </c>
      <c r="BZ20" s="175">
        <f t="shared" si="28"/>
        <v>11</v>
      </c>
      <c r="CA20" s="175">
        <f t="shared" si="21"/>
        <v>4</v>
      </c>
      <c r="CB20" s="175">
        <f t="shared" si="29"/>
        <v>12</v>
      </c>
      <c r="CC20" s="175">
        <f t="shared" si="22"/>
        <v>4</v>
      </c>
      <c r="CD20" s="175">
        <v>1</v>
      </c>
      <c r="CE20" s="175">
        <f t="shared" si="23"/>
      </c>
      <c r="CF20" s="175">
        <f t="shared" si="31"/>
        <v>2</v>
      </c>
      <c r="CG20" s="175">
        <f t="shared" si="24"/>
      </c>
      <c r="CH20" s="177">
        <f t="shared" si="30"/>
        <v>3</v>
      </c>
      <c r="CI20" s="37"/>
      <c r="CL20" s="37"/>
      <c r="ET20" s="37"/>
    </row>
    <row r="21" spans="1:150" ht="21" customHeight="1">
      <c r="A21" s="67"/>
      <c r="B21" s="67"/>
      <c r="C21" s="67"/>
      <c r="D21" s="67"/>
      <c r="E21" s="68"/>
      <c r="F21" s="67"/>
      <c r="G21" s="67"/>
      <c r="H21" s="67"/>
      <c r="I21" s="67"/>
      <c r="J21" s="67"/>
      <c r="K21" s="71"/>
      <c r="L21" s="71"/>
      <c r="M21" s="71"/>
      <c r="N21" s="71"/>
      <c r="O21" s="71"/>
      <c r="Q21" s="220"/>
      <c r="R21" s="220"/>
      <c r="S21" s="220"/>
      <c r="T21" s="220"/>
      <c r="U21" s="220"/>
      <c r="V21" s="220"/>
      <c r="X21" s="222"/>
      <c r="Y21" s="37"/>
      <c r="AC21" s="218"/>
      <c r="AD21" s="250" t="str">
        <f t="shared" si="33"/>
        <v>29-6-2007</v>
      </c>
      <c r="AE21" s="251" t="str">
        <f t="shared" si="34"/>
        <v>29-6-2007</v>
      </c>
      <c r="AF21" s="251" t="str">
        <f t="shared" si="35"/>
        <v>29-6-2007</v>
      </c>
      <c r="AG21" s="251" t="str">
        <f t="shared" si="36"/>
        <v>29-6-2007</v>
      </c>
      <c r="AH21" s="251" t="str">
        <f t="shared" si="37"/>
        <v>29-6-2007</v>
      </c>
      <c r="AI21" s="251" t="str">
        <f t="shared" si="38"/>
        <v>29-6-2007</v>
      </c>
      <c r="AJ21" s="252" t="str">
        <f t="shared" si="39"/>
        <v>29-6-2007</v>
      </c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190">
        <f t="shared" si="26"/>
        <v>28</v>
      </c>
      <c r="BK21" s="226">
        <f t="shared" si="7"/>
        <v>4</v>
      </c>
      <c r="BL21" s="175">
        <f t="shared" si="40"/>
        <v>5</v>
      </c>
      <c r="BM21" s="175">
        <f t="shared" si="9"/>
        <v>4</v>
      </c>
      <c r="BN21" s="175">
        <f t="shared" si="27"/>
        <v>6</v>
      </c>
      <c r="BO21" s="175">
        <f t="shared" si="10"/>
        <v>4</v>
      </c>
      <c r="BP21" s="175">
        <f t="shared" si="11"/>
        <v>7</v>
      </c>
      <c r="BQ21" s="175">
        <f t="shared" si="12"/>
        <v>4</v>
      </c>
      <c r="BR21" s="175">
        <f t="shared" si="13"/>
        <v>8</v>
      </c>
      <c r="BS21" s="175">
        <f t="shared" si="14"/>
        <v>4</v>
      </c>
      <c r="BT21" s="175">
        <f t="shared" si="15"/>
        <v>9</v>
      </c>
      <c r="BU21" s="175">
        <f t="shared" si="16"/>
        <v>4</v>
      </c>
      <c r="BV21" s="175">
        <f t="shared" si="17"/>
        <v>10</v>
      </c>
      <c r="BW21" s="175">
        <f t="shared" si="18"/>
        <v>4</v>
      </c>
      <c r="BX21" s="175">
        <f t="shared" si="19"/>
        <v>11</v>
      </c>
      <c r="BY21" s="175">
        <f t="shared" si="20"/>
        <v>4</v>
      </c>
      <c r="BZ21" s="175">
        <f t="shared" si="28"/>
        <v>12</v>
      </c>
      <c r="CA21" s="175">
        <f t="shared" si="21"/>
        <v>4</v>
      </c>
      <c r="CB21" s="175">
        <v>1</v>
      </c>
      <c r="CC21" s="175">
        <f t="shared" si="22"/>
        <v>4</v>
      </c>
      <c r="CD21" s="175">
        <f aca="true" t="shared" si="41" ref="CD21:CD29">1+CD20</f>
        <v>2</v>
      </c>
      <c r="CE21" s="175">
        <f t="shared" si="23"/>
      </c>
      <c r="CF21" s="175">
        <f t="shared" si="31"/>
        <v>3</v>
      </c>
      <c r="CG21" s="175">
        <f t="shared" si="24"/>
      </c>
      <c r="CH21" s="177">
        <f t="shared" si="30"/>
        <v>4</v>
      </c>
      <c r="CI21" s="37"/>
      <c r="CL21" s="37"/>
      <c r="ET21" s="37"/>
    </row>
    <row r="22" spans="1:150" ht="21" customHeight="1">
      <c r="A22" s="67"/>
      <c r="B22" s="67"/>
      <c r="C22" s="67"/>
      <c r="D22" s="67"/>
      <c r="E22" s="68"/>
      <c r="F22" s="67"/>
      <c r="G22" s="67"/>
      <c r="H22" s="67"/>
      <c r="I22" s="67"/>
      <c r="J22" s="67"/>
      <c r="K22" s="71"/>
      <c r="L22" s="71"/>
      <c r="M22" s="71"/>
      <c r="N22" s="71"/>
      <c r="O22" s="71"/>
      <c r="Q22" s="220"/>
      <c r="R22" s="220"/>
      <c r="S22" s="220"/>
      <c r="T22" s="220"/>
      <c r="U22" s="220"/>
      <c r="V22" s="220"/>
      <c r="X22" s="222"/>
      <c r="Y22" s="37"/>
      <c r="AC22" s="218"/>
      <c r="AD22" s="253" t="str">
        <f t="shared" si="33"/>
        <v>29-10-2007</v>
      </c>
      <c r="AE22" s="254" t="str">
        <f t="shared" si="34"/>
        <v>29-10-2007</v>
      </c>
      <c r="AF22" s="254" t="str">
        <f t="shared" si="35"/>
        <v>29-10-2007</v>
      </c>
      <c r="AG22" s="254" t="str">
        <f t="shared" si="36"/>
        <v>29-10-2007</v>
      </c>
      <c r="AH22" s="254" t="str">
        <f t="shared" si="37"/>
        <v>29-10-2007</v>
      </c>
      <c r="AI22" s="254" t="str">
        <f t="shared" si="38"/>
        <v>29-10-2007</v>
      </c>
      <c r="AJ22" s="255" t="str">
        <f t="shared" si="39"/>
        <v>29-10-2007</v>
      </c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190">
        <f t="shared" si="26"/>
        <v>29</v>
      </c>
      <c r="BK22" s="226">
        <f t="shared" si="7"/>
        <v>4</v>
      </c>
      <c r="BL22" s="175">
        <f t="shared" si="40"/>
        <v>6</v>
      </c>
      <c r="BM22" s="175">
        <f t="shared" si="9"/>
        <v>4</v>
      </c>
      <c r="BN22" s="175">
        <f t="shared" si="27"/>
        <v>7</v>
      </c>
      <c r="BO22" s="175">
        <f t="shared" si="10"/>
        <v>4</v>
      </c>
      <c r="BP22" s="175">
        <f t="shared" si="11"/>
        <v>8</v>
      </c>
      <c r="BQ22" s="175">
        <f t="shared" si="12"/>
        <v>4</v>
      </c>
      <c r="BR22" s="175">
        <f t="shared" si="13"/>
        <v>9</v>
      </c>
      <c r="BS22" s="175">
        <f t="shared" si="14"/>
        <v>4</v>
      </c>
      <c r="BT22" s="175">
        <f t="shared" si="15"/>
        <v>10</v>
      </c>
      <c r="BU22" s="175">
        <f t="shared" si="16"/>
        <v>4</v>
      </c>
      <c r="BV22" s="175">
        <f t="shared" si="17"/>
        <v>11</v>
      </c>
      <c r="BW22" s="175">
        <f t="shared" si="18"/>
        <v>4</v>
      </c>
      <c r="BX22" s="175">
        <f t="shared" si="19"/>
        <v>12</v>
      </c>
      <c r="BY22" s="175">
        <f t="shared" si="20"/>
        <v>4</v>
      </c>
      <c r="BZ22" s="175">
        <v>1</v>
      </c>
      <c r="CA22" s="175">
        <f t="shared" si="21"/>
        <v>4</v>
      </c>
      <c r="CB22" s="175">
        <f t="shared" si="29"/>
        <v>2</v>
      </c>
      <c r="CC22" s="175">
        <f t="shared" si="22"/>
        <v>4</v>
      </c>
      <c r="CD22" s="175">
        <f t="shared" si="41"/>
        <v>3</v>
      </c>
      <c r="CE22" s="175">
        <f t="shared" si="23"/>
      </c>
      <c r="CF22" s="175">
        <f t="shared" si="31"/>
        <v>4</v>
      </c>
      <c r="CG22" s="175">
        <f t="shared" si="24"/>
      </c>
      <c r="CH22" s="177">
        <f t="shared" si="30"/>
        <v>5</v>
      </c>
      <c r="CI22" s="37"/>
      <c r="CL22" s="37"/>
      <c r="ET22" s="37"/>
    </row>
    <row r="23" spans="1:150" ht="21" customHeight="1">
      <c r="A23" s="67"/>
      <c r="B23" s="67"/>
      <c r="C23" s="67"/>
      <c r="D23" s="67"/>
      <c r="E23" s="68"/>
      <c r="F23" s="67"/>
      <c r="G23" s="67"/>
      <c r="H23" s="67"/>
      <c r="I23" s="67"/>
      <c r="J23" s="71"/>
      <c r="K23" s="71"/>
      <c r="L23" s="71"/>
      <c r="M23" s="71"/>
      <c r="N23" s="71"/>
      <c r="O23" s="71"/>
      <c r="Q23" s="220"/>
      <c r="R23" s="220"/>
      <c r="S23" s="220"/>
      <c r="T23" s="220"/>
      <c r="U23" s="220"/>
      <c r="V23" s="220"/>
      <c r="X23" s="222"/>
      <c r="Y23" s="37"/>
      <c r="AC23" s="218"/>
      <c r="AD23" s="39"/>
      <c r="AE23" s="37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190">
        <f t="shared" si="26"/>
        <v>30</v>
      </c>
      <c r="BK23" s="226">
        <f t="shared" si="7"/>
        <v>4</v>
      </c>
      <c r="BL23" s="175">
        <f t="shared" si="40"/>
        <v>7</v>
      </c>
      <c r="BM23" s="175">
        <f t="shared" si="9"/>
        <v>4</v>
      </c>
      <c r="BN23" s="175">
        <f t="shared" si="27"/>
        <v>8</v>
      </c>
      <c r="BO23" s="175">
        <f t="shared" si="10"/>
        <v>4</v>
      </c>
      <c r="BP23" s="175">
        <f t="shared" si="11"/>
        <v>9</v>
      </c>
      <c r="BQ23" s="175">
        <f t="shared" si="12"/>
        <v>4</v>
      </c>
      <c r="BR23" s="175">
        <f t="shared" si="13"/>
        <v>10</v>
      </c>
      <c r="BS23" s="175">
        <f t="shared" si="14"/>
        <v>4</v>
      </c>
      <c r="BT23" s="175">
        <f t="shared" si="15"/>
        <v>11</v>
      </c>
      <c r="BU23" s="175">
        <f t="shared" si="16"/>
        <v>4</v>
      </c>
      <c r="BV23" s="175">
        <f t="shared" si="17"/>
        <v>12</v>
      </c>
      <c r="BW23" s="175">
        <f t="shared" si="18"/>
        <v>4</v>
      </c>
      <c r="BX23" s="175">
        <v>1</v>
      </c>
      <c r="BY23" s="175">
        <f t="shared" si="20"/>
        <v>4</v>
      </c>
      <c r="BZ23" s="175">
        <f t="shared" si="28"/>
        <v>2</v>
      </c>
      <c r="CA23" s="175">
        <f t="shared" si="21"/>
        <v>4</v>
      </c>
      <c r="CB23" s="175">
        <f t="shared" si="29"/>
        <v>3</v>
      </c>
      <c r="CC23" s="175">
        <f t="shared" si="22"/>
        <v>4</v>
      </c>
      <c r="CD23" s="175">
        <f t="shared" si="41"/>
        <v>4</v>
      </c>
      <c r="CE23" s="175">
        <f t="shared" si="23"/>
      </c>
      <c r="CF23" s="175">
        <f t="shared" si="31"/>
        <v>5</v>
      </c>
      <c r="CG23" s="175">
        <f t="shared" si="24"/>
      </c>
      <c r="CH23" s="177">
        <f t="shared" si="30"/>
        <v>6</v>
      </c>
      <c r="CI23" s="37"/>
      <c r="CL23" s="37"/>
      <c r="ET23" s="37"/>
    </row>
    <row r="24" spans="1:150" ht="21" customHeight="1">
      <c r="A24" s="67"/>
      <c r="B24" s="67"/>
      <c r="C24" s="67"/>
      <c r="D24" s="67"/>
      <c r="E24" s="68"/>
      <c r="F24" s="67"/>
      <c r="G24" s="67"/>
      <c r="H24" s="67"/>
      <c r="I24" s="67"/>
      <c r="J24" s="71"/>
      <c r="K24" s="71"/>
      <c r="L24" s="71"/>
      <c r="M24" s="71"/>
      <c r="N24" s="71"/>
      <c r="O24" s="71"/>
      <c r="Q24" s="220"/>
      <c r="R24" s="220"/>
      <c r="S24" s="220"/>
      <c r="T24" s="220"/>
      <c r="U24" s="220"/>
      <c r="V24" s="220"/>
      <c r="X24" s="222"/>
      <c r="Y24" s="37"/>
      <c r="AC24" s="218"/>
      <c r="AD24" s="39"/>
      <c r="AE24" s="37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190">
        <f t="shared" si="26"/>
        <v>31</v>
      </c>
      <c r="BK24" s="226">
        <f t="shared" si="7"/>
        <v>4</v>
      </c>
      <c r="BL24" s="175">
        <f t="shared" si="40"/>
        <v>8</v>
      </c>
      <c r="BM24" s="175">
        <f t="shared" si="9"/>
        <v>4</v>
      </c>
      <c r="BN24" s="175">
        <f t="shared" si="27"/>
        <v>9</v>
      </c>
      <c r="BO24" s="175">
        <f t="shared" si="10"/>
        <v>4</v>
      </c>
      <c r="BP24" s="175">
        <f t="shared" si="11"/>
        <v>10</v>
      </c>
      <c r="BQ24" s="175">
        <f t="shared" si="12"/>
        <v>4</v>
      </c>
      <c r="BR24" s="175">
        <f t="shared" si="13"/>
        <v>11</v>
      </c>
      <c r="BS24" s="175">
        <f t="shared" si="14"/>
        <v>4</v>
      </c>
      <c r="BT24" s="175">
        <f t="shared" si="15"/>
        <v>12</v>
      </c>
      <c r="BU24" s="175">
        <f t="shared" si="16"/>
        <v>4</v>
      </c>
      <c r="BV24" s="175">
        <v>1</v>
      </c>
      <c r="BW24" s="175">
        <f t="shared" si="18"/>
        <v>4</v>
      </c>
      <c r="BX24" s="175">
        <f t="shared" si="19"/>
        <v>2</v>
      </c>
      <c r="BY24" s="175">
        <f t="shared" si="20"/>
        <v>4</v>
      </c>
      <c r="BZ24" s="175">
        <f t="shared" si="28"/>
        <v>3</v>
      </c>
      <c r="CA24" s="175">
        <f t="shared" si="21"/>
        <v>4</v>
      </c>
      <c r="CB24" s="175">
        <f t="shared" si="29"/>
        <v>4</v>
      </c>
      <c r="CC24" s="175">
        <f t="shared" si="22"/>
      </c>
      <c r="CD24" s="175">
        <f t="shared" si="41"/>
        <v>5</v>
      </c>
      <c r="CE24" s="175">
        <f t="shared" si="23"/>
      </c>
      <c r="CF24" s="175">
        <f t="shared" si="31"/>
        <v>6</v>
      </c>
      <c r="CG24" s="175">
        <f t="shared" si="24"/>
      </c>
      <c r="CH24" s="177">
        <f t="shared" si="30"/>
        <v>7</v>
      </c>
      <c r="CI24" s="37"/>
      <c r="CL24" s="37"/>
      <c r="ET24" s="37"/>
    </row>
    <row r="25" spans="1:150" ht="21" customHeight="1">
      <c r="A25" s="67"/>
      <c r="B25" s="67"/>
      <c r="C25" s="67"/>
      <c r="D25" s="67"/>
      <c r="E25" s="68"/>
      <c r="F25" s="67"/>
      <c r="G25" s="67"/>
      <c r="H25" s="67"/>
      <c r="I25" s="67"/>
      <c r="J25" s="71"/>
      <c r="K25" s="71"/>
      <c r="L25" s="71"/>
      <c r="M25" s="71"/>
      <c r="N25" s="71"/>
      <c r="O25" s="71"/>
      <c r="Q25" s="220"/>
      <c r="R25" s="220"/>
      <c r="S25" s="220"/>
      <c r="T25" s="220"/>
      <c r="U25" s="220"/>
      <c r="V25" s="220"/>
      <c r="X25" s="37"/>
      <c r="Y25" s="37"/>
      <c r="AC25" s="218"/>
      <c r="AD25" s="39"/>
      <c r="AE25" s="37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190">
        <f t="shared" si="26"/>
        <v>32</v>
      </c>
      <c r="BK25" s="226">
        <f t="shared" si="7"/>
        <v>4</v>
      </c>
      <c r="BL25" s="175">
        <f t="shared" si="40"/>
        <v>9</v>
      </c>
      <c r="BM25" s="175">
        <f t="shared" si="9"/>
        <v>4</v>
      </c>
      <c r="BN25" s="175">
        <f t="shared" si="27"/>
        <v>10</v>
      </c>
      <c r="BO25" s="175">
        <f t="shared" si="10"/>
        <v>4</v>
      </c>
      <c r="BP25" s="175">
        <f t="shared" si="11"/>
        <v>11</v>
      </c>
      <c r="BQ25" s="175">
        <f t="shared" si="12"/>
        <v>4</v>
      </c>
      <c r="BR25" s="175">
        <f t="shared" si="13"/>
        <v>12</v>
      </c>
      <c r="BS25" s="175">
        <f t="shared" si="14"/>
        <v>4</v>
      </c>
      <c r="BT25" s="175">
        <v>1</v>
      </c>
      <c r="BU25" s="175">
        <f t="shared" si="16"/>
        <v>4</v>
      </c>
      <c r="BV25" s="175">
        <f t="shared" si="17"/>
        <v>2</v>
      </c>
      <c r="BW25" s="175">
        <f t="shared" si="18"/>
        <v>4</v>
      </c>
      <c r="BX25" s="175">
        <f t="shared" si="19"/>
        <v>3</v>
      </c>
      <c r="BY25" s="175">
        <f t="shared" si="20"/>
        <v>4</v>
      </c>
      <c r="BZ25" s="175">
        <f t="shared" si="28"/>
        <v>4</v>
      </c>
      <c r="CA25" s="175">
        <f t="shared" si="21"/>
        <v>4</v>
      </c>
      <c r="CB25" s="175">
        <f t="shared" si="29"/>
        <v>5</v>
      </c>
      <c r="CC25" s="175">
        <f t="shared" si="22"/>
      </c>
      <c r="CD25" s="175">
        <f t="shared" si="41"/>
        <v>6</v>
      </c>
      <c r="CE25" s="175">
        <f t="shared" si="23"/>
      </c>
      <c r="CF25" s="175">
        <f t="shared" si="31"/>
        <v>7</v>
      </c>
      <c r="CG25" s="175">
        <f t="shared" si="24"/>
      </c>
      <c r="CH25" s="177">
        <f t="shared" si="30"/>
        <v>8</v>
      </c>
      <c r="CI25" s="37"/>
      <c r="CL25" s="37"/>
      <c r="ET25" s="37"/>
    </row>
    <row r="26" spans="1:150" ht="21" customHeight="1">
      <c r="A26" s="67"/>
      <c r="B26" s="67"/>
      <c r="C26" s="67"/>
      <c r="D26" s="67"/>
      <c r="E26" s="68"/>
      <c r="F26" s="67"/>
      <c r="G26" s="67"/>
      <c r="H26" s="67"/>
      <c r="I26" s="67"/>
      <c r="J26" s="71"/>
      <c r="K26" s="71"/>
      <c r="L26" s="71"/>
      <c r="M26" s="71"/>
      <c r="N26" s="71"/>
      <c r="O26" s="71"/>
      <c r="Q26" s="220"/>
      <c r="R26" s="220"/>
      <c r="S26" s="220"/>
      <c r="T26" s="220"/>
      <c r="U26" s="220"/>
      <c r="V26" s="220"/>
      <c r="X26" s="37"/>
      <c r="Y26" s="37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190">
        <f t="shared" si="26"/>
        <v>33</v>
      </c>
      <c r="BK26" s="226">
        <f t="shared" si="7"/>
        <v>4</v>
      </c>
      <c r="BL26" s="175">
        <f t="shared" si="40"/>
        <v>10</v>
      </c>
      <c r="BM26" s="175">
        <f t="shared" si="9"/>
        <v>4</v>
      </c>
      <c r="BN26" s="175">
        <f t="shared" si="27"/>
        <v>11</v>
      </c>
      <c r="BO26" s="175">
        <f t="shared" si="10"/>
        <v>4</v>
      </c>
      <c r="BP26" s="175">
        <f t="shared" si="11"/>
        <v>12</v>
      </c>
      <c r="BQ26" s="175">
        <f t="shared" si="12"/>
        <v>4</v>
      </c>
      <c r="BR26" s="175">
        <v>1</v>
      </c>
      <c r="BS26" s="175">
        <f t="shared" si="14"/>
        <v>4</v>
      </c>
      <c r="BT26" s="175">
        <f t="shared" si="15"/>
        <v>2</v>
      </c>
      <c r="BU26" s="175">
        <f t="shared" si="16"/>
        <v>4</v>
      </c>
      <c r="BV26" s="175">
        <f t="shared" si="17"/>
        <v>3</v>
      </c>
      <c r="BW26" s="175">
        <f t="shared" si="18"/>
        <v>4</v>
      </c>
      <c r="BX26" s="175">
        <f t="shared" si="19"/>
        <v>4</v>
      </c>
      <c r="BY26" s="175">
        <f t="shared" si="20"/>
        <v>4</v>
      </c>
      <c r="BZ26" s="175">
        <f t="shared" si="28"/>
        <v>5</v>
      </c>
      <c r="CA26" s="175">
        <f t="shared" si="21"/>
        <v>4</v>
      </c>
      <c r="CB26" s="175">
        <f t="shared" si="29"/>
        <v>6</v>
      </c>
      <c r="CC26" s="175">
        <f t="shared" si="22"/>
      </c>
      <c r="CD26" s="175">
        <f t="shared" si="41"/>
        <v>7</v>
      </c>
      <c r="CE26" s="175">
        <f t="shared" si="23"/>
      </c>
      <c r="CF26" s="175">
        <f t="shared" si="31"/>
        <v>8</v>
      </c>
      <c r="CG26" s="175">
        <f t="shared" si="24"/>
      </c>
      <c r="CH26" s="177">
        <f t="shared" si="30"/>
        <v>9</v>
      </c>
      <c r="CI26" s="37"/>
      <c r="CL26" s="37"/>
      <c r="ET26" s="37"/>
    </row>
    <row r="27" spans="1:86" ht="21" customHeight="1">
      <c r="A27" s="67"/>
      <c r="B27" s="67"/>
      <c r="C27" s="67"/>
      <c r="D27" s="67"/>
      <c r="E27" s="68"/>
      <c r="F27" s="67"/>
      <c r="G27" s="67"/>
      <c r="H27" s="67"/>
      <c r="I27" s="67"/>
      <c r="J27" s="71"/>
      <c r="K27" s="71"/>
      <c r="L27" s="71"/>
      <c r="M27" s="71"/>
      <c r="N27" s="71"/>
      <c r="O27" s="71"/>
      <c r="Q27" s="220"/>
      <c r="R27" s="220"/>
      <c r="S27" s="220"/>
      <c r="T27" s="220"/>
      <c r="U27" s="220"/>
      <c r="V27" s="220"/>
      <c r="Z27" s="40"/>
      <c r="AB27" s="40"/>
      <c r="AC27" s="40"/>
      <c r="AD27" s="40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190">
        <f t="shared" si="26"/>
        <v>34</v>
      </c>
      <c r="BK27" s="226">
        <f t="shared" si="7"/>
        <v>4</v>
      </c>
      <c r="BL27" s="175">
        <f t="shared" si="40"/>
        <v>11</v>
      </c>
      <c r="BM27" s="175">
        <f t="shared" si="9"/>
        <v>4</v>
      </c>
      <c r="BN27" s="175">
        <f t="shared" si="27"/>
        <v>12</v>
      </c>
      <c r="BO27" s="175">
        <f t="shared" si="10"/>
        <v>4</v>
      </c>
      <c r="BP27" s="175">
        <v>1</v>
      </c>
      <c r="BQ27" s="175">
        <f t="shared" si="12"/>
        <v>4</v>
      </c>
      <c r="BR27" s="175">
        <f t="shared" si="13"/>
        <v>2</v>
      </c>
      <c r="BS27" s="175">
        <f t="shared" si="14"/>
        <v>4</v>
      </c>
      <c r="BT27" s="175">
        <f t="shared" si="15"/>
        <v>3</v>
      </c>
      <c r="BU27" s="175">
        <f t="shared" si="16"/>
        <v>4</v>
      </c>
      <c r="BV27" s="175">
        <f t="shared" si="17"/>
        <v>4</v>
      </c>
      <c r="BW27" s="175">
        <f t="shared" si="18"/>
        <v>4</v>
      </c>
      <c r="BX27" s="175">
        <f t="shared" si="19"/>
        <v>5</v>
      </c>
      <c r="BY27" s="175">
        <f t="shared" si="20"/>
        <v>4</v>
      </c>
      <c r="BZ27" s="175">
        <f t="shared" si="28"/>
        <v>6</v>
      </c>
      <c r="CA27" s="175">
        <f t="shared" si="21"/>
        <v>4</v>
      </c>
      <c r="CB27" s="175">
        <f t="shared" si="29"/>
        <v>7</v>
      </c>
      <c r="CC27" s="175">
        <f t="shared" si="22"/>
      </c>
      <c r="CD27" s="175">
        <f t="shared" si="41"/>
        <v>8</v>
      </c>
      <c r="CE27" s="175">
        <f t="shared" si="23"/>
      </c>
      <c r="CF27" s="175">
        <f t="shared" si="31"/>
        <v>9</v>
      </c>
      <c r="CG27" s="175">
        <f t="shared" si="24"/>
      </c>
      <c r="CH27" s="177">
        <f t="shared" si="30"/>
        <v>10</v>
      </c>
    </row>
    <row r="28" spans="1:86" ht="21" customHeight="1">
      <c r="A28" s="67"/>
      <c r="B28" s="67"/>
      <c r="C28" s="67"/>
      <c r="D28" s="67"/>
      <c r="E28" s="68"/>
      <c r="F28" s="67"/>
      <c r="G28" s="67"/>
      <c r="H28" s="67"/>
      <c r="I28" s="67"/>
      <c r="J28" s="71"/>
      <c r="K28" s="71"/>
      <c r="L28" s="71"/>
      <c r="M28" s="71"/>
      <c r="N28" s="71"/>
      <c r="O28" s="71"/>
      <c r="Q28" s="220"/>
      <c r="R28" s="220"/>
      <c r="S28" s="220"/>
      <c r="T28" s="220"/>
      <c r="U28" s="220"/>
      <c r="V28" s="220"/>
      <c r="Z28" s="40"/>
      <c r="AB28" s="40"/>
      <c r="AC28" s="40"/>
      <c r="AD28" s="40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190">
        <f t="shared" si="26"/>
        <v>35</v>
      </c>
      <c r="BK28" s="226">
        <f t="shared" si="7"/>
        <v>4</v>
      </c>
      <c r="BL28" s="175">
        <f t="shared" si="40"/>
        <v>12</v>
      </c>
      <c r="BM28" s="175">
        <f t="shared" si="9"/>
        <v>4</v>
      </c>
      <c r="BN28" s="175">
        <v>1</v>
      </c>
      <c r="BO28" s="175">
        <f t="shared" si="10"/>
        <v>4</v>
      </c>
      <c r="BP28" s="175">
        <f t="shared" si="11"/>
        <v>2</v>
      </c>
      <c r="BQ28" s="175">
        <f t="shared" si="12"/>
        <v>4</v>
      </c>
      <c r="BR28" s="175">
        <f t="shared" si="13"/>
        <v>3</v>
      </c>
      <c r="BS28" s="175">
        <f t="shared" si="14"/>
        <v>4</v>
      </c>
      <c r="BT28" s="175">
        <f t="shared" si="15"/>
        <v>4</v>
      </c>
      <c r="BU28" s="175">
        <f t="shared" si="16"/>
        <v>4</v>
      </c>
      <c r="BV28" s="175">
        <f t="shared" si="17"/>
        <v>5</v>
      </c>
      <c r="BW28" s="175">
        <f t="shared" si="18"/>
        <v>4</v>
      </c>
      <c r="BX28" s="175">
        <f t="shared" si="19"/>
        <v>6</v>
      </c>
      <c r="BY28" s="175">
        <f t="shared" si="20"/>
        <v>4</v>
      </c>
      <c r="BZ28" s="175">
        <f t="shared" si="28"/>
        <v>7</v>
      </c>
      <c r="CA28" s="175">
        <f t="shared" si="21"/>
        <v>4</v>
      </c>
      <c r="CB28" s="175">
        <f t="shared" si="29"/>
        <v>8</v>
      </c>
      <c r="CC28" s="175">
        <f t="shared" si="22"/>
      </c>
      <c r="CD28" s="175">
        <f t="shared" si="41"/>
        <v>9</v>
      </c>
      <c r="CE28" s="175">
        <f t="shared" si="23"/>
      </c>
      <c r="CF28" s="175">
        <f t="shared" si="31"/>
        <v>10</v>
      </c>
      <c r="CG28" s="175">
        <f t="shared" si="24"/>
      </c>
      <c r="CH28" s="177">
        <f t="shared" si="30"/>
        <v>11</v>
      </c>
    </row>
    <row r="29" spans="1:86" ht="21" customHeight="1">
      <c r="A29" s="67"/>
      <c r="B29" s="67"/>
      <c r="C29" s="67"/>
      <c r="D29" s="67"/>
      <c r="E29" s="68"/>
      <c r="F29" s="67"/>
      <c r="G29" s="67"/>
      <c r="H29" s="67"/>
      <c r="I29" s="67"/>
      <c r="J29" s="67"/>
      <c r="K29" s="69"/>
      <c r="L29" s="67"/>
      <c r="M29" s="67"/>
      <c r="N29" s="67"/>
      <c r="O29" s="67"/>
      <c r="Q29" s="220"/>
      <c r="R29" s="220"/>
      <c r="S29" s="220"/>
      <c r="T29" s="220"/>
      <c r="U29" s="220"/>
      <c r="V29" s="220"/>
      <c r="Z29" s="40"/>
      <c r="AB29" s="40"/>
      <c r="AC29" s="40"/>
      <c r="AD29" s="40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190">
        <f t="shared" si="26"/>
        <v>36</v>
      </c>
      <c r="BK29" s="227">
        <f>IF(AND($L$6=BJ29,MONTH($L$5)=1),BL29,BM5)</f>
        <v>4</v>
      </c>
      <c r="BL29" s="176">
        <v>1</v>
      </c>
      <c r="BM29" s="176">
        <f>IF(AND($L$6=BJ29,MONTH($L$5)=2),BN29,BO5)</f>
        <v>4</v>
      </c>
      <c r="BN29" s="176">
        <f t="shared" si="27"/>
        <v>2</v>
      </c>
      <c r="BO29" s="176">
        <f>IF(AND($L$6=BJ29,MONTH($L$5)=3),BP29,BQ5)</f>
        <v>4</v>
      </c>
      <c r="BP29" s="176">
        <f t="shared" si="11"/>
        <v>3</v>
      </c>
      <c r="BQ29" s="176">
        <f>IF(AND($L$6=BJ29,MONTH($L$5)=4),BR29,BS5)</f>
        <v>4</v>
      </c>
      <c r="BR29" s="176">
        <f t="shared" si="13"/>
        <v>4</v>
      </c>
      <c r="BS29" s="176">
        <f>IF(AND($L$6=BJ29,MONTH($L$5)=5),BT29,BU5)</f>
        <v>4</v>
      </c>
      <c r="BT29" s="176">
        <f t="shared" si="15"/>
        <v>5</v>
      </c>
      <c r="BU29" s="176">
        <f>IF(AND($L$6=BJ29,MONTH($L$5)=6),BV29,BW5)</f>
        <v>4</v>
      </c>
      <c r="BV29" s="176">
        <f t="shared" si="17"/>
        <v>6</v>
      </c>
      <c r="BW29" s="176">
        <f>IF(AND($L$6=BJ29,MONTH($L$5)=7),BX29,BY5)</f>
        <v>4</v>
      </c>
      <c r="BX29" s="176">
        <f t="shared" si="19"/>
        <v>7</v>
      </c>
      <c r="BY29" s="176">
        <f>IF(AND($L$6=BJ29,MONTH($L$5)=8),BZ29,CA5)</f>
        <v>4</v>
      </c>
      <c r="BZ29" s="176">
        <f t="shared" si="28"/>
        <v>8</v>
      </c>
      <c r="CA29" s="176">
        <f>IF(AND($L$6=BJ29,MONTH($L$5)=9),CB29,CC5)</f>
        <v>4</v>
      </c>
      <c r="CB29" s="176">
        <f t="shared" si="29"/>
        <v>9</v>
      </c>
      <c r="CC29" s="176">
        <f>IF(AND($L$6=BJ29,MONTH($L$5)=10),CD29,CE5)</f>
      </c>
      <c r="CD29" s="176">
        <f t="shared" si="41"/>
        <v>10</v>
      </c>
      <c r="CE29" s="176">
        <f>IF(AND($L$6=BJ29,MONTH($L$5)=11),CF29,CG5)</f>
      </c>
      <c r="CF29" s="176">
        <f t="shared" si="31"/>
        <v>11</v>
      </c>
      <c r="CG29" s="176">
        <f>IF(AND($L$6=BJ29,MONTH($L$5)=12),CH29,"")</f>
      </c>
      <c r="CH29" s="228">
        <f t="shared" si="30"/>
        <v>12</v>
      </c>
    </row>
    <row r="30" spans="1:85" ht="21" customHeight="1">
      <c r="A30" s="67"/>
      <c r="B30" s="67"/>
      <c r="C30" s="67"/>
      <c r="D30" s="67"/>
      <c r="E30" s="68"/>
      <c r="F30" s="67"/>
      <c r="G30" s="67"/>
      <c r="H30" s="67"/>
      <c r="I30" s="67"/>
      <c r="J30" s="67"/>
      <c r="K30" s="69"/>
      <c r="L30" s="67"/>
      <c r="M30" s="67"/>
      <c r="N30" s="67"/>
      <c r="O30" s="67"/>
      <c r="Q30" s="220"/>
      <c r="R30" s="220"/>
      <c r="S30" s="220"/>
      <c r="T30" s="220"/>
      <c r="U30" s="220"/>
      <c r="V30" s="220"/>
      <c r="Z30" s="40"/>
      <c r="AB30" s="40"/>
      <c r="AC30" s="40"/>
      <c r="AD30" s="40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K30" s="39" t="s">
        <v>74</v>
      </c>
      <c r="BM30" s="39" t="s">
        <v>75</v>
      </c>
      <c r="BO30" s="39" t="s">
        <v>76</v>
      </c>
      <c r="BQ30" s="39" t="s">
        <v>77</v>
      </c>
      <c r="BS30" s="39" t="s">
        <v>78</v>
      </c>
      <c r="BU30" s="39" t="s">
        <v>79</v>
      </c>
      <c r="BW30" s="39" t="s">
        <v>80</v>
      </c>
      <c r="BY30" s="39" t="s">
        <v>81</v>
      </c>
      <c r="CA30" s="39" t="s">
        <v>82</v>
      </c>
      <c r="CC30" s="39" t="s">
        <v>83</v>
      </c>
      <c r="CE30" s="39" t="s">
        <v>84</v>
      </c>
      <c r="CG30" s="39" t="s">
        <v>85</v>
      </c>
    </row>
    <row r="31" spans="1:61" ht="21" customHeight="1">
      <c r="A31" s="67"/>
      <c r="B31" s="67"/>
      <c r="C31" s="67"/>
      <c r="D31" s="67"/>
      <c r="E31" s="68"/>
      <c r="F31" s="67"/>
      <c r="G31" s="67"/>
      <c r="H31" s="67"/>
      <c r="I31" s="67"/>
      <c r="J31" s="67"/>
      <c r="K31" s="69"/>
      <c r="L31" s="67"/>
      <c r="M31" s="67"/>
      <c r="N31" s="67"/>
      <c r="O31" s="67"/>
      <c r="P31" s="260"/>
      <c r="Q31" s="261"/>
      <c r="R31" s="261"/>
      <c r="S31" s="261"/>
      <c r="T31" s="261"/>
      <c r="U31" s="220"/>
      <c r="V31" s="220"/>
      <c r="W31" s="185"/>
      <c r="Z31" s="40"/>
      <c r="AB31" s="40"/>
      <c r="AC31" s="40"/>
      <c r="AD31" s="40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</row>
    <row r="32" spans="1:61" ht="21" customHeight="1">
      <c r="A32" s="67"/>
      <c r="B32" s="67"/>
      <c r="C32" s="67"/>
      <c r="D32" s="67"/>
      <c r="E32" s="68"/>
      <c r="F32" s="67"/>
      <c r="G32" s="67"/>
      <c r="H32" s="67"/>
      <c r="I32" s="67"/>
      <c r="J32" s="67"/>
      <c r="K32" s="69"/>
      <c r="L32" s="67"/>
      <c r="M32" s="67"/>
      <c r="N32" s="67"/>
      <c r="O32" s="67"/>
      <c r="P32" s="260"/>
      <c r="Q32" s="261"/>
      <c r="R32" s="261"/>
      <c r="S32" s="261"/>
      <c r="T32" s="261"/>
      <c r="U32" s="220"/>
      <c r="V32" s="220"/>
      <c r="W32" s="185"/>
      <c r="Z32" s="40"/>
      <c r="AB32" s="40"/>
      <c r="AC32" s="40"/>
      <c r="AD32" s="40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</row>
    <row r="33" spans="1:61" ht="21" customHeight="1">
      <c r="A33" s="67"/>
      <c r="B33" s="67"/>
      <c r="C33" s="67"/>
      <c r="D33" s="67"/>
      <c r="E33" s="68"/>
      <c r="F33" s="67"/>
      <c r="G33" s="67"/>
      <c r="H33" s="67"/>
      <c r="I33" s="67"/>
      <c r="J33" s="67"/>
      <c r="K33" s="69"/>
      <c r="L33" s="67"/>
      <c r="M33" s="67"/>
      <c r="N33" s="67"/>
      <c r="O33" s="67"/>
      <c r="P33" s="260"/>
      <c r="Q33" s="261"/>
      <c r="R33" s="261"/>
      <c r="S33" s="261"/>
      <c r="T33" s="261"/>
      <c r="U33" s="220"/>
      <c r="V33" s="220"/>
      <c r="W33" s="185"/>
      <c r="Z33" s="40"/>
      <c r="AB33" s="40"/>
      <c r="AC33" s="40"/>
      <c r="AD33" s="40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</row>
    <row r="34" spans="1:61" ht="21" customHeight="1">
      <c r="A34" s="67"/>
      <c r="B34" s="67"/>
      <c r="C34" s="67"/>
      <c r="D34" s="67"/>
      <c r="E34" s="68"/>
      <c r="F34" s="67"/>
      <c r="G34" s="67"/>
      <c r="H34" s="67"/>
      <c r="I34" s="67"/>
      <c r="J34" s="67"/>
      <c r="K34" s="69"/>
      <c r="L34" s="67"/>
      <c r="M34" s="67"/>
      <c r="N34" s="67"/>
      <c r="O34" s="67"/>
      <c r="P34" s="260"/>
      <c r="Q34" s="261"/>
      <c r="R34" s="261"/>
      <c r="S34" s="261"/>
      <c r="T34" s="261"/>
      <c r="U34" s="220"/>
      <c r="V34" s="220"/>
      <c r="W34" s="185"/>
      <c r="Z34" s="40"/>
      <c r="AA34" s="40"/>
      <c r="AB34" s="40"/>
      <c r="AC34" s="40"/>
      <c r="AD34" s="40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</row>
    <row r="35" spans="1:61" ht="21" customHeight="1">
      <c r="A35" s="67"/>
      <c r="B35" s="67"/>
      <c r="C35" s="67"/>
      <c r="D35" s="67"/>
      <c r="E35" s="68"/>
      <c r="F35" s="67"/>
      <c r="G35" s="67"/>
      <c r="H35" s="67"/>
      <c r="I35" s="67"/>
      <c r="J35" s="67"/>
      <c r="K35" s="69"/>
      <c r="L35" s="67"/>
      <c r="M35" s="67"/>
      <c r="N35" s="67"/>
      <c r="O35" s="67"/>
      <c r="P35" s="260"/>
      <c r="Q35" s="261"/>
      <c r="R35" s="261"/>
      <c r="S35" s="261"/>
      <c r="T35" s="261"/>
      <c r="U35" s="220"/>
      <c r="V35" s="220"/>
      <c r="W35" s="185"/>
      <c r="Z35" s="40"/>
      <c r="AA35" s="40"/>
      <c r="AB35" s="40"/>
      <c r="AC35" s="40"/>
      <c r="AD35" s="40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</row>
    <row r="36" spans="1:61" ht="21" customHeight="1">
      <c r="A36" s="67"/>
      <c r="B36" s="67"/>
      <c r="C36" s="67"/>
      <c r="D36" s="67"/>
      <c r="E36" s="68"/>
      <c r="F36" s="67"/>
      <c r="G36" s="67"/>
      <c r="H36" s="67"/>
      <c r="I36" s="67"/>
      <c r="J36" s="67"/>
      <c r="K36" s="69"/>
      <c r="L36" s="67"/>
      <c r="M36" s="67"/>
      <c r="N36" s="67"/>
      <c r="O36" s="67"/>
      <c r="P36" s="260"/>
      <c r="Q36" s="261"/>
      <c r="R36" s="261"/>
      <c r="S36" s="261"/>
      <c r="T36" s="261"/>
      <c r="U36" s="220"/>
      <c r="V36" s="220"/>
      <c r="W36" s="185"/>
      <c r="Z36" s="40"/>
      <c r="AA36" s="40"/>
      <c r="AB36" s="40"/>
      <c r="AC36" s="40"/>
      <c r="AD36" s="40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</row>
    <row r="37" spans="1:61" ht="21" customHeight="1">
      <c r="A37" s="67"/>
      <c r="B37" s="67"/>
      <c r="C37" s="67"/>
      <c r="D37" s="67"/>
      <c r="E37" s="68"/>
      <c r="F37" s="67"/>
      <c r="G37" s="67"/>
      <c r="H37" s="67"/>
      <c r="I37" s="67"/>
      <c r="J37" s="67"/>
      <c r="K37" s="69"/>
      <c r="L37" s="67"/>
      <c r="M37" s="67"/>
      <c r="N37" s="67"/>
      <c r="O37" s="67"/>
      <c r="P37" s="260"/>
      <c r="Q37" s="261"/>
      <c r="R37" s="261"/>
      <c r="S37" s="261"/>
      <c r="T37" s="261"/>
      <c r="U37" s="220"/>
      <c r="V37" s="220"/>
      <c r="W37" s="185"/>
      <c r="Z37" s="40"/>
      <c r="AA37" s="40"/>
      <c r="AB37" s="40"/>
      <c r="AC37" s="40"/>
      <c r="AD37" s="40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</row>
    <row r="38" spans="1:186" ht="21" customHeight="1">
      <c r="A38" s="67"/>
      <c r="B38" s="67"/>
      <c r="C38" s="67"/>
      <c r="D38" s="67"/>
      <c r="E38" s="68"/>
      <c r="F38" s="67"/>
      <c r="G38" s="67"/>
      <c r="H38" s="67"/>
      <c r="I38" s="67"/>
      <c r="J38" s="67"/>
      <c r="K38" s="69"/>
      <c r="L38" s="67"/>
      <c r="M38" s="67"/>
      <c r="N38" s="67"/>
      <c r="O38" s="67"/>
      <c r="P38" s="260"/>
      <c r="Q38" s="261"/>
      <c r="R38" s="261"/>
      <c r="S38" s="261"/>
      <c r="T38" s="261"/>
      <c r="U38" s="220"/>
      <c r="V38" s="220"/>
      <c r="W38" s="185"/>
      <c r="Z38" s="40"/>
      <c r="AA38" s="40"/>
      <c r="AB38" s="40"/>
      <c r="AC38" s="40"/>
      <c r="AD38" s="40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CJ38" s="194"/>
      <c r="CM38" s="194"/>
      <c r="CW38" s="194"/>
      <c r="DB38" s="194"/>
      <c r="DG38" s="194"/>
      <c r="DL38" s="194"/>
      <c r="DQ38" s="194"/>
      <c r="DV38" s="194"/>
      <c r="EA38" s="194"/>
      <c r="EF38" s="194"/>
      <c r="EK38" s="194"/>
      <c r="EP38" s="194"/>
      <c r="EU38" s="194"/>
      <c r="FE38" s="194"/>
      <c r="FJ38" s="194"/>
      <c r="FO38" s="194"/>
      <c r="FT38" s="194"/>
      <c r="FY38" s="194"/>
      <c r="GD38" s="194"/>
    </row>
    <row r="39" spans="16:186" ht="21" customHeight="1">
      <c r="P39" s="260"/>
      <c r="Q39" s="261"/>
      <c r="R39" s="261"/>
      <c r="S39" s="261"/>
      <c r="T39" s="261"/>
      <c r="U39" s="220"/>
      <c r="V39" s="220"/>
      <c r="W39" s="185"/>
      <c r="Z39" s="40"/>
      <c r="AA39" s="40"/>
      <c r="AB39" s="40"/>
      <c r="AC39" s="40"/>
      <c r="AD39" s="40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CJ39" s="194"/>
      <c r="CM39" s="194"/>
      <c r="CW39" s="194"/>
      <c r="DG39" s="194"/>
      <c r="DQ39" s="194"/>
      <c r="DV39" s="194"/>
      <c r="EF39" s="194"/>
      <c r="EP39" s="194"/>
      <c r="EU39" s="194"/>
      <c r="FE39" s="194"/>
      <c r="FO39" s="194"/>
      <c r="FY39" s="194"/>
      <c r="GD39" s="194"/>
    </row>
    <row r="40" spans="16:61" ht="21" customHeight="1">
      <c r="P40" s="260"/>
      <c r="Q40" s="261"/>
      <c r="R40" s="261"/>
      <c r="S40" s="261"/>
      <c r="T40" s="261"/>
      <c r="U40" s="220"/>
      <c r="V40" s="220"/>
      <c r="W40" s="185"/>
      <c r="Z40" s="40"/>
      <c r="AA40" s="40"/>
      <c r="AB40" s="40"/>
      <c r="AC40" s="40"/>
      <c r="AD40" s="40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</row>
    <row r="41" spans="16:61" ht="21" customHeight="1">
      <c r="P41" s="260"/>
      <c r="Q41" s="261"/>
      <c r="R41" s="261"/>
      <c r="S41" s="261"/>
      <c r="T41" s="261"/>
      <c r="U41" s="220"/>
      <c r="V41" s="220"/>
      <c r="W41" s="185"/>
      <c r="Z41" s="40"/>
      <c r="AA41" s="40"/>
      <c r="AB41" s="40"/>
      <c r="AC41" s="40"/>
      <c r="AD41" s="40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</row>
    <row r="42" spans="16:61" ht="15.75">
      <c r="P42" s="260"/>
      <c r="Q42" s="261"/>
      <c r="R42" s="261"/>
      <c r="S42" s="261"/>
      <c r="T42" s="261"/>
      <c r="U42" s="220"/>
      <c r="V42" s="220"/>
      <c r="W42" s="185"/>
      <c r="Z42" s="40"/>
      <c r="AA42" s="40"/>
      <c r="AB42" s="40"/>
      <c r="AC42" s="40"/>
      <c r="AD42" s="40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</row>
    <row r="43" spans="23:61" ht="15.75">
      <c r="W43" s="185"/>
      <c r="Z43" s="40"/>
      <c r="AA43" s="40"/>
      <c r="AB43" s="40"/>
      <c r="AC43" s="40"/>
      <c r="AD43" s="40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</row>
    <row r="44" spans="23:61" ht="15.75">
      <c r="W44" s="185"/>
      <c r="Z44" s="40"/>
      <c r="AA44" s="40"/>
      <c r="AB44" s="40"/>
      <c r="AC44" s="40"/>
      <c r="AD44" s="40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</row>
    <row r="45" spans="23:61" ht="15.75">
      <c r="W45" s="185"/>
      <c r="Z45" s="40"/>
      <c r="AA45" s="40"/>
      <c r="AB45" s="40"/>
      <c r="AC45" s="40"/>
      <c r="AD45" s="40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</row>
    <row r="46" spans="23:61" ht="15.75">
      <c r="W46" s="185"/>
      <c r="Z46" s="40"/>
      <c r="AA46" s="40"/>
      <c r="AB46" s="40"/>
      <c r="AC46" s="40"/>
      <c r="AD46" s="40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</row>
    <row r="47" spans="23:61" ht="15.75">
      <c r="W47" s="185"/>
      <c r="Z47" s="40"/>
      <c r="AA47" s="40"/>
      <c r="AB47" s="40"/>
      <c r="AC47" s="40"/>
      <c r="AD47" s="40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</row>
    <row r="48" spans="23:61" ht="15.75">
      <c r="W48" s="185"/>
      <c r="Z48" s="40"/>
      <c r="AA48" s="40"/>
      <c r="AB48" s="40"/>
      <c r="AC48" s="40"/>
      <c r="AD48" s="40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</row>
    <row r="49" spans="23:61" ht="15.75">
      <c r="W49" s="185"/>
      <c r="Z49" s="40"/>
      <c r="AA49" s="40"/>
      <c r="AB49" s="40"/>
      <c r="AC49" s="40"/>
      <c r="AD49" s="40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</row>
    <row r="50" spans="23:61" ht="15.75">
      <c r="W50" s="185"/>
      <c r="Z50" s="40"/>
      <c r="AA50" s="40"/>
      <c r="AB50" s="40"/>
      <c r="AC50" s="40"/>
      <c r="AD50" s="40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</row>
    <row r="51" spans="23:61" ht="15.75">
      <c r="W51" s="185"/>
      <c r="Z51" s="40"/>
      <c r="AA51" s="40"/>
      <c r="AB51" s="40"/>
      <c r="AC51" s="40"/>
      <c r="AD51" s="40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</row>
    <row r="52" spans="23:61" ht="15.75">
      <c r="W52" s="185"/>
      <c r="Z52" s="40"/>
      <c r="AA52" s="40"/>
      <c r="AB52" s="40"/>
      <c r="AC52" s="40"/>
      <c r="AD52" s="40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</row>
    <row r="53" spans="23:61" ht="15.75">
      <c r="W53" s="185"/>
      <c r="Z53" s="40"/>
      <c r="AA53" s="40"/>
      <c r="AB53" s="40"/>
      <c r="AC53" s="40"/>
      <c r="AD53" s="40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</row>
    <row r="54" spans="23:61" ht="15.75">
      <c r="W54" s="185"/>
      <c r="Z54" s="40"/>
      <c r="AA54" s="40"/>
      <c r="AB54" s="40"/>
      <c r="AC54" s="40"/>
      <c r="AD54" s="40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</row>
    <row r="55" spans="23:61" ht="15.75">
      <c r="W55" s="185"/>
      <c r="Z55" s="40"/>
      <c r="AA55" s="40"/>
      <c r="AB55" s="40"/>
      <c r="AC55" s="40"/>
      <c r="AD55" s="40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</row>
    <row r="56" spans="23:61" ht="15.75">
      <c r="W56" s="185"/>
      <c r="Z56" s="40"/>
      <c r="AA56" s="40"/>
      <c r="AB56" s="40"/>
      <c r="AC56" s="40"/>
      <c r="AD56" s="40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</row>
    <row r="57" spans="23:61" ht="15.75">
      <c r="W57" s="185"/>
      <c r="Z57" s="40"/>
      <c r="AA57" s="40"/>
      <c r="AB57" s="40"/>
      <c r="AC57" s="40"/>
      <c r="AD57" s="40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</row>
    <row r="58" spans="23:61" ht="15.75">
      <c r="W58" s="185"/>
      <c r="Z58" s="40"/>
      <c r="AA58" s="40"/>
      <c r="AB58" s="40"/>
      <c r="AC58" s="40"/>
      <c r="AD58" s="40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</row>
    <row r="59" spans="26:61" ht="15.75">
      <c r="Z59" s="40"/>
      <c r="AA59" s="40"/>
      <c r="AB59" s="40"/>
      <c r="AC59" s="40"/>
      <c r="AD59" s="40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</row>
    <row r="60" spans="26:61" ht="15.75">
      <c r="Z60" s="40"/>
      <c r="AA60" s="40"/>
      <c r="AB60" s="40"/>
      <c r="AC60" s="40"/>
      <c r="AD60" s="40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</row>
    <row r="61" spans="26:61" ht="15.75">
      <c r="Z61" s="40"/>
      <c r="AA61" s="40"/>
      <c r="AB61" s="40"/>
      <c r="AC61" s="40"/>
      <c r="AD61" s="40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</row>
    <row r="62" spans="26:61" ht="15.75">
      <c r="Z62" s="40"/>
      <c r="AA62" s="40"/>
      <c r="AB62" s="40"/>
      <c r="AC62" s="40"/>
      <c r="AD62" s="40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</row>
    <row r="63" spans="26:61" ht="15.75">
      <c r="Z63" s="40"/>
      <c r="AA63" s="40"/>
      <c r="AB63" s="40"/>
      <c r="AC63" s="40"/>
      <c r="AD63" s="40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</row>
    <row r="64" spans="50:61" ht="15.75"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</row>
  </sheetData>
  <sheetProtection password="CDF4" sheet="1" objects="1" scenarios="1" selectLockedCells="1" selectUnlockedCells="1"/>
  <mergeCells count="21">
    <mergeCell ref="EZ4:FC4"/>
    <mergeCell ref="P31:T31"/>
    <mergeCell ref="P32:T32"/>
    <mergeCell ref="BN2:BO2"/>
    <mergeCell ref="BL4:BP4"/>
    <mergeCell ref="CM4:CP4"/>
    <mergeCell ref="CR4:CU4"/>
    <mergeCell ref="P34:T34"/>
    <mergeCell ref="P35:T35"/>
    <mergeCell ref="P36:T36"/>
    <mergeCell ref="EU4:EX4"/>
    <mergeCell ref="P41:T41"/>
    <mergeCell ref="P42:T42"/>
    <mergeCell ref="F6:G6"/>
    <mergeCell ref="J9:L9"/>
    <mergeCell ref="F7:G7"/>
    <mergeCell ref="P37:T37"/>
    <mergeCell ref="P38:T38"/>
    <mergeCell ref="P39:T39"/>
    <mergeCell ref="P40:T40"/>
    <mergeCell ref="P33:T33"/>
  </mergeCells>
  <printOptions horizontalCentered="1" verticalCentered="1"/>
  <pageMargins left="0.4330708661417323" right="0.2755905511811024" top="0.984251968503937" bottom="0.984251968503937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60"/>
  <sheetViews>
    <sheetView showGridLines="0" showRowColHeaders="0" showZeros="0" tabSelected="1" showOutlineSymbols="0" zoomScale="95" zoomScaleNormal="95" workbookViewId="0" topLeftCell="B1">
      <selection activeCell="G24" sqref="G24:H24"/>
    </sheetView>
  </sheetViews>
  <sheetFormatPr defaultColWidth="9.140625" defaultRowHeight="12.75"/>
  <cols>
    <col min="1" max="1" width="2.7109375" style="1" hidden="1" customWidth="1"/>
    <col min="2" max="2" width="0.2890625" style="38" customWidth="1"/>
    <col min="3" max="3" width="4.00390625" style="38" customWidth="1"/>
    <col min="4" max="4" width="13.8515625" style="2" customWidth="1"/>
    <col min="5" max="5" width="13.7109375" style="2" customWidth="1"/>
    <col min="6" max="13" width="13.7109375" style="3" customWidth="1"/>
    <col min="14" max="14" width="7.7109375" style="3" customWidth="1"/>
    <col min="15" max="16" width="6.7109375" style="7" customWidth="1"/>
    <col min="17" max="17" width="6.421875" style="7" customWidth="1"/>
    <col min="18" max="18" width="2.7109375" style="7" customWidth="1"/>
    <col min="19" max="28" width="9.140625" style="38" customWidth="1"/>
    <col min="29" max="30" width="9.7109375" style="30" customWidth="1"/>
    <col min="31" max="31" width="0" style="1" hidden="1" customWidth="1"/>
    <col min="32" max="33" width="12.57421875" style="4" customWidth="1"/>
    <col min="34" max="34" width="5.57421875" style="4" customWidth="1"/>
    <col min="35" max="35" width="4.8515625" style="4" customWidth="1"/>
    <col min="36" max="36" width="6.57421875" style="5" customWidth="1"/>
    <col min="37" max="37" width="7.140625" style="1" customWidth="1"/>
    <col min="38" max="38" width="12.421875" style="4" customWidth="1"/>
    <col min="39" max="16384" width="9.140625" style="1" customWidth="1"/>
  </cols>
  <sheetData>
    <row r="1" spans="3:15" ht="12.75">
      <c r="C1" s="72"/>
      <c r="D1" s="73"/>
      <c r="E1" s="73"/>
      <c r="F1" s="74"/>
      <c r="G1" s="74"/>
      <c r="H1" s="74"/>
      <c r="I1" s="74"/>
      <c r="J1" s="74"/>
      <c r="K1" s="74"/>
      <c r="L1" s="74"/>
      <c r="M1" s="74"/>
      <c r="N1" s="74"/>
      <c r="O1" s="71"/>
    </row>
    <row r="2" spans="3:28" ht="24.75" customHeight="1">
      <c r="C2" s="72"/>
      <c r="D2" s="73"/>
      <c r="E2" s="73"/>
      <c r="F2" s="74"/>
      <c r="G2" s="74"/>
      <c r="H2" s="74"/>
      <c r="I2" s="74"/>
      <c r="J2" s="74"/>
      <c r="K2" s="74"/>
      <c r="L2" s="74"/>
      <c r="M2" s="74"/>
      <c r="N2" s="74"/>
      <c r="O2" s="7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3:31" ht="15.75" customHeight="1">
      <c r="C3" s="72"/>
      <c r="D3" s="280" t="s">
        <v>0</v>
      </c>
      <c r="E3" s="281"/>
      <c r="F3" s="282" t="str">
        <f>+Dati!F7</f>
        <v>CRISED</v>
      </c>
      <c r="G3" s="282"/>
      <c r="H3" s="282"/>
      <c r="I3" s="282"/>
      <c r="J3" s="282"/>
      <c r="K3" s="282"/>
      <c r="L3" s="283"/>
      <c r="M3" s="83" t="s">
        <v>1</v>
      </c>
      <c r="N3" s="84">
        <f>+Dati!F5</f>
        <v>4</v>
      </c>
      <c r="O3" s="71"/>
      <c r="S3" s="1"/>
      <c r="T3" s="1"/>
      <c r="U3" s="1"/>
      <c r="V3" s="1"/>
      <c r="W3" s="1"/>
      <c r="X3" s="1"/>
      <c r="Y3" s="1"/>
      <c r="Z3" s="1"/>
      <c r="AA3" s="1"/>
      <c r="AB3" s="1"/>
      <c r="AE3" s="7"/>
    </row>
    <row r="4" spans="3:35" ht="15.75" customHeight="1">
      <c r="C4" s="72"/>
      <c r="D4" s="284" t="s">
        <v>2</v>
      </c>
      <c r="E4" s="285"/>
      <c r="F4" s="286" t="str">
        <f>+Dati!F6</f>
        <v>Ance Puglia </v>
      </c>
      <c r="G4" s="286"/>
      <c r="H4" s="286"/>
      <c r="I4" s="286"/>
      <c r="J4" s="286"/>
      <c r="K4" s="286"/>
      <c r="L4" s="287"/>
      <c r="M4" s="85" t="s">
        <v>3</v>
      </c>
      <c r="N4" s="86">
        <f>+Dati!F8</f>
        <v>65</v>
      </c>
      <c r="O4" s="75"/>
      <c r="P4" s="22"/>
      <c r="Q4" s="22"/>
      <c r="R4" s="22"/>
      <c r="S4" s="1"/>
      <c r="T4" s="1"/>
      <c r="U4" s="1"/>
      <c r="V4" s="1"/>
      <c r="W4" s="1"/>
      <c r="X4" s="1"/>
      <c r="Y4" s="1"/>
      <c r="Z4" s="1"/>
      <c r="AA4" s="1"/>
      <c r="AB4" s="1"/>
      <c r="AE4" s="7">
        <v>1</v>
      </c>
      <c r="AF4" s="5"/>
      <c r="AG4" s="5"/>
      <c r="AH4" s="5"/>
      <c r="AI4" s="5"/>
    </row>
    <row r="5" spans="3:31" ht="15.75" customHeight="1">
      <c r="C5" s="72"/>
      <c r="D5" s="73"/>
      <c r="E5" s="73"/>
      <c r="F5" s="74"/>
      <c r="G5" s="74"/>
      <c r="H5" s="73"/>
      <c r="I5" s="73"/>
      <c r="J5" s="73"/>
      <c r="K5" s="73"/>
      <c r="L5" s="73"/>
      <c r="M5" s="73"/>
      <c r="N5" s="73"/>
      <c r="O5" s="75"/>
      <c r="P5" s="22"/>
      <c r="Q5" s="22"/>
      <c r="R5" s="22"/>
      <c r="S5" s="1"/>
      <c r="T5" s="1"/>
      <c r="U5" s="1"/>
      <c r="V5" s="1"/>
      <c r="W5" s="1"/>
      <c r="X5" s="1"/>
      <c r="Y5" s="1"/>
      <c r="Z5" s="1"/>
      <c r="AA5" s="1"/>
      <c r="AB5" s="1"/>
      <c r="AE5" s="7">
        <f aca="true" t="shared" si="0" ref="AE5:AE16">1+AE4</f>
        <v>2</v>
      </c>
    </row>
    <row r="6" spans="2:36" s="8" customFormat="1" ht="15.75" customHeight="1">
      <c r="B6" s="38"/>
      <c r="C6" s="72"/>
      <c r="D6" s="96" t="s">
        <v>4</v>
      </c>
      <c r="E6" s="96" t="s">
        <v>5</v>
      </c>
      <c r="F6" s="96" t="s">
        <v>6</v>
      </c>
      <c r="G6" s="96" t="s">
        <v>7</v>
      </c>
      <c r="H6" s="96" t="s">
        <v>8</v>
      </c>
      <c r="I6" s="97" t="s">
        <v>9</v>
      </c>
      <c r="J6" s="96" t="s">
        <v>10</v>
      </c>
      <c r="K6" s="98" t="s">
        <v>11</v>
      </c>
      <c r="L6" s="96" t="s">
        <v>38</v>
      </c>
      <c r="M6" s="274" t="s">
        <v>12</v>
      </c>
      <c r="N6" s="275"/>
      <c r="O6" s="77"/>
      <c r="P6" s="23"/>
      <c r="Q6" s="23"/>
      <c r="R6" s="23"/>
      <c r="AC6" s="31"/>
      <c r="AD6" s="31"/>
      <c r="AE6" s="7">
        <f t="shared" si="0"/>
        <v>3</v>
      </c>
      <c r="AF6" s="9"/>
      <c r="AG6" s="9"/>
      <c r="AH6" s="9"/>
      <c r="AI6" s="9"/>
      <c r="AJ6" s="9"/>
    </row>
    <row r="7" spans="2:36" s="8" customFormat="1" ht="15.75" customHeight="1">
      <c r="B7" s="38"/>
      <c r="C7" s="72"/>
      <c r="D7" s="99">
        <f>+Dati!L5</f>
        <v>38289</v>
      </c>
      <c r="E7" s="99" t="str">
        <f>+Dati!L7</f>
        <v>29 aprile 2007</v>
      </c>
      <c r="F7" s="100">
        <f>+Dati!L6</f>
        <v>30</v>
      </c>
      <c r="G7" s="100">
        <f>+F7/4</f>
        <v>7.5</v>
      </c>
      <c r="H7" s="101">
        <f>IF(Dati!F5="",0,0.375)</f>
        <v>0.375</v>
      </c>
      <c r="I7" s="102">
        <f>+Dati!F9</f>
        <v>1730560</v>
      </c>
      <c r="J7" s="103">
        <f>IF(Dati!F10="",0,Dati!F10)</f>
        <v>670360</v>
      </c>
      <c r="K7" s="104">
        <f>IF(Dati!F11="",0,Dati!F11)</f>
        <v>1060200</v>
      </c>
      <c r="L7" s="103">
        <f>IF(K7="",0,K7*0.2)</f>
        <v>212040</v>
      </c>
      <c r="M7" s="276">
        <f>+L7+K7+J7</f>
        <v>1942600</v>
      </c>
      <c r="N7" s="277"/>
      <c r="O7" s="78"/>
      <c r="P7" s="24"/>
      <c r="Q7" s="24"/>
      <c r="R7" s="24"/>
      <c r="AC7" s="31"/>
      <c r="AD7" s="31"/>
      <c r="AE7" s="7">
        <f t="shared" si="0"/>
        <v>4</v>
      </c>
      <c r="AF7" s="9"/>
      <c r="AG7" s="9"/>
      <c r="AH7" s="9"/>
      <c r="AI7" s="9"/>
      <c r="AJ7" s="9"/>
    </row>
    <row r="8" spans="3:36" ht="15.75" customHeight="1">
      <c r="C8" s="72"/>
      <c r="D8" s="73"/>
      <c r="E8" s="73"/>
      <c r="F8" s="74"/>
      <c r="G8" s="74"/>
      <c r="H8" s="74"/>
      <c r="I8" s="74"/>
      <c r="J8" s="74"/>
      <c r="K8" s="74"/>
      <c r="L8" s="74"/>
      <c r="M8" s="74"/>
      <c r="N8" s="74"/>
      <c r="O8" s="75"/>
      <c r="P8" s="22"/>
      <c r="Q8" s="22"/>
      <c r="R8" s="22"/>
      <c r="S8" s="1"/>
      <c r="T8" s="1"/>
      <c r="U8" s="1"/>
      <c r="V8" s="1"/>
      <c r="W8" s="1"/>
      <c r="X8" s="1"/>
      <c r="Y8" s="1"/>
      <c r="Z8" s="1"/>
      <c r="AA8" s="1"/>
      <c r="AB8" s="1"/>
      <c r="AE8" s="7">
        <f t="shared" si="0"/>
        <v>5</v>
      </c>
      <c r="AH8" s="10"/>
      <c r="AI8" s="5"/>
      <c r="AJ8" s="1"/>
    </row>
    <row r="9" spans="2:42" s="11" customFormat="1" ht="15.75" customHeight="1">
      <c r="B9" s="38"/>
      <c r="C9" s="72"/>
      <c r="D9" s="105" t="str">
        <f>+"Contr.Reg."&amp;100-N4&amp;" %"</f>
        <v>Contr.Reg.35 %</v>
      </c>
      <c r="E9" s="106" t="str">
        <f>+"Contr.Priv "&amp;N4&amp;" %"</f>
        <v>Contr.Priv 65 %</v>
      </c>
      <c r="F9" s="107"/>
      <c r="G9" s="108" t="s">
        <v>13</v>
      </c>
      <c r="H9" s="109"/>
      <c r="I9" s="110" t="s">
        <v>28</v>
      </c>
      <c r="J9" s="111">
        <f>+Dati!F16</f>
        <v>378807</v>
      </c>
      <c r="K9" s="257" t="s">
        <v>37</v>
      </c>
      <c r="L9" s="258"/>
      <c r="M9" s="161" t="str">
        <f>IF(L27+K27=D10,"Ok","Errore")</f>
        <v>Errore</v>
      </c>
      <c r="N9" s="278" t="str">
        <f>IF(AND(J7=E27,M7=I27,J27=E10,M27=D10),"OK","ERR")</f>
        <v>ERR</v>
      </c>
      <c r="O9" s="78"/>
      <c r="P9" s="24"/>
      <c r="Q9" s="24"/>
      <c r="R9" s="24"/>
      <c r="AC9" s="31"/>
      <c r="AD9" s="31"/>
      <c r="AE9" s="7">
        <f t="shared" si="0"/>
        <v>6</v>
      </c>
      <c r="AL9" s="10"/>
      <c r="AM9" s="12"/>
      <c r="AN9" s="13"/>
      <c r="AO9" s="12"/>
      <c r="AP9" s="12"/>
    </row>
    <row r="10" spans="2:42" s="11" customFormat="1" ht="15.75" customHeight="1">
      <c r="B10" s="38"/>
      <c r="C10" s="72"/>
      <c r="D10" s="112">
        <f>+Dati!F14</f>
        <v>1262690</v>
      </c>
      <c r="E10" s="113">
        <f>+Dati!F15</f>
        <v>679910</v>
      </c>
      <c r="F10" s="112"/>
      <c r="G10" s="113">
        <f>+D10*0.8</f>
        <v>1010152</v>
      </c>
      <c r="H10" s="114"/>
      <c r="I10" s="115" t="s">
        <v>35</v>
      </c>
      <c r="J10" s="116">
        <f>+Dati!F17</f>
        <v>631345</v>
      </c>
      <c r="K10" s="114"/>
      <c r="L10" s="115" t="s">
        <v>14</v>
      </c>
      <c r="M10" s="116">
        <f>+Dati!F18</f>
        <v>252538</v>
      </c>
      <c r="N10" s="279"/>
      <c r="O10" s="78"/>
      <c r="P10" s="24"/>
      <c r="Q10" s="24"/>
      <c r="R10" s="24"/>
      <c r="AC10" s="31"/>
      <c r="AD10" s="31"/>
      <c r="AE10" s="7">
        <f t="shared" si="0"/>
        <v>7</v>
      </c>
      <c r="AF10" s="10"/>
      <c r="AG10" s="10"/>
      <c r="AH10" s="14"/>
      <c r="AI10" s="12"/>
      <c r="AJ10" s="15"/>
      <c r="AL10" s="10"/>
      <c r="AM10" s="12"/>
      <c r="AN10" s="13"/>
      <c r="AO10" s="12"/>
      <c r="AP10" s="12"/>
    </row>
    <row r="11" spans="3:40" ht="15.75" customHeight="1">
      <c r="C11" s="72"/>
      <c r="D11" s="73"/>
      <c r="E11" s="73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22"/>
      <c r="Q11" s="22"/>
      <c r="R11" s="22"/>
      <c r="S11" s="1"/>
      <c r="T11" s="1"/>
      <c r="U11" s="1"/>
      <c r="V11" s="1"/>
      <c r="W11" s="1"/>
      <c r="X11" s="1"/>
      <c r="Y11" s="1"/>
      <c r="Z11" s="1"/>
      <c r="AA11" s="1"/>
      <c r="AB11" s="1"/>
      <c r="AE11" s="7">
        <f t="shared" si="0"/>
        <v>8</v>
      </c>
      <c r="AN11" s="5"/>
    </row>
    <row r="12" spans="2:40" s="16" customFormat="1" ht="16.5" customHeight="1">
      <c r="B12" s="38"/>
      <c r="C12" s="72"/>
      <c r="D12" s="292" t="s">
        <v>29</v>
      </c>
      <c r="E12" s="294" t="s">
        <v>30</v>
      </c>
      <c r="F12" s="296"/>
      <c r="G12" s="296"/>
      <c r="H12" s="297"/>
      <c r="I12" s="289" t="s">
        <v>32</v>
      </c>
      <c r="J12" s="294" t="s">
        <v>31</v>
      </c>
      <c r="K12" s="295"/>
      <c r="L12" s="295"/>
      <c r="M12" s="295"/>
      <c r="N12" s="289" t="s">
        <v>39</v>
      </c>
      <c r="O12" s="79"/>
      <c r="P12" s="18"/>
      <c r="Q12" s="18"/>
      <c r="R12" s="18"/>
      <c r="AC12" s="32"/>
      <c r="AD12" s="32"/>
      <c r="AE12" s="18">
        <f t="shared" si="0"/>
        <v>9</v>
      </c>
      <c r="AF12" s="17"/>
      <c r="AG12" s="17"/>
      <c r="AH12" s="17"/>
      <c r="AI12" s="17"/>
      <c r="AJ12" s="19"/>
      <c r="AL12" s="17"/>
      <c r="AN12" s="19"/>
    </row>
    <row r="13" spans="2:40" s="16" customFormat="1" ht="16.5" customHeight="1">
      <c r="B13" s="38"/>
      <c r="C13" s="72"/>
      <c r="D13" s="293"/>
      <c r="E13" s="301" t="s">
        <v>50</v>
      </c>
      <c r="F13" s="302"/>
      <c r="G13" s="299" t="s">
        <v>41</v>
      </c>
      <c r="H13" s="300"/>
      <c r="I13" s="290"/>
      <c r="J13" s="117"/>
      <c r="K13" s="118"/>
      <c r="L13" s="118"/>
      <c r="M13" s="119"/>
      <c r="N13" s="290"/>
      <c r="O13" s="79"/>
      <c r="P13" s="18"/>
      <c r="Q13" s="18"/>
      <c r="R13" s="18"/>
      <c r="AC13" s="32"/>
      <c r="AD13" s="32"/>
      <c r="AE13" s="18"/>
      <c r="AF13" s="17"/>
      <c r="AG13" s="17"/>
      <c r="AH13" s="17"/>
      <c r="AI13" s="17"/>
      <c r="AJ13" s="19"/>
      <c r="AL13" s="17"/>
      <c r="AN13" s="19"/>
    </row>
    <row r="14" spans="3:40" ht="63.75" customHeight="1">
      <c r="C14" s="72"/>
      <c r="D14" s="291"/>
      <c r="E14" s="120" t="s">
        <v>15</v>
      </c>
      <c r="F14" s="121" t="s">
        <v>11</v>
      </c>
      <c r="G14" s="122" t="s">
        <v>11</v>
      </c>
      <c r="H14" s="123" t="s">
        <v>40</v>
      </c>
      <c r="I14" s="298"/>
      <c r="J14" s="124" t="s">
        <v>18</v>
      </c>
      <c r="K14" s="125" t="s">
        <v>19</v>
      </c>
      <c r="L14" s="125" t="s">
        <v>20</v>
      </c>
      <c r="M14" s="126" t="s">
        <v>21</v>
      </c>
      <c r="N14" s="291"/>
      <c r="O14" s="75"/>
      <c r="Q14" s="26"/>
      <c r="S14" s="1"/>
      <c r="T14" s="1"/>
      <c r="U14" s="1"/>
      <c r="V14" s="1"/>
      <c r="W14" s="1"/>
      <c r="X14" s="1"/>
      <c r="Y14" s="1"/>
      <c r="Z14" s="1"/>
      <c r="AA14" s="1"/>
      <c r="AB14" s="1"/>
      <c r="AE14" s="7">
        <f>1+AE12</f>
        <v>10</v>
      </c>
      <c r="AN14" s="5"/>
    </row>
    <row r="15" spans="3:31" ht="15.75" customHeight="1">
      <c r="C15" s="72"/>
      <c r="D15" s="127">
        <f>+Dati!L10</f>
        <v>38412</v>
      </c>
      <c r="E15" s="87"/>
      <c r="F15" s="88"/>
      <c r="G15" s="87"/>
      <c r="H15" s="89"/>
      <c r="I15" s="129">
        <f>+E15+F15+G15+H15</f>
        <v>0</v>
      </c>
      <c r="J15" s="130">
        <f aca="true" t="shared" si="1" ref="J15:J23">IF(I15&lt;&gt;0,I15*$AE$21/100,0)</f>
        <v>0</v>
      </c>
      <c r="K15" s="131">
        <f aca="true" t="shared" si="2" ref="K15:K23">IF(I15&lt;&gt;0,+(I15*$AE$22/100)*0.8,0)</f>
        <v>0</v>
      </c>
      <c r="L15" s="131">
        <f aca="true" t="shared" si="3" ref="L15:L23">(K15*0.375)</f>
        <v>0</v>
      </c>
      <c r="M15" s="132">
        <f aca="true" t="shared" si="4" ref="M15:M23">+K15-L15</f>
        <v>0</v>
      </c>
      <c r="N15" s="133">
        <f aca="true" t="shared" si="5" ref="N15:N23">IF(OR(E15&lt;&gt;0,F15&lt;&gt;0,G15&lt;&gt;0),100*I15/$M$7,0)</f>
        <v>0</v>
      </c>
      <c r="O15" s="71"/>
      <c r="S15" s="1"/>
      <c r="T15" s="1"/>
      <c r="U15" s="1"/>
      <c r="V15" s="1"/>
      <c r="W15" s="1"/>
      <c r="X15" s="1"/>
      <c r="Y15" s="1"/>
      <c r="Z15" s="1"/>
      <c r="AA15" s="1"/>
      <c r="AB15" s="1"/>
      <c r="AE15" s="7">
        <f t="shared" si="0"/>
        <v>11</v>
      </c>
    </row>
    <row r="16" spans="3:31" ht="15.75" customHeight="1">
      <c r="C16" s="72"/>
      <c r="D16" s="127" t="str">
        <f>IF(I15&lt;&gt;0,Dati!L11," ")</f>
        <v> </v>
      </c>
      <c r="E16" s="87"/>
      <c r="F16" s="88"/>
      <c r="G16" s="87"/>
      <c r="H16" s="89"/>
      <c r="I16" s="134">
        <f aca="true" t="shared" si="6" ref="I16:I23">+E16+F16+G16+H16</f>
        <v>0</v>
      </c>
      <c r="J16" s="130">
        <f t="shared" si="1"/>
        <v>0</v>
      </c>
      <c r="K16" s="131">
        <f t="shared" si="2"/>
        <v>0</v>
      </c>
      <c r="L16" s="131">
        <f t="shared" si="3"/>
        <v>0</v>
      </c>
      <c r="M16" s="135">
        <f t="shared" si="4"/>
        <v>0</v>
      </c>
      <c r="N16" s="136">
        <f t="shared" si="5"/>
        <v>0</v>
      </c>
      <c r="O16" s="71"/>
      <c r="S16" s="1"/>
      <c r="T16" s="1"/>
      <c r="U16" s="1"/>
      <c r="V16" s="1"/>
      <c r="W16" s="1"/>
      <c r="X16" s="1"/>
      <c r="Y16" s="1"/>
      <c r="Z16" s="1"/>
      <c r="AA16" s="1"/>
      <c r="AB16" s="1"/>
      <c r="AE16" s="7">
        <f t="shared" si="0"/>
        <v>12</v>
      </c>
    </row>
    <row r="17" spans="3:28" ht="15.75" customHeight="1">
      <c r="C17" s="72"/>
      <c r="D17" s="127" t="str">
        <f>IF(I16&lt;&gt;0,Dati!L12," ")</f>
        <v> </v>
      </c>
      <c r="E17" s="87"/>
      <c r="F17" s="88"/>
      <c r="G17" s="87"/>
      <c r="H17" s="89"/>
      <c r="I17" s="134">
        <f t="shared" si="6"/>
        <v>0</v>
      </c>
      <c r="J17" s="130">
        <f t="shared" si="1"/>
        <v>0</v>
      </c>
      <c r="K17" s="131">
        <f t="shared" si="2"/>
        <v>0</v>
      </c>
      <c r="L17" s="131">
        <f t="shared" si="3"/>
        <v>0</v>
      </c>
      <c r="M17" s="135">
        <f t="shared" si="4"/>
        <v>0</v>
      </c>
      <c r="N17" s="136">
        <f t="shared" si="5"/>
        <v>0</v>
      </c>
      <c r="O17" s="7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38" s="5" customFormat="1" ht="15.75" customHeight="1">
      <c r="B18" s="38"/>
      <c r="C18" s="72"/>
      <c r="D18" s="127" t="str">
        <f>IF(I17&lt;&gt;0,Dati!L13," ")</f>
        <v> </v>
      </c>
      <c r="E18" s="87"/>
      <c r="F18" s="88"/>
      <c r="G18" s="87"/>
      <c r="H18" s="89"/>
      <c r="I18" s="134">
        <f t="shared" si="6"/>
        <v>0</v>
      </c>
      <c r="J18" s="130">
        <f t="shared" si="1"/>
        <v>0</v>
      </c>
      <c r="K18" s="131">
        <f t="shared" si="2"/>
        <v>0</v>
      </c>
      <c r="L18" s="131">
        <f t="shared" si="3"/>
        <v>0</v>
      </c>
      <c r="M18" s="135">
        <f t="shared" si="4"/>
        <v>0</v>
      </c>
      <c r="N18" s="136">
        <f t="shared" si="5"/>
        <v>0</v>
      </c>
      <c r="O18" s="80"/>
      <c r="AC18" s="30"/>
      <c r="AD18" s="30"/>
      <c r="AH18" s="4"/>
      <c r="AI18" s="4"/>
      <c r="AL18" s="4"/>
    </row>
    <row r="19" spans="3:31" ht="15.75" customHeight="1">
      <c r="C19" s="72"/>
      <c r="D19" s="127" t="str">
        <f>IF(I18&lt;&gt;0,Dati!L14," ")</f>
        <v> </v>
      </c>
      <c r="E19" s="87"/>
      <c r="F19" s="88"/>
      <c r="G19" s="87"/>
      <c r="H19" s="89"/>
      <c r="I19" s="134">
        <f t="shared" si="6"/>
        <v>0</v>
      </c>
      <c r="J19" s="130">
        <f t="shared" si="1"/>
        <v>0</v>
      </c>
      <c r="K19" s="131">
        <f t="shared" si="2"/>
        <v>0</v>
      </c>
      <c r="L19" s="131">
        <f t="shared" si="3"/>
        <v>0</v>
      </c>
      <c r="M19" s="135">
        <f t="shared" si="4"/>
        <v>0</v>
      </c>
      <c r="N19" s="136">
        <f t="shared" si="5"/>
        <v>0</v>
      </c>
      <c r="O19" s="71"/>
      <c r="S19" s="1"/>
      <c r="T19" s="1"/>
      <c r="U19" s="1"/>
      <c r="V19" s="1"/>
      <c r="W19" s="1"/>
      <c r="X19" s="1"/>
      <c r="Y19" s="1"/>
      <c r="Z19" s="1"/>
      <c r="AA19" s="1"/>
      <c r="AB19" s="1"/>
      <c r="AE19" s="20">
        <f>100-N4</f>
        <v>35</v>
      </c>
    </row>
    <row r="20" spans="3:28" ht="15.75" customHeight="1">
      <c r="C20" s="72"/>
      <c r="D20" s="127" t="str">
        <f>IF(I19&lt;&gt;0,Dati!L15," ")</f>
        <v> </v>
      </c>
      <c r="E20" s="87"/>
      <c r="F20" s="88"/>
      <c r="G20" s="87"/>
      <c r="H20" s="89"/>
      <c r="I20" s="134">
        <f t="shared" si="6"/>
        <v>0</v>
      </c>
      <c r="J20" s="130">
        <f t="shared" si="1"/>
        <v>0</v>
      </c>
      <c r="K20" s="131">
        <f t="shared" si="2"/>
        <v>0</v>
      </c>
      <c r="L20" s="131">
        <f t="shared" si="3"/>
        <v>0</v>
      </c>
      <c r="M20" s="135">
        <f t="shared" si="4"/>
        <v>0</v>
      </c>
      <c r="N20" s="136">
        <f t="shared" si="5"/>
        <v>0</v>
      </c>
      <c r="O20" s="7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3:31" ht="15.75" customHeight="1">
      <c r="C21" s="72"/>
      <c r="D21" s="127" t="str">
        <f>IF(I20&lt;&gt;0,Dati!L16," ")</f>
        <v> </v>
      </c>
      <c r="E21" s="87"/>
      <c r="F21" s="88"/>
      <c r="G21" s="87"/>
      <c r="H21" s="89"/>
      <c r="I21" s="134">
        <f t="shared" si="6"/>
        <v>0</v>
      </c>
      <c r="J21" s="130">
        <f t="shared" si="1"/>
        <v>0</v>
      </c>
      <c r="K21" s="131">
        <f t="shared" si="2"/>
        <v>0</v>
      </c>
      <c r="L21" s="131">
        <f t="shared" si="3"/>
        <v>0</v>
      </c>
      <c r="M21" s="135">
        <f t="shared" si="4"/>
        <v>0</v>
      </c>
      <c r="N21" s="136">
        <f t="shared" si="5"/>
        <v>0</v>
      </c>
      <c r="O21" s="71"/>
      <c r="S21" s="1"/>
      <c r="T21" s="1"/>
      <c r="U21" s="1"/>
      <c r="V21" s="1"/>
      <c r="W21" s="1"/>
      <c r="X21" s="1"/>
      <c r="Y21" s="1"/>
      <c r="Z21" s="1"/>
      <c r="AA21" s="1"/>
      <c r="AB21" s="1"/>
      <c r="AE21" s="1">
        <f>+E10*100/M7</f>
        <v>35</v>
      </c>
    </row>
    <row r="22" spans="3:31" ht="15.75" customHeight="1">
      <c r="C22" s="72"/>
      <c r="D22" s="127" t="str">
        <f>IF(I21&lt;&gt;0,Dati!L17," ")</f>
        <v> </v>
      </c>
      <c r="E22" s="87"/>
      <c r="F22" s="88"/>
      <c r="G22" s="87"/>
      <c r="H22" s="89"/>
      <c r="I22" s="134">
        <f t="shared" si="6"/>
        <v>0</v>
      </c>
      <c r="J22" s="130">
        <f t="shared" si="1"/>
        <v>0</v>
      </c>
      <c r="K22" s="131">
        <f t="shared" si="2"/>
        <v>0</v>
      </c>
      <c r="L22" s="131">
        <f t="shared" si="3"/>
        <v>0</v>
      </c>
      <c r="M22" s="135">
        <f t="shared" si="4"/>
        <v>0</v>
      </c>
      <c r="N22" s="136">
        <f t="shared" si="5"/>
        <v>0</v>
      </c>
      <c r="O22" s="71"/>
      <c r="S22" s="1"/>
      <c r="T22" s="1"/>
      <c r="U22" s="1"/>
      <c r="V22" s="1"/>
      <c r="W22" s="1"/>
      <c r="X22" s="1"/>
      <c r="Y22" s="1"/>
      <c r="Z22" s="1"/>
      <c r="AA22" s="1"/>
      <c r="AB22" s="1"/>
      <c r="AE22" s="1">
        <f>100-AE21</f>
        <v>65</v>
      </c>
    </row>
    <row r="23" spans="3:28" ht="15.75" customHeight="1">
      <c r="C23" s="72"/>
      <c r="D23" s="127" t="str">
        <f>IF(I22&lt;&gt;0,Dati!L18," ")</f>
        <v> </v>
      </c>
      <c r="E23" s="90"/>
      <c r="F23" s="91"/>
      <c r="G23" s="90"/>
      <c r="H23" s="92"/>
      <c r="I23" s="137">
        <f t="shared" si="6"/>
        <v>0</v>
      </c>
      <c r="J23" s="138">
        <f t="shared" si="1"/>
        <v>0</v>
      </c>
      <c r="K23" s="139">
        <f t="shared" si="2"/>
        <v>0</v>
      </c>
      <c r="L23" s="139">
        <f t="shared" si="3"/>
        <v>0</v>
      </c>
      <c r="M23" s="140">
        <f t="shared" si="4"/>
        <v>0</v>
      </c>
      <c r="N23" s="141">
        <f t="shared" si="5"/>
        <v>0</v>
      </c>
      <c r="O23" s="7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3:28" ht="15.75" customHeight="1">
      <c r="C24" s="72"/>
      <c r="D24" s="128" t="s">
        <v>32</v>
      </c>
      <c r="E24" s="93">
        <f aca="true" t="shared" si="7" ref="E24:M24">SUM(E15:E23)</f>
        <v>0</v>
      </c>
      <c r="F24" s="94">
        <f t="shared" si="7"/>
        <v>0</v>
      </c>
      <c r="G24" s="93">
        <f t="shared" si="7"/>
        <v>0</v>
      </c>
      <c r="H24" s="95">
        <f t="shared" si="7"/>
        <v>0</v>
      </c>
      <c r="I24" s="142">
        <f t="shared" si="7"/>
        <v>0</v>
      </c>
      <c r="J24" s="143">
        <f t="shared" si="7"/>
        <v>0</v>
      </c>
      <c r="K24" s="144">
        <f t="shared" si="7"/>
        <v>0</v>
      </c>
      <c r="L24" s="144">
        <f t="shared" si="7"/>
        <v>0</v>
      </c>
      <c r="M24" s="145">
        <f t="shared" si="7"/>
        <v>0</v>
      </c>
      <c r="N24" s="146"/>
      <c r="O24" s="76"/>
      <c r="P24" s="25"/>
      <c r="Q24" s="25"/>
      <c r="R24" s="25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3:28" ht="15.75" customHeight="1">
      <c r="C25" s="72"/>
      <c r="D25" s="73"/>
      <c r="E25" s="73"/>
      <c r="F25" s="74"/>
      <c r="G25" s="74"/>
      <c r="H25" s="74"/>
      <c r="I25" s="74"/>
      <c r="J25" s="74"/>
      <c r="K25" s="74"/>
      <c r="L25" s="74"/>
      <c r="M25" s="74"/>
      <c r="N25" s="74"/>
      <c r="O25" s="76"/>
      <c r="P25" s="25"/>
      <c r="Q25" s="25"/>
      <c r="R25" s="25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3:28" ht="63.75" customHeight="1">
      <c r="C26" s="72"/>
      <c r="D26" s="288" t="s">
        <v>51</v>
      </c>
      <c r="E26" s="147" t="s">
        <v>15</v>
      </c>
      <c r="F26" s="148" t="s">
        <v>16</v>
      </c>
      <c r="G26" s="147" t="s">
        <v>17</v>
      </c>
      <c r="H26" s="149" t="s">
        <v>40</v>
      </c>
      <c r="I26" s="150" t="s">
        <v>32</v>
      </c>
      <c r="J26" s="151" t="s">
        <v>52</v>
      </c>
      <c r="K26" s="152" t="s">
        <v>53</v>
      </c>
      <c r="L26" s="152" t="s">
        <v>34</v>
      </c>
      <c r="M26" s="149" t="s">
        <v>33</v>
      </c>
      <c r="N26" s="153" t="s">
        <v>36</v>
      </c>
      <c r="O26" s="76"/>
      <c r="P26" s="25"/>
      <c r="Q26" s="25"/>
      <c r="R26" s="25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3:28" ht="15.75" customHeight="1">
      <c r="C27" s="72"/>
      <c r="D27" s="259"/>
      <c r="E27" s="154">
        <f>+E24</f>
        <v>0</v>
      </c>
      <c r="F27" s="155">
        <f>+F24</f>
        <v>0</v>
      </c>
      <c r="G27" s="156">
        <f>+G24</f>
        <v>0</v>
      </c>
      <c r="H27" s="157">
        <f>+H24</f>
        <v>0</v>
      </c>
      <c r="I27" s="158">
        <f>+H27+G27+F27+E27</f>
        <v>0</v>
      </c>
      <c r="J27" s="143">
        <f>+J24+J33</f>
        <v>0</v>
      </c>
      <c r="K27" s="159">
        <f>+L24+M24</f>
        <v>0</v>
      </c>
      <c r="L27" s="159">
        <f>IF(I15&lt;&gt;0,(IF((I27*0.2*0.65)&gt;2500000,+I27*0.65*0.2,M10)),0)</f>
        <v>0</v>
      </c>
      <c r="M27" s="155">
        <f>+K27+L27</f>
        <v>0</v>
      </c>
      <c r="N27" s="160">
        <f>IF(E27&lt;&gt;0,100*I27/$M$7,0)</f>
        <v>0</v>
      </c>
      <c r="O27" s="76"/>
      <c r="P27" s="25"/>
      <c r="Q27" s="25"/>
      <c r="R27" s="25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3:28" ht="15.75" customHeight="1">
      <c r="C28" s="72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76"/>
      <c r="P28" s="25"/>
      <c r="Q28" s="25"/>
      <c r="R28" s="25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3:28" ht="15.75" customHeight="1">
      <c r="C29" s="72"/>
      <c r="D29" s="73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6"/>
      <c r="P29" s="25"/>
      <c r="Q29" s="25"/>
      <c r="R29" s="25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5:28" ht="15.75" customHeight="1">
      <c r="O30" s="25"/>
      <c r="P30" s="25"/>
      <c r="Q30" s="25"/>
      <c r="R30" s="25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5:28" ht="15.75" customHeight="1">
      <c r="O31" s="25"/>
      <c r="P31" s="25"/>
      <c r="Q31" s="25"/>
      <c r="R31" s="25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5:28" ht="12.75">
      <c r="O32" s="25"/>
      <c r="P32" s="25"/>
      <c r="Q32" s="25"/>
      <c r="R32" s="25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38" s="6" customFormat="1" ht="12.75">
      <c r="B33" s="38"/>
      <c r="C33" s="38"/>
      <c r="D33" s="33"/>
      <c r="E33" s="34"/>
      <c r="F33" s="34"/>
      <c r="G33" s="34"/>
      <c r="H33" s="34"/>
      <c r="I33" s="34"/>
      <c r="J33" s="34"/>
      <c r="K33" s="34"/>
      <c r="L33" s="34"/>
      <c r="M33" s="35"/>
      <c r="N33" s="21"/>
      <c r="O33" s="25"/>
      <c r="P33" s="25"/>
      <c r="Q33" s="25"/>
      <c r="R33" s="25"/>
      <c r="AC33" s="30"/>
      <c r="AD33" s="30"/>
      <c r="AF33" s="4"/>
      <c r="AG33" s="4"/>
      <c r="AH33" s="4"/>
      <c r="AI33" s="4"/>
      <c r="AJ33" s="4"/>
      <c r="AL33" s="4"/>
    </row>
    <row r="34" spans="2:38" s="6" customFormat="1" ht="12.75">
      <c r="B34" s="38"/>
      <c r="C34" s="38"/>
      <c r="D34" s="2"/>
      <c r="E34" s="2"/>
      <c r="F34" s="3"/>
      <c r="G34" s="3"/>
      <c r="H34" s="3"/>
      <c r="I34" s="3"/>
      <c r="J34" s="3"/>
      <c r="K34" s="3"/>
      <c r="L34" s="3"/>
      <c r="M34" s="3"/>
      <c r="N34" s="3"/>
      <c r="O34" s="25"/>
      <c r="P34" s="25"/>
      <c r="Q34" s="25"/>
      <c r="R34" s="25"/>
      <c r="AC34" s="30"/>
      <c r="AD34" s="30"/>
      <c r="AF34" s="4"/>
      <c r="AG34" s="4"/>
      <c r="AH34" s="4"/>
      <c r="AI34" s="4"/>
      <c r="AJ34" s="4"/>
      <c r="AL34" s="4"/>
    </row>
    <row r="35" spans="15:28" ht="12.75">
      <c r="O35" s="25"/>
      <c r="P35" s="25"/>
      <c r="Q35" s="25"/>
      <c r="R35" s="25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5:28" ht="12.75">
      <c r="O36" s="25"/>
      <c r="P36" s="25"/>
      <c r="Q36" s="25"/>
      <c r="R36" s="25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5:28" ht="12.75">
      <c r="O37" s="25"/>
      <c r="P37" s="25"/>
      <c r="Q37" s="25"/>
      <c r="R37" s="25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5:28" ht="12.75">
      <c r="O38" s="25"/>
      <c r="P38" s="25"/>
      <c r="Q38" s="25"/>
      <c r="R38" s="25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5:28" ht="12.75">
      <c r="O39" s="25"/>
      <c r="P39" s="25"/>
      <c r="Q39" s="25"/>
      <c r="R39" s="25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5:28" ht="12.75">
      <c r="O40" s="25"/>
      <c r="P40" s="25"/>
      <c r="Q40" s="25"/>
      <c r="R40" s="25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5:28" ht="12.75">
      <c r="O41" s="25"/>
      <c r="P41" s="25"/>
      <c r="Q41" s="25"/>
      <c r="R41" s="25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5:28" ht="12.75">
      <c r="O42" s="25"/>
      <c r="P42" s="25"/>
      <c r="Q42" s="25"/>
      <c r="R42" s="25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5:28" ht="12.75">
      <c r="O43" s="25"/>
      <c r="P43" s="25"/>
      <c r="Q43" s="25"/>
      <c r="R43" s="25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5:28" ht="12.75">
      <c r="O44" s="25"/>
      <c r="P44" s="25"/>
      <c r="Q44" s="25"/>
      <c r="R44" s="25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5:28" ht="12.75">
      <c r="O45" s="25"/>
      <c r="P45" s="25"/>
      <c r="Q45" s="25"/>
      <c r="R45" s="25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5:28" ht="12.75">
      <c r="O46" s="25"/>
      <c r="P46" s="25"/>
      <c r="Q46" s="25"/>
      <c r="R46" s="25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5:28" ht="12.75">
      <c r="O47" s="25"/>
      <c r="P47" s="25"/>
      <c r="Q47" s="25"/>
      <c r="R47" s="25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5:28" ht="12.75">
      <c r="O48" s="25"/>
      <c r="P48" s="25"/>
      <c r="Q48" s="25"/>
      <c r="R48" s="25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5:28" ht="12.75">
      <c r="O49" s="25"/>
      <c r="P49" s="25"/>
      <c r="Q49" s="25"/>
      <c r="R49" s="25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5:28" ht="12.75">
      <c r="O50" s="25"/>
      <c r="P50" s="25"/>
      <c r="Q50" s="25"/>
      <c r="R50" s="25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5:28" ht="12.75">
      <c r="O51" s="25" t="e">
        <f>+Dati!#REF!</f>
        <v>#REF!</v>
      </c>
      <c r="P51" s="25"/>
      <c r="Q51" s="25"/>
      <c r="R51" s="25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5:28" ht="12.75">
      <c r="O52" s="25" t="e">
        <f>+Dati!#REF!</f>
        <v>#REF!</v>
      </c>
      <c r="P52" s="25"/>
      <c r="Q52" s="25"/>
      <c r="R52" s="25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5:28" ht="12.75">
      <c r="O53" s="25" t="e">
        <f>+Dati!#REF!</f>
        <v>#REF!</v>
      </c>
      <c r="P53" s="25"/>
      <c r="Q53" s="25"/>
      <c r="R53" s="25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5:28" ht="12.75">
      <c r="O54" s="25" t="e">
        <f>+Dati!#REF!</f>
        <v>#REF!</v>
      </c>
      <c r="P54" s="25"/>
      <c r="Q54" s="25"/>
      <c r="R54" s="25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5:28" ht="12.75">
      <c r="O55" s="25" t="e">
        <f>+Dati!#REF!</f>
        <v>#REF!</v>
      </c>
      <c r="P55" s="25"/>
      <c r="Q55" s="25"/>
      <c r="R55" s="25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5:28" ht="12.75">
      <c r="O56" s="25" t="e">
        <f>+Dati!#REF!</f>
        <v>#REF!</v>
      </c>
      <c r="P56" s="25"/>
      <c r="Q56" s="25"/>
      <c r="R56" s="25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5:28" ht="12.75">
      <c r="O57" s="25" t="e">
        <f>+Dati!#REF!</f>
        <v>#REF!</v>
      </c>
      <c r="P57" s="25"/>
      <c r="Q57" s="25"/>
      <c r="R57" s="25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5:28" ht="12.75">
      <c r="O58" s="25" t="e">
        <f>+Dati!#REF!</f>
        <v>#REF!</v>
      </c>
      <c r="P58" s="25"/>
      <c r="Q58" s="25"/>
      <c r="R58" s="25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5:28" ht="12.75">
      <c r="O59" s="25" t="e">
        <f>+Dati!#REF!</f>
        <v>#REF!</v>
      </c>
      <c r="P59" s="25"/>
      <c r="Q59" s="25"/>
      <c r="R59" s="25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5:28" ht="12.75">
      <c r="O60" s="25" t="e">
        <f>+Dati!#REF!</f>
        <v>#REF!</v>
      </c>
      <c r="S60" s="1"/>
      <c r="T60" s="1"/>
      <c r="U60" s="1"/>
      <c r="V60" s="1"/>
      <c r="W60" s="1"/>
      <c r="X60" s="1"/>
      <c r="Y60" s="1"/>
      <c r="Z60" s="1"/>
      <c r="AA60" s="1"/>
      <c r="AB60" s="1"/>
    </row>
  </sheetData>
  <sheetProtection password="CDF4" sheet="1" objects="1" scenarios="1" selectLockedCells="1"/>
  <mergeCells count="16">
    <mergeCell ref="D26:D27"/>
    <mergeCell ref="K9:L9"/>
    <mergeCell ref="N12:N14"/>
    <mergeCell ref="D12:D14"/>
    <mergeCell ref="J12:M12"/>
    <mergeCell ref="E12:H12"/>
    <mergeCell ref="I12:I14"/>
    <mergeCell ref="G13:H13"/>
    <mergeCell ref="E13:F13"/>
    <mergeCell ref="M6:N6"/>
    <mergeCell ref="M7:N7"/>
    <mergeCell ref="N9:N10"/>
    <mergeCell ref="D3:E3"/>
    <mergeCell ref="F3:L3"/>
    <mergeCell ref="D4:E4"/>
    <mergeCell ref="F4:L4"/>
  </mergeCells>
  <printOptions horizontalCentered="1" verticalCentered="1"/>
  <pageMargins left="0.11811023622047245" right="0.07874015748031496" top="0.2755905511811024" bottom="0.7874015748031497" header="0.1574803149606299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</cp:lastModifiedBy>
  <cp:lastPrinted>2005-02-23T21:42:57Z</cp:lastPrinted>
  <dcterms:created xsi:type="dcterms:W3CDTF">2005-02-12T11:06:44Z</dcterms:created>
  <dcterms:modified xsi:type="dcterms:W3CDTF">2005-02-28T20:58:48Z</dcterms:modified>
  <cp:category/>
  <cp:version/>
  <cp:contentType/>
  <cp:contentStatus/>
</cp:coreProperties>
</file>