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tabRatio="666" activeTab="0"/>
  </bookViews>
  <sheets>
    <sheet name="Foglio1" sheetId="1" r:id="rId1"/>
    <sheet name="Complessivo" sheetId="2" r:id="rId2"/>
  </sheets>
  <definedNames>
    <definedName name="_xlnm._FilterDatabase" localSheetId="1" hidden="1">'Complessivo'!$A$9:$U$586</definedName>
    <definedName name="_xlnm.Print_Area" localSheetId="1">'Complessivo'!$A$1:$T$586</definedName>
    <definedName name="_xlnm.Print_Titles" localSheetId="1">'Complessivo'!$1:$1</definedName>
  </definedNames>
  <calcPr fullCalcOnLoad="1"/>
</workbook>
</file>

<file path=xl/comments2.xml><?xml version="1.0" encoding="utf-8"?>
<comments xmlns="http://schemas.openxmlformats.org/spreadsheetml/2006/main">
  <authors>
    <author>.</author>
    <author>MD</author>
  </authors>
  <commentList>
    <comment ref="S2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Miccoli tolte 5 ore eccedenti le 8 giornaliere</t>
        </r>
      </text>
    </comment>
    <comment ref="S25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INPS. Alcuni fogli presenza in fotocopia</t>
        </r>
      </text>
    </comment>
    <comment ref="S10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Assegno senza data.</t>
        </r>
      </text>
    </comment>
    <comment ref="S29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timbro</t>
        </r>
      </text>
    </comment>
    <comment ref="S30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copia AB ma ha presentato estratto conto da cui si evince il pagamento effettuato</t>
        </r>
      </text>
    </comment>
    <comment ref="S42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Riconosciuta anche le ritenute non rendicontate(453,00), integrare la documentazione con il timesheet del consulente.Ok timesheet 30,10,06</t>
        </r>
      </text>
    </comment>
    <comment ref="S12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Mancano i timesheet, C.V. e dimostraz.del pagamento.06/02/07 Ok c.v. e timesheet</t>
        </r>
      </text>
    </comment>
    <comment ref="S12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Mancano i timesheet, C.V. e dimostraz.del pagamento.06/02/07 Ok c.v. e timesheet</t>
        </r>
      </text>
    </comment>
    <comment ref="S129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Mancano i timesheet, C.V. e dimostraz.del pagamento.06/02/07 Ok c.v. e timesheet</t>
        </r>
      </text>
    </comment>
    <comment ref="S12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Mancano i timesheet e C.V. OK 06/02/07</t>
        </r>
      </text>
    </comment>
    <comment ref="S12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Mancano i timesheet e C.V. OK 06/02/07</t>
        </r>
      </text>
    </comment>
    <comment ref="S125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Mancano i timesheet e C.V. OK 06/02/07</t>
        </r>
      </text>
    </comment>
    <comment ref="S12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Mancano i timesheet e C.V. OK 06/02/07 pagate 2 gg x 350</t>
        </r>
      </text>
    </comment>
    <comment ref="S135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Il contratto di consulenza non è firmato dal presidente M. Stolfi. Nel contratto di consulenza si dichiara che la Stolfi è dipendente. Il presidente Stolfi si autorizza il pagamento. Stolfi risponde a se stessa per le prestazioni fornite? Mancano documenti di procedura negoziata per la scelta dei consulenti. Manca timbro annullamento. Manca data sull'assegno. Ok 06/02/2007</t>
        </r>
      </text>
    </comment>
    <comment ref="S119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il file di dettaglio, timesheet, C.V.  </t>
        </r>
        <r>
          <rPr>
            <b/>
            <sz val="8"/>
            <rFont val="Tahoma"/>
            <family val="2"/>
          </rPr>
          <t xml:space="preserve">13/02/07 Ok file </t>
        </r>
      </text>
    </comment>
    <comment ref="S12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il file di dettaglio, timesheet, C.V.  </t>
        </r>
        <r>
          <rPr>
            <b/>
            <sz val="8"/>
            <rFont val="Tahoma"/>
            <family val="2"/>
          </rPr>
          <t xml:space="preserve">13/02/07 Ok file </t>
        </r>
      </text>
    </comment>
    <comment ref="S12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il file di dettaglio, timesheet, C.V.  </t>
        </r>
        <r>
          <rPr>
            <b/>
            <sz val="8"/>
            <rFont val="Tahoma"/>
            <family val="2"/>
          </rPr>
          <t xml:space="preserve">13/02/07 Ok file </t>
        </r>
      </text>
    </comment>
    <comment ref="S12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il file di dettaglio, timesheet, C.V.  </t>
        </r>
        <r>
          <rPr>
            <b/>
            <sz val="8"/>
            <rFont val="Tahoma"/>
            <family val="2"/>
          </rPr>
          <t xml:space="preserve">13/02/07 Ok file </t>
        </r>
      </text>
    </comment>
    <comment ref="S13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Consulenza non nominativa; manca contratto; manca curriculum consulente; manca timesheet consulente. </t>
        </r>
        <r>
          <rPr>
            <b/>
            <sz val="8"/>
            <rFont val="Tahoma"/>
            <family val="2"/>
          </rPr>
          <t>Ok 13/02/07</t>
        </r>
      </text>
    </comment>
    <comment ref="S13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Consulenza non nominativa; manca contratto; manca curriculum consulente; manca timesheet consulente. </t>
        </r>
        <r>
          <rPr>
            <b/>
            <sz val="8"/>
            <rFont val="Tahoma"/>
            <family val="2"/>
          </rPr>
          <t>Ok 13/02/07</t>
        </r>
      </text>
    </comment>
    <comment ref="S13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Consulenza non nominativa; manca contratto; manca curriculum consulente; manca timesheet consulente. </t>
        </r>
        <r>
          <rPr>
            <b/>
            <sz val="8"/>
            <rFont val="Tahoma"/>
            <family val="2"/>
          </rPr>
          <t>Ok 13/02/07</t>
        </r>
      </text>
    </comment>
    <comment ref="S1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Consulenza non nominativa; manca contratto; manca curriculum consulente; manca timesheet consulente. </t>
        </r>
        <r>
          <rPr>
            <b/>
            <sz val="8"/>
            <rFont val="Tahoma"/>
            <family val="2"/>
          </rPr>
          <t>Ok 13/02/07</t>
        </r>
      </text>
    </comment>
    <comment ref="S133" authorId="1">
      <text>
        <r>
          <rPr>
            <b/>
            <sz val="8"/>
            <rFont val="Tahoma"/>
            <family val="2"/>
          </rPr>
          <t>MD:</t>
        </r>
        <r>
          <rPr>
            <sz val="8"/>
            <rFont val="Tahoma"/>
            <family val="2"/>
          </rPr>
          <t xml:space="preserve">
Manca il contratto di consulenza; nel caso si riferisca ad attività amministrativo/contabile il costo va rendicontato alla voce spese genetali. Il consulente ha firmato per 28 gg. Ed ha un curriculum di III fascia 180 euro. </t>
        </r>
        <r>
          <rPr>
            <b/>
            <sz val="8"/>
            <rFont val="Tahoma"/>
            <family val="2"/>
          </rPr>
          <t>Ok 11,06,07 spostato nel V sal a spese generali</t>
        </r>
      </text>
    </comment>
  </commentList>
</comments>
</file>

<file path=xl/sharedStrings.xml><?xml version="1.0" encoding="utf-8"?>
<sst xmlns="http://schemas.openxmlformats.org/spreadsheetml/2006/main" count="2981" uniqueCount="735">
  <si>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</si>
  <si>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</si>
  <si>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</si>
  <si>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</si>
  <si>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</si>
  <si>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</si>
  <si>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</si>
  <si>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</si>
  <si>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</si>
  <si>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</si>
  <si>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</si>
  <si>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</si>
  <si>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</si>
  <si>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</si>
  <si>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</si>
  <si>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</si>
  <si>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</si>
  <si>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</si>
  <si>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</si>
  <si>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</si>
  <si>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</si>
  <si>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</si>
  <si>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</si>
  <si>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</si>
  <si>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</si>
  <si>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Ant.</t>
  </si>
  <si>
    <t>Erogare</t>
  </si>
  <si>
    <t>Note</t>
  </si>
  <si>
    <t>SAL 1</t>
  </si>
  <si>
    <t>SAL 2</t>
  </si>
  <si>
    <t>TOT GEN</t>
  </si>
  <si>
    <t>TOT SAL 1</t>
  </si>
  <si>
    <t>TOT SAL 2</t>
  </si>
  <si>
    <t>Avvio PR</t>
  </si>
  <si>
    <t>TOT PROGETTO=</t>
  </si>
  <si>
    <t>CONTRIBUTO=</t>
  </si>
  <si>
    <t>CONTRIBUTO IVA=</t>
  </si>
  <si>
    <t>TOT CONTRIBUTO=</t>
  </si>
  <si>
    <t>IVA=</t>
  </si>
  <si>
    <t>Res IVA=</t>
  </si>
  <si>
    <t>AB</t>
  </si>
  <si>
    <t>ANCE PUGLIA  04 - RIEPILOGO SPESE</t>
  </si>
  <si>
    <t>ANCE PUGLIA</t>
  </si>
  <si>
    <t>FIDEIUSSIONE</t>
  </si>
  <si>
    <t>LA VISCONTEA ASS.</t>
  </si>
  <si>
    <t>LOGO CRISED</t>
  </si>
  <si>
    <t>MAC SERVICE DI STRUSI B.</t>
  </si>
  <si>
    <t>BONIFICO</t>
  </si>
  <si>
    <t>Non ammesse imposte</t>
  </si>
  <si>
    <t>SCUOLA EDILE PROV. BRINDISI</t>
  </si>
  <si>
    <t>STASI GIOVANNI, BALDASSARRE SILVANA, CARRISI ADDOLORATA</t>
  </si>
  <si>
    <t>MISSIONE STASI</t>
  </si>
  <si>
    <t>SCUOLA EDILI FOGGIA</t>
  </si>
  <si>
    <t>MICCOLI GIULIO, PIETTI ANGELINA, SOLLAZZO PIETRO, POLISENO VALTER</t>
  </si>
  <si>
    <t>SCUOLA EDILE FOGGIA</t>
  </si>
  <si>
    <t>MISSIONE BALDASSARRE</t>
  </si>
  <si>
    <t xml:space="preserve">ENEL </t>
  </si>
  <si>
    <t>RIUNIONE COORDINAMENTO</t>
  </si>
  <si>
    <t>SCUOLA EDILI LECCE</t>
  </si>
  <si>
    <t>TOLOMEO SERGIO,PALUMBO MARIA ROSA,GALASSO ANTONIA</t>
  </si>
  <si>
    <t>rimborso km.co Lecce-Bari per costituzione ATS (Tolomeo)</t>
  </si>
  <si>
    <t>rimborso km.co Lecce-Bari per riunione (Tolomeo)</t>
  </si>
  <si>
    <t>rimborso Km.co Lecce - Foggia per riunione (Tolomeo)</t>
  </si>
  <si>
    <t>rimborso km.co Lecce-Taranto per riunione (Tolomeo)</t>
  </si>
  <si>
    <t>SCUOLA EDILE LECCE</t>
  </si>
  <si>
    <t>in busta paga</t>
  </si>
  <si>
    <t>EUROGA S.C. r.l.</t>
  </si>
  <si>
    <t>MOSCA MARIANGELA</t>
  </si>
  <si>
    <t>Consulenza per progettazione</t>
  </si>
  <si>
    <t>Consulenza commercialistica</t>
  </si>
  <si>
    <t>Ric. Nr 01/2004</t>
  </si>
  <si>
    <t>A/B</t>
  </si>
  <si>
    <t>Dr.ssa Stolfi</t>
  </si>
  <si>
    <t>Ric. Nr 01/2005</t>
  </si>
  <si>
    <t>Dr. Peluso</t>
  </si>
  <si>
    <t>Fatt. N75/2005</t>
  </si>
  <si>
    <t>Materiale Cancelleria</t>
  </si>
  <si>
    <t>Scaringella</t>
  </si>
  <si>
    <t>FORMEDIL BARI</t>
  </si>
  <si>
    <t>APRILE LUIGI, PARADIE GIUSEPPE, FRANCO MAURIZIO, LORUSSO ROSARIO</t>
  </si>
  <si>
    <t>Canone pulizia mese di novembre 2004</t>
  </si>
  <si>
    <t>Coop.Nuova Linda</t>
  </si>
  <si>
    <t>A/C</t>
  </si>
  <si>
    <t>Bolletta ENEL mese novembre 2004</t>
  </si>
  <si>
    <t>Enel</t>
  </si>
  <si>
    <t>Add. c/c</t>
  </si>
  <si>
    <t>Canone pulizia mese di dicembre 2004</t>
  </si>
  <si>
    <t>Servizio vigilanza mese novembre 2004</t>
  </si>
  <si>
    <t>IVRI</t>
  </si>
  <si>
    <t>Bolletta ENEL dicembre 2004</t>
  </si>
  <si>
    <t>Bolletta TELECOM nov/dic</t>
  </si>
  <si>
    <t>TELECOM</t>
  </si>
  <si>
    <t>8S00081966</t>
  </si>
  <si>
    <t>8S00078966</t>
  </si>
  <si>
    <t>Canone pulizia mese di gennaio 2005</t>
  </si>
  <si>
    <t>Canone vigilanza mese di dicembre 2004</t>
  </si>
  <si>
    <t>Canone pulizia mese di febbraio 2005</t>
  </si>
  <si>
    <t>Bolletta AQP</t>
  </si>
  <si>
    <t>AQP</t>
  </si>
  <si>
    <t xml:space="preserve">Fatt. "Past.Mercantile" incontro 8/2/05 </t>
  </si>
  <si>
    <t>Past.Mercantile</t>
  </si>
  <si>
    <t>Rimborso spese viaggio Dir. riun.Crised</t>
  </si>
  <si>
    <t>Canone vigilanza mese di gennaio 2005</t>
  </si>
  <si>
    <t>Bolletta ENEL mese febbraio 2005</t>
  </si>
  <si>
    <t>ENEL</t>
  </si>
  <si>
    <t>Bolletta TELECOM gen/feb</t>
  </si>
  <si>
    <t>8S00267427</t>
  </si>
  <si>
    <t>8S00272935</t>
  </si>
  <si>
    <t>SCUOLA EDILE TARANTO</t>
  </si>
  <si>
    <t>PRANZO DI LAVORO</t>
  </si>
  <si>
    <t>RISTORANTE EBALIA</t>
  </si>
  <si>
    <t>TRASFERTA LORUSSO</t>
  </si>
  <si>
    <t>TRASFERTA DE BARTOLOMEO</t>
  </si>
  <si>
    <t>TRASFERTA LA DIANA</t>
  </si>
  <si>
    <t>Dr. Bambi</t>
  </si>
  <si>
    <t>ADD.C/C/B</t>
  </si>
  <si>
    <t>ADD. C/C/B</t>
  </si>
  <si>
    <t xml:space="preserve">15/12/2004 21/12/2004 </t>
  </si>
  <si>
    <t>2005.203.0424479</t>
  </si>
  <si>
    <t>Iva ammessa</t>
  </si>
  <si>
    <t>Contributo iva</t>
  </si>
  <si>
    <t>TOT CONTR</t>
  </si>
  <si>
    <t>ToT costi ammessi</t>
  </si>
  <si>
    <t xml:space="preserve"> </t>
  </si>
  <si>
    <t>Spesa ammessa</t>
  </si>
  <si>
    <t>TOT ammes</t>
  </si>
  <si>
    <t>Contrib. Costi</t>
  </si>
  <si>
    <t>Contrib. Iva</t>
  </si>
  <si>
    <t>VIAGGI DIRETTORE</t>
  </si>
  <si>
    <t>Non ammessa la miss del 25.2.05: non presente</t>
  </si>
  <si>
    <t>Missioni solo per il personale dipendente</t>
  </si>
  <si>
    <t>KANTEA s.c.r.l.</t>
  </si>
  <si>
    <t>CRISED</t>
  </si>
  <si>
    <t>mdulo richiesta</t>
  </si>
  <si>
    <t>A/ B N. 0008296748-05</t>
  </si>
  <si>
    <t xml:space="preserve">A/ B N. 0300072283-04 </t>
  </si>
  <si>
    <t>A/B n. 0300072285-06</t>
  </si>
  <si>
    <t>A/B n. 0300072290-11</t>
  </si>
  <si>
    <t>A/B N. 0008296735-05</t>
  </si>
  <si>
    <t>A/B N. 0008296744-01</t>
  </si>
  <si>
    <t>A/B N. 0003885675-01</t>
  </si>
  <si>
    <t>A/B N. 0003903656-03</t>
  </si>
  <si>
    <t>A/B n. 0300072282-03</t>
  </si>
  <si>
    <t>A/B  n. 0300072287-08</t>
  </si>
  <si>
    <t>A/B n. 0300098091- 07</t>
  </si>
  <si>
    <t>Manca copia bolletta</t>
  </si>
  <si>
    <t>Non ammissibile.</t>
  </si>
  <si>
    <t>MOD. trasferta</t>
  </si>
  <si>
    <t>LORUSSO ANGELO, TURTUTTO CONCETTA, LADIANA ROSA</t>
  </si>
  <si>
    <t>Non ammissibile. 4 presenti su 6 pranzi. Manca iva su fattura. Manca dicitura Ue.</t>
  </si>
  <si>
    <t>Le spese di amministrazione vengono riportate da consulenza in spese generali. Intanto manca copia AB e e la documentazione è in fotocopia, dovrà essere conservato l'originale per l'ammissione finale della spesa.</t>
  </si>
  <si>
    <t>Inammissibile perché fuori fuori sede operativa Puglia</t>
  </si>
  <si>
    <t>Inammissibile perché non si riferisce a spese in sede operativa  Puglia</t>
  </si>
  <si>
    <t>SAL 1 - 29/10/04 - 28/02/05</t>
  </si>
  <si>
    <t>SAL 2 - 01/03/05 - 31/10/05</t>
  </si>
  <si>
    <t>II</t>
  </si>
  <si>
    <t>IAFFALDANO MARILENA</t>
  </si>
  <si>
    <t>FORMEDIL FOGGIA</t>
  </si>
  <si>
    <t>N.RO 5 DIPENDENTI</t>
  </si>
  <si>
    <t>MOSCA, BAMBI, STOLFI</t>
  </si>
  <si>
    <t>TOLOMEO SERGIO,PALUMBO MARIA ROSA,GALASSO ANTONIA, TEMPESTA</t>
  </si>
  <si>
    <t>N.RO 6 DIPENDENTI</t>
  </si>
  <si>
    <t>SMILE PUGLIA</t>
  </si>
  <si>
    <t>DE MASO, ACQUAFREDDA</t>
  </si>
  <si>
    <t>Fase 1 - SEGRETERIA TECNICA quota Ance Puglia</t>
  </si>
  <si>
    <t>ERNST &amp; YOUNG Fba spa</t>
  </si>
  <si>
    <t>Bonifico bancario Unicredit - Banca d'Impresa</t>
  </si>
  <si>
    <t>Fase 1 - SEGRETERIA TECNICA quota Scuola Edile Brindisi</t>
  </si>
  <si>
    <t>Fase 1 - SEGRETERIA TECNICA quota Euroga</t>
  </si>
  <si>
    <t>Fase 1 - SEGRETERIA TECNICA Scuola Edile Lecce</t>
  </si>
  <si>
    <t>Fase 1 - SEGRETERIA TECNICA Formedil Bari</t>
  </si>
  <si>
    <t>Fase 1 - SEGRETERIA TECNICA Ente Scuola Edile Taranto</t>
  </si>
  <si>
    <t>Fase 1 - SEGRETERIA TECNICA Formedil Foggia</t>
  </si>
  <si>
    <t>Fase 1 - Progettazione Interventi Professor Luigi Spedicato Ance Puglia</t>
  </si>
  <si>
    <t>Professor Luigi Spedicato</t>
  </si>
  <si>
    <t>Ricevuta 5</t>
  </si>
  <si>
    <t>F 24 per ritenuta d'acconto</t>
  </si>
  <si>
    <t>SCUOLA EDILE TA</t>
  </si>
  <si>
    <t>SCUOLA EDILE BR</t>
  </si>
  <si>
    <t>SCUOLA EDILE LE</t>
  </si>
  <si>
    <t>B.BANCARIO</t>
  </si>
  <si>
    <t>Fornitura beni e servizi per workshop del 20 luglio 05 di comeptenza Ance Puglia (spese di promozione)</t>
  </si>
  <si>
    <t>CVM SRL</t>
  </si>
  <si>
    <t>38</t>
  </si>
  <si>
    <t>30</t>
  </si>
  <si>
    <t>Fornitura beni e servizi per workshop del 20 luglio 05 di competenza Formedil Foggia (spese di promozione)</t>
  </si>
  <si>
    <t>Bonifico bancario</t>
  </si>
  <si>
    <t>Fornitura beni e servizi per workshop del 20 luglio 05 di competenza Scuola Edile Brindisi (spese di promozione)</t>
  </si>
  <si>
    <t>23</t>
  </si>
  <si>
    <t>Fornitura beni e servizi per workshop del 20 luglio 05 di competenza Euroga P. Soc. Coop a r.l. (spese di promozione)</t>
  </si>
  <si>
    <t>Fornitura beni e servizi per workshop del 20 luglio 05 di competenza Scuola Edile Lecce (spese di promozione)</t>
  </si>
  <si>
    <t>CVM srl</t>
  </si>
  <si>
    <t>Fornitura beni e servizi per workshop del 20 luglio 05 di competenza Formedil Bari (spese di promozione)</t>
  </si>
  <si>
    <t>add. c/c</t>
  </si>
  <si>
    <t>Fornitura beni e servizi per workshop del 20 luglio 05 di competenza Scuola Edile Taranto (spese di promozione)</t>
  </si>
  <si>
    <t>25</t>
  </si>
  <si>
    <t>Ideazione e progettazione logo Crised a carico di Ance Puglia</t>
  </si>
  <si>
    <t>Mac Service di Strusi B.</t>
  </si>
  <si>
    <t>Spese di ristorazione riunione del 28/06/2005 a carico Ance Puglia</t>
  </si>
  <si>
    <t>Saracino Group srl</t>
  </si>
  <si>
    <t>3287</t>
  </si>
  <si>
    <t>Assegno circolare Unicredit Banca 730353395907</t>
  </si>
  <si>
    <t>1598</t>
  </si>
  <si>
    <t>Assegno circolare Unicredit Banca 730344566206</t>
  </si>
  <si>
    <t>Canone pulizia mese di marzo 2005 Formedil Bari</t>
  </si>
  <si>
    <t>Canone vigilanza mese di febbraio 2005 Formedil Bari</t>
  </si>
  <si>
    <t>Bolletta ENEL marzo 2005 Formedil Bari</t>
  </si>
  <si>
    <t>Canone pulizia mese di aprile 2005 Formedil Bari</t>
  </si>
  <si>
    <t>Servizio vigilanza mese marzo 2005 Formedil Bari</t>
  </si>
  <si>
    <t>Bolletta ENEL mese aprile 2005 Formedil Bari</t>
  </si>
  <si>
    <t>Bolletta TELECOM mar/apr 2005 Formedil Bari</t>
  </si>
  <si>
    <t>8S00451495</t>
  </si>
  <si>
    <t>8S00445902</t>
  </si>
  <si>
    <t>Fatt. "Past.Mercantile" Formedil Bari</t>
  </si>
  <si>
    <t>Past. Mercantile</t>
  </si>
  <si>
    <t>Fatt. "ai 2 ghiottoni" Formedil Bari</t>
  </si>
  <si>
    <t>Ai 2 ghiottoni</t>
  </si>
  <si>
    <t>Canone pulizia mese di maggio 2005 Formedil Bari</t>
  </si>
  <si>
    <t>Bolletta AQP 1° trim. Formedil Bari</t>
  </si>
  <si>
    <t>c/c postale</t>
  </si>
  <si>
    <t>Canone vigilanza mese di aprile 2005 Formedil Bari</t>
  </si>
  <si>
    <t>Bolletta TELECOM magg/giu 2005 Formedil Bari</t>
  </si>
  <si>
    <t>8S00595945</t>
  </si>
  <si>
    <t>8S00596475</t>
  </si>
  <si>
    <t>Bolletta ENEL mese maggio 2005 Formedil Bari</t>
  </si>
  <si>
    <t>Servizio vigilanza mese maggio 2005 Formedil Bari</t>
  </si>
  <si>
    <t>Canone pulizia mese di giugno 2005 Formedil Bari</t>
  </si>
  <si>
    <t>Bolletta AMGAS marzo/aprile 2005 Formedil Bari</t>
  </si>
  <si>
    <t>AMGAS</t>
  </si>
  <si>
    <t>Bolletta ENEL mese giugno 2005 Formedil Bari</t>
  </si>
  <si>
    <t>Servizio vigilanza mese giugno 2005 Formedil Bari</t>
  </si>
  <si>
    <t>Servizio vigilanza mese luglio 2005 Formedil Bari</t>
  </si>
  <si>
    <t>Bolletta AMGAS maggio/agosto 2005 Formedil Bari</t>
  </si>
  <si>
    <t>Fatt. "Past.Mercantile"  Formedil Bari</t>
  </si>
  <si>
    <t>Canone pulizia mese di luglio 2005 Formedil Bari</t>
  </si>
  <si>
    <t>Bolletta TELECOM luglio 2005 Formedil Bari</t>
  </si>
  <si>
    <t>8S00821309</t>
  </si>
  <si>
    <t>8S00821308</t>
  </si>
  <si>
    <t>Bolletta ENEL mese luglio 2005 Formedil Bari</t>
  </si>
  <si>
    <t>bolletta AQP 2° trim. Formedil Bari</t>
  </si>
  <si>
    <t>Canone pulizia mese di settembre 2005 Formedil Bari</t>
  </si>
  <si>
    <t>Bolletta TELECOM sett/ott 2005 Formedil Bari</t>
  </si>
  <si>
    <t>8S00999945</t>
  </si>
  <si>
    <t>8S01001270</t>
  </si>
  <si>
    <t>Bolletta ENEL mese settembre 2005 Formedil Bari</t>
  </si>
  <si>
    <t>Canone pulizia mese di ottobre 2005 Formedil Bari</t>
  </si>
  <si>
    <t>Servizio vigilanza mese settembre 2005 Formedil Bari</t>
  </si>
  <si>
    <t>Bolletta ENEL ottobre 2005  Formedil Bari</t>
  </si>
  <si>
    <t>Servizio vigilanza mese ottobre 2005 Formedil Bari</t>
  </si>
  <si>
    <t>Servizio di vigilanza ottobre 2005 Formedil Bari</t>
  </si>
  <si>
    <t>Fornitura energia Formedil Foggia Formedil Bari</t>
  </si>
  <si>
    <t>ADD. IN C/C/B</t>
  </si>
  <si>
    <t>Rimborso spese viaggio Formedil Foggia Giulio Micoli</t>
  </si>
  <si>
    <t>Ass.circ. n° 090</t>
  </si>
  <si>
    <t>Erogazione corrente elettr. Formedil Foggia</t>
  </si>
  <si>
    <t>Rimborso spese viaggio Scuola Edile Brindisi Stasi</t>
  </si>
  <si>
    <t>MOD. RICHIESTA RIMBORSO</t>
  </si>
  <si>
    <t>Data trasferta 21/03/2005</t>
  </si>
  <si>
    <t>A/B N.T.6031191237-06</t>
  </si>
  <si>
    <t>Rimborso spese viaggio Scuola Edile Brindisi Baldassarre</t>
  </si>
  <si>
    <t>Data trasferta 10/03/2005</t>
  </si>
  <si>
    <t>A/B N.T.6031191239-08</t>
  </si>
  <si>
    <t>Data trasferta 13/05/2005</t>
  </si>
  <si>
    <t>A/B N.T.6031269699-00</t>
  </si>
  <si>
    <t>Data trasferta  14-20/07/2005</t>
  </si>
  <si>
    <t>A/B N.T.6029696185-06</t>
  </si>
  <si>
    <t>Materiale di cancelleria Scuola Edile Brindisi</t>
  </si>
  <si>
    <t>KARNAK s.a.</t>
  </si>
  <si>
    <t>16472/01</t>
  </si>
  <si>
    <t>Mandato di pag.to n.988/05 del 30/08/05</t>
  </si>
  <si>
    <t>Data trasferta  05/09/2005</t>
  </si>
  <si>
    <t>A/B N.T.6032431810-02</t>
  </si>
  <si>
    <t>Data trasferta  27/09/2005</t>
  </si>
  <si>
    <t>A/B N.T.6031191158-05</t>
  </si>
  <si>
    <t>Rimborso spese viaggio Scuola Edile Brindisi Dimonte</t>
  </si>
  <si>
    <t>A/B N.T.6031191159-06</t>
  </si>
  <si>
    <t>Data trasferta  10-13/10/2005</t>
  </si>
  <si>
    <t>A/B N.T.6031191173-07</t>
  </si>
  <si>
    <t>Rimborso spese di viaggio chilometriche Lecce-Bari per riunione Tolomeo</t>
  </si>
  <si>
    <t>inserita in busta   paga</t>
  </si>
  <si>
    <t>Dr. M. Peluso</t>
  </si>
  <si>
    <t>Spese postali interamente attribuibili al progetto</t>
  </si>
  <si>
    <t>POSTE ITALIANE (SUCC. 10 DI TA)</t>
  </si>
  <si>
    <t>CONTANTI</t>
  </si>
  <si>
    <t>Rimborso spese di viaggio chilometriche Taranto - Bari per riunione La Diana</t>
  </si>
  <si>
    <t>A/B N. 0300099596 BCC</t>
  </si>
  <si>
    <t>A/B N. 03000994596 BCC</t>
  </si>
  <si>
    <t>Rimborso spese di viaggio chilometriche Taranto - Bari per riunione Lorusso</t>
  </si>
  <si>
    <t>A/B N. 0008296729 B.P.P.B.</t>
  </si>
  <si>
    <t>A/B N. 0008296730 B.P.P.B.</t>
  </si>
  <si>
    <t>TONER FOTOCOPIATORE</t>
  </si>
  <si>
    <t xml:space="preserve">LO.MA. S. n.c. </t>
  </si>
  <si>
    <t>BONIFICO N. 135/05 DEL 12/4/05</t>
  </si>
  <si>
    <t>HRD DISK, MOUSE, RAM, ECC.</t>
  </si>
  <si>
    <t>INFORMATICA PER IL MEZZOGIORNO S.A.S.</t>
  </si>
  <si>
    <t>BONIFICO N. 197/05 DEL 30/5/05</t>
  </si>
  <si>
    <t>FORMEDIL FG</t>
  </si>
  <si>
    <t>20050 0314384</t>
  </si>
  <si>
    <t>20050 0421822</t>
  </si>
  <si>
    <t>Le fasce max 350/300/180 comprendono eventuale iva</t>
  </si>
  <si>
    <t>Manca contabile e liberatoria</t>
  </si>
  <si>
    <t>Manca dimostrazione di pagamento</t>
  </si>
  <si>
    <t>Manca CV e timesheet</t>
  </si>
  <si>
    <t>Manca liberatoria</t>
  </si>
  <si>
    <t>Mancano tabelle firmate dal legale rappresentante</t>
  </si>
  <si>
    <t>NOLEGGIO FOTOCOPIATORE</t>
  </si>
  <si>
    <t>LO.MA. UFFICIO S.n.c.</t>
  </si>
  <si>
    <t>SAL 3 - 01/11/05 - 30/06/06</t>
  </si>
  <si>
    <t>III</t>
  </si>
  <si>
    <t>MOSCA, STOLFI</t>
  </si>
  <si>
    <t>FORMEDIL Foggia</t>
  </si>
  <si>
    <t>Erogazione corrente elettr.</t>
  </si>
  <si>
    <t>Rimborso Viaggi</t>
  </si>
  <si>
    <t>Direttore</t>
  </si>
  <si>
    <t>rimborso km.co Lecce-Taranto per riunione gruppo di coordinamento operativo (Tolomeo)</t>
  </si>
  <si>
    <t>rimborso km.co Lecce-Bari per riunione gruppo di coordinamento operativo (Tolomeo)</t>
  </si>
  <si>
    <t>CVM</t>
  </si>
  <si>
    <t>36/05</t>
  </si>
  <si>
    <t>SPESE POSTALI</t>
  </si>
  <si>
    <t>TABACCHERIA GRAZIA AVERNA</t>
  </si>
  <si>
    <t>COLAZIONE DI LAVORO</t>
  </si>
  <si>
    <t>RISTORANTE AL CANALE</t>
  </si>
  <si>
    <t>contanti</t>
  </si>
  <si>
    <t>Canone pulizia mese di novembre 2005</t>
  </si>
  <si>
    <t>Canone vigilanza mese di novembre 2005</t>
  </si>
  <si>
    <t>Bolletta ENEL novembre 2005</t>
  </si>
  <si>
    <t>Canone pulizia mese di dicembre 2005</t>
  </si>
  <si>
    <t>Bolletta AMGAS settembre/ottobre 2005</t>
  </si>
  <si>
    <t>Servizio vigilanza mese dicembre 2005</t>
  </si>
  <si>
    <t>Bolletta ENEL mese dicembre 2005</t>
  </si>
  <si>
    <t>Canone pulizia mese di gennaio 2006</t>
  </si>
  <si>
    <t>Bolletta AQP ottobre/dicembre 2006</t>
  </si>
  <si>
    <t>Canone vigilanza mese di gennaio 2006</t>
  </si>
  <si>
    <t>Canone pulizia mese di febbraio 2006</t>
  </si>
  <si>
    <t>24/0206</t>
  </si>
  <si>
    <t>Bolletta AMGAS novembre/dicembre 2005</t>
  </si>
  <si>
    <t>Bolletta ENEL mese febbraio 2006</t>
  </si>
  <si>
    <t>Servizio vigilanza mese febbraio 2006</t>
  </si>
  <si>
    <t>Canone pulizia mese di marzo 2006</t>
  </si>
  <si>
    <t>Bolletta ENEL mese marzo 2006</t>
  </si>
  <si>
    <t>Servizio vigilanza mese marzo 2006</t>
  </si>
  <si>
    <t>Canone pulizia mese di aprile 2006</t>
  </si>
  <si>
    <t>Bolletta AMGAS gennaio/febbraio 2006</t>
  </si>
  <si>
    <t>Bolletta ENEL mese aprile 2006</t>
  </si>
  <si>
    <t>Servizio vigilanza mese aprile 2006</t>
  </si>
  <si>
    <t>Canone pulizia mese di maggio 2006</t>
  </si>
  <si>
    <t>Bolletta AQP gennaio/marzo 2006</t>
  </si>
  <si>
    <t>Bolletta ENEL mese maggio 2006</t>
  </si>
  <si>
    <t>Canone pulizia mese di giugno 2006</t>
  </si>
  <si>
    <t>Atto di modifica dell'A.T.S.</t>
  </si>
  <si>
    <t>Notaio Castellaneta</t>
  </si>
  <si>
    <t>Bonifico Bancario</t>
  </si>
  <si>
    <t>Colazione di lavoro</t>
  </si>
  <si>
    <t>Execurive</t>
  </si>
  <si>
    <t>Assegno Circolare</t>
  </si>
  <si>
    <t>Incarico per realizzazione interviste</t>
  </si>
  <si>
    <t>Lorusso Antonia</t>
  </si>
  <si>
    <t>assegno circ. n.t.</t>
  </si>
  <si>
    <t>Fiume Nunzia</t>
  </si>
  <si>
    <t>Lamastra Vittorio</t>
  </si>
  <si>
    <t>Paradies Roberto</t>
  </si>
  <si>
    <t>Pipino Gabriella</t>
  </si>
  <si>
    <t>08/2006</t>
  </si>
  <si>
    <t>TOT SAL 3</t>
  </si>
  <si>
    <t>SAL 3</t>
  </si>
  <si>
    <t>inizio</t>
  </si>
  <si>
    <t>fine</t>
  </si>
  <si>
    <t>CONTRIBUTO</t>
  </si>
  <si>
    <t>PREVISTO</t>
  </si>
  <si>
    <t>RESIDUO</t>
  </si>
  <si>
    <t>AMMESSO</t>
  </si>
  <si>
    <t>IVA Ammessa</t>
  </si>
  <si>
    <t>Totale ammesso</t>
  </si>
  <si>
    <t>IVA Contributo</t>
  </si>
  <si>
    <t>Totale Contributo</t>
  </si>
  <si>
    <t>Anticip. corrisposta</t>
  </si>
  <si>
    <t>Liquidazione s.a.l.</t>
  </si>
  <si>
    <t>Totale</t>
  </si>
  <si>
    <t>ATS</t>
  </si>
  <si>
    <t>IVA ESPOSTA</t>
  </si>
  <si>
    <t>Ritenuta d'acconto 4%</t>
  </si>
  <si>
    <t>ANTIMAFIA</t>
  </si>
  <si>
    <t>NO</t>
  </si>
  <si>
    <t>STATO DELLA DOCUMENTAZIONE TECNICA</t>
  </si>
  <si>
    <t>Relazione S.A.L. Quadrimestrale</t>
  </si>
  <si>
    <t>Rapporti Tecnici</t>
  </si>
  <si>
    <t>NOTE</t>
  </si>
  <si>
    <t>DATE</t>
  </si>
  <si>
    <t>ISTRUTTORI</t>
  </si>
  <si>
    <t>FIRME</t>
  </si>
  <si>
    <t>ANCE PUGLIA  04</t>
  </si>
  <si>
    <t>20060 0089055</t>
  </si>
  <si>
    <t xml:space="preserve">Consulenza commercialistica </t>
  </si>
  <si>
    <t>P.D.A.</t>
  </si>
  <si>
    <t>prom.</t>
  </si>
  <si>
    <t>200600 162464</t>
  </si>
  <si>
    <t>200500 529913</t>
  </si>
  <si>
    <t>Spese notarili non ammissibili</t>
  </si>
  <si>
    <t>BONIFICO N. 405/05</t>
  </si>
  <si>
    <t>BONIFICO N. 252/05</t>
  </si>
  <si>
    <t>BONIFICO N. 325/05</t>
  </si>
  <si>
    <t>BONIFICO N. 135/05</t>
  </si>
  <si>
    <t>BONIFICO N. 485/06</t>
  </si>
  <si>
    <t>Non ammesso contanti</t>
  </si>
  <si>
    <t>N.RO 4 DIPENDENTI</t>
  </si>
  <si>
    <t xml:space="preserve">Consulenza per workshop del 20 luglio 05 </t>
  </si>
  <si>
    <t>34/05</t>
  </si>
  <si>
    <t>Spese Postali</t>
  </si>
  <si>
    <t>Poste Italiane</t>
  </si>
  <si>
    <t>Cassa</t>
  </si>
  <si>
    <t>Michele Divella</t>
  </si>
  <si>
    <t>37/05</t>
  </si>
  <si>
    <t>E' necessario esibire estratto conto per dimostrare incasso ass.</t>
  </si>
  <si>
    <t xml:space="preserve">POSTE </t>
  </si>
  <si>
    <t>SAL 4 - 01/07/06 - 31/10/06</t>
  </si>
  <si>
    <t>IV</t>
  </si>
  <si>
    <t>Mosca Antonella</t>
  </si>
  <si>
    <t>Progettazione, analisi ecc.</t>
  </si>
  <si>
    <t>KREIOS SRL</t>
  </si>
  <si>
    <t>13/2006</t>
  </si>
  <si>
    <t>N.RO 3 DIPENDENTI</t>
  </si>
  <si>
    <t>9/2006</t>
  </si>
  <si>
    <t>4,958,22</t>
  </si>
  <si>
    <t>rimborso km.co Lecce - Bari per gruppo coordinamento operativo (Tolomeo)</t>
  </si>
  <si>
    <t>inserito in busta paga</t>
  </si>
  <si>
    <t>Kreios Srl</t>
  </si>
  <si>
    <t>BONIFICO PROT. N. 750/06</t>
  </si>
  <si>
    <t>DE MARZO FRANCESCO</t>
  </si>
  <si>
    <t>BONIFICO PROT. N. 817/06</t>
  </si>
  <si>
    <t>RIMBORSO SPESE VIAGGI DIRETTORE</t>
  </si>
  <si>
    <t>ENTE SCUOLA EDILI BRINDISI</t>
  </si>
  <si>
    <t>DAL 18/10/05 AL 13/06/06</t>
  </si>
  <si>
    <t>assegno N.T. n. 702 6038829400-06</t>
  </si>
  <si>
    <t>fattura KREIOS SRL</t>
  </si>
  <si>
    <t>KREIOS</t>
  </si>
  <si>
    <t>bonifico</t>
  </si>
  <si>
    <t>IAFFALDANO, AMENDOLA</t>
  </si>
  <si>
    <t>Analisi statistica multivariata</t>
  </si>
  <si>
    <t>Mesomark</t>
  </si>
  <si>
    <t>Canone pulizia mese di luglio 2006</t>
  </si>
  <si>
    <t>Servizio vigilanza mese maggio 2006</t>
  </si>
  <si>
    <t>Servizio vigilanza mese giugno 2006</t>
  </si>
  <si>
    <t>Canone pulizia mese di agosto 2006</t>
  </si>
  <si>
    <t>Canone pulizia mese di settembre 2006</t>
  </si>
  <si>
    <t>Servizio vigilanza mese di luglio 2006</t>
  </si>
  <si>
    <t>Servizio vigilanza mese di agosto 2006</t>
  </si>
  <si>
    <t>Canone pulizia mese di ottobre 2006</t>
  </si>
  <si>
    <t>Manca dimostrazione del pagamento</t>
  </si>
  <si>
    <t>Il giorno 10/03/06 il consulente era già pagato da  scuola edile BR.</t>
  </si>
  <si>
    <t>Mancano i timesheet e C.V. 06/02/07 Ok timesh.</t>
  </si>
  <si>
    <t>TOT SAL 4</t>
  </si>
  <si>
    <t>SAL 4</t>
  </si>
  <si>
    <t xml:space="preserve">fattura CVM </t>
  </si>
  <si>
    <t>Ricevuta per compenso realizzazione interviste alle aziende</t>
  </si>
  <si>
    <t>LAMASTRA</t>
  </si>
  <si>
    <t>PARADIES</t>
  </si>
  <si>
    <t>LORUSSO</t>
  </si>
  <si>
    <t>Manca Timesheet e c.v.</t>
  </si>
  <si>
    <t xml:space="preserve">Manca Timesheet  </t>
  </si>
  <si>
    <t>SAL 5 - 01/11/06 - 28/02/07</t>
  </si>
  <si>
    <t>TOT SAL 5</t>
  </si>
  <si>
    <t>V</t>
  </si>
  <si>
    <t>IAFFALDANO</t>
  </si>
  <si>
    <t>Office Basic 2003 Microsoft OEM</t>
  </si>
  <si>
    <t>H.S. Systems</t>
  </si>
  <si>
    <t>150/FD</t>
  </si>
  <si>
    <t>Pc Cillin Trend Micro Internet Security</t>
  </si>
  <si>
    <t>Microsoft Office basic BI OS Locked</t>
  </si>
  <si>
    <t>Computer</t>
  </si>
  <si>
    <t>Non viene data evidenza dell'utilizzo di procedure di gara</t>
  </si>
  <si>
    <t>Gotha s.r.l.</t>
  </si>
  <si>
    <t>Assegno circolare</t>
  </si>
  <si>
    <t>Chez Jo</t>
  </si>
  <si>
    <t>Carta di Credito</t>
  </si>
  <si>
    <t>Consulenza amministrativa</t>
  </si>
  <si>
    <t>DE MARZO F.SCO</t>
  </si>
  <si>
    <t>Progettazione strategie di implementazione attività Crised- Analisi fabbisogni di servizi alle imprese e ai lavoratori - Progettazione struttura di rilevazione queationari on-line con strutturazione dati e flussi per provincie - Implementazione DB on line per rilevazione fabbisogni, con caricamento provinciale e gestione regionale</t>
  </si>
  <si>
    <t>KREIOS  SRL</t>
  </si>
  <si>
    <t>12/2006</t>
  </si>
  <si>
    <t>BONIFICO BANCARIO</t>
  </si>
  <si>
    <t>Manca contratto,curriculum Vincenzo Rosso, dimostrazione pagamento</t>
  </si>
  <si>
    <t>14/07/06 AL 12/02/2007</t>
  </si>
  <si>
    <t>05/01/07 e 20/02/07</t>
  </si>
  <si>
    <t>assegno N.T. n. 702 6038913752-0 /700 6039276998-01</t>
  </si>
  <si>
    <t>SAL 5</t>
  </si>
  <si>
    <t>Budget non previsto</t>
  </si>
  <si>
    <t>TOT SAL 6</t>
  </si>
  <si>
    <t>SAL 6</t>
  </si>
  <si>
    <t>VI</t>
  </si>
  <si>
    <t>fattura POLIEDRA</t>
  </si>
  <si>
    <t>POLIEDRA</t>
  </si>
  <si>
    <t>Canone pulizia mese di marzo 2007</t>
  </si>
  <si>
    <t>Bolletta ENEL marzo 2007</t>
  </si>
  <si>
    <t>Canone pulizia mese di aprile 2007</t>
  </si>
  <si>
    <t>Bolletta AMGAS marzo/aprile 2005</t>
  </si>
  <si>
    <t>Bolletta ENEL mese aprile 2007</t>
  </si>
  <si>
    <t>Bolletta AQP 1° trim. 2007</t>
  </si>
  <si>
    <t>Canone pulizia mese di maggio 2007</t>
  </si>
  <si>
    <t>Cicchetti Stefania</t>
  </si>
  <si>
    <t>A/C n° 128 03</t>
  </si>
  <si>
    <t>A/C n°</t>
  </si>
  <si>
    <t>Predisposizione progetto esecutivo, avvio configurazione e personalizazione framework software (1/5 del primo acconto)</t>
  </si>
  <si>
    <t>132/07</t>
  </si>
  <si>
    <t>BONIFICO BANC.</t>
  </si>
  <si>
    <t>720222 880470821</t>
  </si>
  <si>
    <t>200700 157192</t>
  </si>
  <si>
    <t>7202228 80470822</t>
  </si>
  <si>
    <t>rimborso km.co Lecce - Taranto per gruppo coordinamento operativo (Tolomeo)</t>
  </si>
  <si>
    <t>rimborso km.co Lecce - Brindisi per gruppo coordinamento operativo (Tolomeo)</t>
  </si>
  <si>
    <t>POLIEDRA S.P.A</t>
  </si>
  <si>
    <t xml:space="preserve">BONIFICO </t>
  </si>
  <si>
    <t>ING. ORLANDO EMANUELE</t>
  </si>
  <si>
    <t>12/07</t>
  </si>
  <si>
    <t>ERNST &amp; YOUNG S.P.A</t>
  </si>
  <si>
    <t>BITL0370001245</t>
  </si>
  <si>
    <t>Cablaggi A/V</t>
  </si>
  <si>
    <t>OPENTEC di Marotta Gaetano</t>
  </si>
  <si>
    <t>POLIEDRA S.P.A.</t>
  </si>
  <si>
    <t>RIMBORSO TRASFERTA BARI RIUNIONE CRISED 19/03/2007</t>
  </si>
  <si>
    <t>LORUSSO ANGELO</t>
  </si>
  <si>
    <t>/</t>
  </si>
  <si>
    <t>RIMBORSO TRASFERTA BARI RIUNIONE CRISED 12/04/2007</t>
  </si>
  <si>
    <t>RIMBORSO TRASFERTA BRINDISI RIUNIONE CRISED 01/06/2007</t>
  </si>
  <si>
    <t>RIMBORSO TRASFERTA BARI RIUNIONE CRISED 19/06/2007</t>
  </si>
  <si>
    <t>ultimo s.a.l. LUGLIO-OTTOBRE 2007</t>
  </si>
  <si>
    <t>WP n.2</t>
  </si>
  <si>
    <t>Attività fase 1, 2, 3, 4</t>
  </si>
  <si>
    <t>Segreteria tecnica Progetto Crised</t>
  </si>
  <si>
    <t>Ernst &amp; Young</t>
  </si>
  <si>
    <t>BITL0370001243</t>
  </si>
  <si>
    <t>Prestazione occassionale</t>
  </si>
  <si>
    <t>Spedicato Luigi</t>
  </si>
  <si>
    <t>N.RO 9 DIPENDENTI</t>
  </si>
  <si>
    <t>fattura Poliedra</t>
  </si>
  <si>
    <t>fattura Ernst&amp;Young</t>
  </si>
  <si>
    <t>ERNST&amp;YOUNG</t>
  </si>
  <si>
    <t>BITL0370001239</t>
  </si>
  <si>
    <t>quota 1/5 predisp. prog. esecutivo</t>
  </si>
  <si>
    <t>Poliedra</t>
  </si>
  <si>
    <t>Ernest &amp; Young</t>
  </si>
  <si>
    <t>Del Grosso A.dro</t>
  </si>
  <si>
    <t>A/C n° 146 08</t>
  </si>
  <si>
    <t>bBonifico</t>
  </si>
  <si>
    <t>A/C n° 947 04</t>
  </si>
  <si>
    <t>A/C n° 186 09</t>
  </si>
  <si>
    <t>A/C n° 187 10</t>
  </si>
  <si>
    <t>A/C n° 996 01</t>
  </si>
  <si>
    <t>Quota 1/5 sviluppo softweare</t>
  </si>
  <si>
    <t>N.RO 7 DIPENDENTI</t>
  </si>
  <si>
    <t>Predisposizione progetto esecutivo, avvio configurazione e personalizazione framework software (1/5 del secondo acconto)</t>
  </si>
  <si>
    <t>194/07</t>
  </si>
  <si>
    <t>Attività di segreteria tecnica</t>
  </si>
  <si>
    <t>ERNST &amp; YOUNG</t>
  </si>
  <si>
    <t>NBITL0370001244</t>
  </si>
  <si>
    <t>rimborso km.co Lecce - Bari (c/o Formedil)  per gruppo coordinamento operativo (Tolomeo)</t>
  </si>
  <si>
    <t>rimborso km.co Lecce - Bari  (c/o ANCE Puglia)per Commissione valutazione per infrastruttura tecnologica (Tolomeo)</t>
  </si>
  <si>
    <t>LORUSSO ANGELO, TURTURRO CONCETTA</t>
  </si>
  <si>
    <t>LORUSSO , TURTURRO, LA DIANA</t>
  </si>
  <si>
    <t>Quota 1/5 delle 40 giornate di consulenza tecnica</t>
  </si>
  <si>
    <t>Consuelnza</t>
  </si>
  <si>
    <t>23/07</t>
  </si>
  <si>
    <t>Quota 1/5 dello sviluppo software del prototipo</t>
  </si>
  <si>
    <t>RIMBORSO TRASFERTA BARI RIUNIONE CRISED 04/10/2007</t>
  </si>
  <si>
    <t>RIMBORSO PRANZO TRASFERTA BARI RIUNIONE CRISED 04/10/2007 (4 PERSONE)</t>
  </si>
  <si>
    <t>RISTORANTE LORENZO</t>
  </si>
  <si>
    <t>09356/07</t>
  </si>
  <si>
    <t>RIMBORSO TRASFERTA BARI RIUNIONE CRISED 26/07/2007</t>
  </si>
  <si>
    <t xml:space="preserve">SOGGIORNO PADOVA DAL 18 AL 20 APRILE 2007 </t>
  </si>
  <si>
    <t>TEMPESTIVO VIAGGI E TURISMO</t>
  </si>
  <si>
    <t>15/T</t>
  </si>
  <si>
    <t>RIMBORSO TRASFERTA BARI RIUNIONE CRISED 03/07/2007</t>
  </si>
  <si>
    <t>RIMBORSO TRASFERTA BARI RIUNIONE CRISED 18/07/2007</t>
  </si>
  <si>
    <t>TURTURRO CONCETTA</t>
  </si>
  <si>
    <t>RIMBORSO TRASFERTA BARI RIUNIONE CRISED 04/09/2007</t>
  </si>
  <si>
    <t xml:space="preserve">Centro Risorse interprovinciale servizi per l'edilizia                         Un quinto del primo acconto del 20% a seguito della presentazione del progetto esecutivo del portale                      Attività realizzate                            Quota di 1/5 della predisposizione progetto esecutivo,                                                           </t>
  </si>
  <si>
    <t>POLIEDRA      progetti integrati</t>
  </si>
  <si>
    <t>129</t>
  </si>
  <si>
    <t xml:space="preserve">Centro Risorse interprovinciale servizi per l'edilizia                         Un quinto del primo acconto del 20% a seguito della presentazione del progetto esecutivo del portale                      Attività realizzate                            Quota di 1/5 delle 40 giornate di consulenza tecnica                                                            </t>
  </si>
  <si>
    <t>224</t>
  </si>
  <si>
    <t>ATTIVITA' DI CONSULENZA</t>
  </si>
  <si>
    <t>ERNEST &amp; YOUNG SPA</t>
  </si>
  <si>
    <t>BITL0370001240</t>
  </si>
  <si>
    <t>LAVORAZIONE SITO WEB ED ASSISTENZA</t>
  </si>
  <si>
    <t>FORMIKA editing &amp;advertising</t>
  </si>
  <si>
    <t>25/2007</t>
  </si>
  <si>
    <t>ASSEGNO N.T.</t>
  </si>
  <si>
    <t>Quota di 1/5 dell'avvio della configurazione e personalizzazione framework software</t>
  </si>
  <si>
    <t>Quota di 1/5 dello sviluppo software del prototipo</t>
  </si>
  <si>
    <t>19/03/07 AL 17/05/2007</t>
  </si>
  <si>
    <t>04/04/07 e 05/06/07</t>
  </si>
  <si>
    <t>assegno N.T. n. 750 6028979157-0 /702 6038914130-02</t>
  </si>
  <si>
    <t>PROGRAMMA CONTABILITA'</t>
  </si>
  <si>
    <t>SISTEMI UFFICIO</t>
  </si>
  <si>
    <t>FATT. 548/A</t>
  </si>
  <si>
    <t>RIMBORSO SPESE VIAGGI EDIRETTORE</t>
  </si>
  <si>
    <t>06/08/07 e 08/10/07</t>
  </si>
  <si>
    <t>07/08/07 e 10/10/07</t>
  </si>
  <si>
    <t>ASSEGNI N.T.</t>
  </si>
  <si>
    <t>SPESE VITTO</t>
  </si>
  <si>
    <t>Pizzeria  CHEZ JO</t>
  </si>
  <si>
    <t>TELECAMERA E MAC.FOTO DIGITALCAMERA</t>
  </si>
  <si>
    <t>UNIEURO  SPA</t>
  </si>
  <si>
    <t>1757/119 _1815/119</t>
  </si>
  <si>
    <t>17/10/2007 E DEL 16/10/2007</t>
  </si>
  <si>
    <t>Rendicontato</t>
  </si>
  <si>
    <t>Firmare copia e/c bancario</t>
  </si>
  <si>
    <t>Copia fattura incompleta Firmare copia e/c bancario</t>
  </si>
  <si>
    <t xml:space="preserve"> licenza d'uso software non ammissibile</t>
  </si>
  <si>
    <t>Manca calcolo aliquota oraria (che deve includere i costi da f24) quindi, probabilmente ammonterà ad euro 20,98</t>
  </si>
  <si>
    <t xml:space="preserve">Manca timesheet </t>
  </si>
  <si>
    <t>Manca dimostrazione del pagamento - sono ammissibili solo le spese relative al personale di progetto</t>
  </si>
  <si>
    <t>Chiarire se la spesa totale riguarda personale rendicontato sul progetto. Provv. Solo Stasi (Angiuli ? De luca?)</t>
  </si>
  <si>
    <t>80001610742</t>
  </si>
  <si>
    <t>93009110755</t>
  </si>
  <si>
    <t>80003990712</t>
  </si>
  <si>
    <t>Manca timesheet , contr., curriculum, (prest.occasionale non ammiss.)</t>
  </si>
  <si>
    <t>Manca 2 pag fatt e dim pagamento</t>
  </si>
  <si>
    <t>Manca titolo di spesa</t>
  </si>
  <si>
    <t>Mosca Antonella e Mariangela</t>
  </si>
  <si>
    <t>03544120755</t>
  </si>
  <si>
    <t>90071630736</t>
  </si>
  <si>
    <t>Manca dim pagamento</t>
  </si>
  <si>
    <t>80017430721</t>
  </si>
  <si>
    <t>93287730720</t>
  </si>
  <si>
    <t>11/07-02/08</t>
  </si>
  <si>
    <t>Consulenza su sviluppo portale</t>
  </si>
  <si>
    <t>Sansonetti Angela</t>
  </si>
  <si>
    <t>Favia, Costantino, Calabrese</t>
  </si>
  <si>
    <t>fattura Kreios</t>
  </si>
  <si>
    <t>Canone pulizia mese di novembre 2007</t>
  </si>
  <si>
    <t>Canone pulizia mese di dicembre 2007</t>
  </si>
  <si>
    <t>Canone pulizia mese di gennaio 2008</t>
  </si>
  <si>
    <t>Canone pulizia mese di febbraio 2008</t>
  </si>
  <si>
    <t>Manuntenzione ord. Imp. Tecnologici</t>
  </si>
  <si>
    <t>Politecnica Merid.</t>
  </si>
  <si>
    <t>addebito c/c</t>
  </si>
  <si>
    <t>Rimborso spese viaggio Favia</t>
  </si>
  <si>
    <t>Rimborso spese viaggio Direttore</t>
  </si>
  <si>
    <t xml:space="preserve">Rimborso spese viaggio Direttore </t>
  </si>
  <si>
    <t>Canone di vigilanza, trim. genn/mar; per correttezza contab. Imputati € 274,66 anziché € 283,52</t>
  </si>
  <si>
    <t>7242-7382-7927</t>
  </si>
  <si>
    <t>295</t>
  </si>
  <si>
    <t>Attività di coordinamento e realizzazione portale relativo aree materiali innovativi, bioarchitettura e certificazione energetica</t>
  </si>
  <si>
    <t>PROF. DE LUCA GIUSEPPE</t>
  </si>
  <si>
    <t>29/2007</t>
  </si>
  <si>
    <t>31/2007</t>
  </si>
  <si>
    <t>Redazione su bioarchitettura, certificazione energetica per portale e pubblicazioni</t>
  </si>
  <si>
    <t>ARCH. DANIELA ANGIULLI</t>
  </si>
  <si>
    <t>07/2007</t>
  </si>
  <si>
    <t>08/2007</t>
  </si>
  <si>
    <t>Spese telefoniche</t>
  </si>
  <si>
    <t>INFOSTRADA</t>
  </si>
  <si>
    <t>ADDEBITO IN CONTO</t>
  </si>
  <si>
    <t>spese illuminazione e riscaldamento</t>
  </si>
  <si>
    <t>740105521036243</t>
  </si>
  <si>
    <t>Bonifico</t>
  </si>
  <si>
    <t>Quota di 1/5 della predisposizione dell'analisi tecnica</t>
  </si>
  <si>
    <t>293</t>
  </si>
  <si>
    <t>Progettazione infrastruttura tecnologica</t>
  </si>
  <si>
    <t>KREIOS srl</t>
  </si>
  <si>
    <t>Sviluppo ed implementazione Infrastruttura tecnologica</t>
  </si>
  <si>
    <t>Sviluppo Materiale e Contributi Sicurezza e Salute dei lavoratori</t>
  </si>
  <si>
    <t>Sviluppo Materiale e Contributi Restauro Conservativo Architettonico</t>
  </si>
  <si>
    <t>Quota di 1/5 dell'implementazione del software</t>
  </si>
  <si>
    <t>rimborso km.co Lecce - Bari (c/o Formedil)  per Discussione titoli editoriali (Tolomeo)</t>
  </si>
  <si>
    <t xml:space="preserve">inserito in busta paga </t>
  </si>
  <si>
    <t>rimborso km.co Lecce - Taranto (c/o Scuola Edile)  per gruppo coordinamento operativo (Tolomeo)</t>
  </si>
  <si>
    <t>rimborso km.co Lecce - Bari (c/o Formedil)  per Discussione titoli editoriali (Tolomeo) riunione del 15/01/08</t>
  </si>
  <si>
    <t>rimborso km.co Lecce - Bari (c/o ANCE PUGLIA)  per  gruppo coordinamento operativo (Tolomeo) del 05/02/08</t>
  </si>
  <si>
    <t>Quota 1/5 della predisposizione dell'analisi tecnica</t>
  </si>
  <si>
    <t>Quota 1/5 della implementazione software</t>
  </si>
  <si>
    <t>15336217/07</t>
  </si>
  <si>
    <t>Consulenza</t>
  </si>
  <si>
    <t>Ing. Emanuele Orlando</t>
  </si>
  <si>
    <t>01/2008</t>
  </si>
  <si>
    <t>RIMBORSO TRASFERTA LECCE RIUNIONE CRISED 07/01/2008</t>
  </si>
  <si>
    <t>RIMBORSO TRASFERTA LECCE RIUNIONE CRISED 15/01/2008</t>
  </si>
  <si>
    <t>RIMBORSO TRASFERTA BARI RIUNIONE CRISED 05/02/2008</t>
  </si>
  <si>
    <t>01-31/03/08</t>
  </si>
  <si>
    <t>fattura H.S System</t>
  </si>
  <si>
    <t>H.S. System</t>
  </si>
  <si>
    <t>144/FD</t>
  </si>
  <si>
    <t>01</t>
  </si>
  <si>
    <t>Fornitura di hardware e software, servizi di installazione, manutenzione e housing.</t>
  </si>
  <si>
    <t>H.S. Systems S.r.l.</t>
  </si>
  <si>
    <t>123/FD</t>
  </si>
  <si>
    <t>Realizzazione impianto per videoconferenza</t>
  </si>
  <si>
    <t>S.E.M. di Schena Luigi</t>
  </si>
  <si>
    <t>20/2008</t>
  </si>
  <si>
    <t>Software videostreaming</t>
  </si>
  <si>
    <t>OPENTEC di Gaetano Marotta</t>
  </si>
  <si>
    <t>Acquisto computer</t>
  </si>
  <si>
    <t>H.S. SYSTEMS S.R.L.</t>
  </si>
  <si>
    <t>122/FD</t>
  </si>
  <si>
    <t>Infrastrutture videostreaming</t>
  </si>
  <si>
    <t>RIMBORSO TRASFERTA BARI RIUNIONE CRISED 04/03/2008</t>
  </si>
  <si>
    <t>RIMBORSO TRASFERTA BARI RIUNIONE CRISED 20/03/2008</t>
  </si>
  <si>
    <r>
      <t>Verificare</t>
    </r>
    <r>
      <rPr>
        <sz val="8"/>
        <rFont val="Arial"/>
        <family val="2"/>
      </rPr>
      <t xml:space="preserve">
Verificare eventuale IRAP da febbraio '08</t>
    </r>
  </si>
  <si>
    <r>
      <t>Verificare</t>
    </r>
    <r>
      <rPr>
        <sz val="8"/>
        <rFont val="Arial"/>
        <family val="2"/>
      </rPr>
      <t xml:space="preserve">
Se sono consulenti vanno rendicontati alle voce consulenze allegando c.v. e timesheet</t>
    </r>
  </si>
  <si>
    <t>Verificare</t>
  </si>
  <si>
    <t>progetto di 30 + 5 + proroga di 6 + 3 mesi</t>
  </si>
  <si>
    <t>ant.</t>
  </si>
  <si>
    <t>SAL 6 - 01/03/07 - 30/04/08</t>
  </si>
  <si>
    <t>N.RO 4 DIPENDENTI + 2 co.co.pro</t>
  </si>
  <si>
    <t>Collaborazione a progetto</t>
  </si>
  <si>
    <t>Cordisco Giuseppe</t>
  </si>
  <si>
    <t>HS Systems</t>
  </si>
  <si>
    <t>163/D</t>
  </si>
  <si>
    <t>Add. In c/c</t>
  </si>
  <si>
    <t>Quota di 1/5 del saldo per il completamento dell'implementazione del portale</t>
  </si>
  <si>
    <t>378</t>
  </si>
  <si>
    <t>Fornitura server come da fattura dettagliata</t>
  </si>
  <si>
    <t>H.S. SYSTEM</t>
  </si>
  <si>
    <t>159/FD</t>
  </si>
  <si>
    <t>rimborso chilometrico Lecce - Bari c/o Formedil Puglia del 15/04/08 come da convocazione  allegata</t>
  </si>
  <si>
    <t>rimborso chilometrico Lecce - Bari c/o Ance Puglia del 22/04/08 come da convocazione allegata</t>
  </si>
  <si>
    <t>Competenze professionali</t>
  </si>
  <si>
    <t>B.B.</t>
  </si>
  <si>
    <t>N. 05/08</t>
  </si>
  <si>
    <t>N. 368</t>
  </si>
  <si>
    <t>21/12/2007</t>
  </si>
  <si>
    <t>N. 34/2007</t>
  </si>
  <si>
    <t>14/12/2007</t>
  </si>
  <si>
    <t>Prrogettazione infrastruttura tecnologica</t>
  </si>
  <si>
    <t>N. 23/2007</t>
  </si>
  <si>
    <t>17/12/2007</t>
  </si>
  <si>
    <t>Redazione su materiali innovativi per portale e pubblicazioni</t>
  </si>
  <si>
    <t>PROF. ING. MARIA ANTONIETTA AIELLO</t>
  </si>
  <si>
    <t>N. 3</t>
  </si>
  <si>
    <t>30/04/2008</t>
  </si>
  <si>
    <t>RIMBORSO TRASFERTA BARI RIUNIONE CRISED 15/04/2008</t>
  </si>
  <si>
    <t>RIMBORSO TRASFERTA BARI RIUNIONE CRISED 22/04/2008</t>
  </si>
  <si>
    <t>max</t>
  </si>
  <si>
    <t>eccede il 20% in più</t>
  </si>
  <si>
    <t>Verificare
detratti 679,52 eccede il 20% in più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</si>
</sst>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dd/mm/yy"/>
    <numFmt numFmtId="175" formatCode="&quot;€&quot;\ #,##0.00;[Red]&quot;€&quot;\ #,##0.00"/>
    <numFmt numFmtId="176" formatCode="#,##0.0000"/>
    <numFmt numFmtId="177" formatCode="[$-410]dddd\ d\ mmmm\ yyyy"/>
    <numFmt numFmtId="178" formatCode="#,##0.00;[Red]#,##0.00"/>
    <numFmt numFmtId="179" formatCode="#,##0.000"/>
    <numFmt numFmtId="180" formatCode="_-[$€-2]\ * #,##0.00_-;\-[$€-2]\ * #,##0.00_-;_-[$€-2]\ * &quot;-&quot;??_-;_-@_-"/>
    <numFmt numFmtId="181" formatCode="0;[Red]0"/>
  </numFmts>
  <fonts count="44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Tahoma"/>
      <family val="2"/>
    </font>
    <font>
      <sz val="10"/>
      <color indexed="57"/>
      <name val="Tahoma"/>
      <family val="2"/>
    </font>
    <font>
      <sz val="10"/>
      <color indexed="9"/>
      <name val="Tahoma"/>
      <family val="2"/>
    </font>
    <font>
      <sz val="8"/>
      <color indexed="10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2" fillId="16" borderId="1" applyNumberFormat="0" applyAlignment="0" applyProtection="0"/>
    <xf numFmtId="0" fontId="33" fillId="0" borderId="2" applyNumberFormat="0" applyFill="0" applyAlignment="0" applyProtection="0"/>
    <xf numFmtId="0" fontId="34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44" fontId="0" fillId="0" borderId="0" applyFont="0" applyFill="0" applyBorder="0" applyAlignment="0" applyProtection="0"/>
    <xf numFmtId="0" fontId="3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4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14" fontId="3" fillId="0" borderId="11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 wrapText="1"/>
    </xf>
    <xf numFmtId="170" fontId="3" fillId="0" borderId="11" xfId="0" applyNumberFormat="1" applyFont="1" applyBorder="1" applyAlignment="1">
      <alignment/>
    </xf>
    <xf numFmtId="0" fontId="3" fillId="24" borderId="11" xfId="0" applyFont="1" applyFill="1" applyBorder="1" applyAlignment="1">
      <alignment horizontal="center"/>
    </xf>
    <xf numFmtId="14" fontId="3" fillId="24" borderId="11" xfId="0" applyNumberFormat="1" applyFont="1" applyFill="1" applyBorder="1" applyAlignment="1">
      <alignment horizontal="center"/>
    </xf>
    <xf numFmtId="171" fontId="3" fillId="24" borderId="11" xfId="47" applyNumberFormat="1" applyFont="1" applyFill="1" applyBorder="1" applyAlignment="1">
      <alignment horizontal="right"/>
    </xf>
    <xf numFmtId="171" fontId="3" fillId="0" borderId="11" xfId="47" applyNumberFormat="1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1" fillId="25" borderId="13" xfId="0" applyNumberFormat="1" applyFont="1" applyFill="1" applyBorder="1" applyAlignment="1">
      <alignment horizontal="center"/>
    </xf>
    <xf numFmtId="4" fontId="1" fillId="25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" fontId="9" fillId="0" borderId="15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/>
    </xf>
    <xf numFmtId="0" fontId="1" fillId="25" borderId="1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15" xfId="0" applyNumberFormat="1" applyFont="1" applyBorder="1" applyAlignment="1" applyProtection="1">
      <alignment horizontal="right"/>
      <protection/>
    </xf>
    <xf numFmtId="4" fontId="5" fillId="0" borderId="17" xfId="0" applyNumberFormat="1" applyFont="1" applyBorder="1" applyAlignment="1" applyProtection="1">
      <alignment horizontal="right"/>
      <protection/>
    </xf>
    <xf numFmtId="4" fontId="7" fillId="0" borderId="18" xfId="0" applyNumberFormat="1" applyFont="1" applyBorder="1" applyAlignment="1" applyProtection="1">
      <alignment horizontal="right"/>
      <protection/>
    </xf>
    <xf numFmtId="4" fontId="7" fillId="0" borderId="19" xfId="0" applyNumberFormat="1" applyFont="1" applyBorder="1" applyAlignment="1" applyProtection="1">
      <alignment horizontal="right"/>
      <protection/>
    </xf>
    <xf numFmtId="4" fontId="7" fillId="0" borderId="2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4" fontId="4" fillId="0" borderId="15" xfId="0" applyNumberFormat="1" applyFont="1" applyBorder="1" applyAlignment="1" applyProtection="1">
      <alignment horizontal="right"/>
      <protection/>
    </xf>
    <xf numFmtId="4" fontId="4" fillId="0" borderId="17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0" fontId="1" fillId="25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23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left"/>
    </xf>
    <xf numFmtId="4" fontId="4" fillId="0" borderId="24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1" fillId="0" borderId="15" xfId="0" applyNumberFormat="1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 applyProtection="1">
      <alignment vertical="top" wrapText="1"/>
      <protection locked="0"/>
    </xf>
    <xf numFmtId="0" fontId="13" fillId="0" borderId="11" xfId="0" applyFont="1" applyBorder="1" applyAlignment="1">
      <alignment wrapText="1"/>
    </xf>
    <xf numFmtId="1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4" fontId="14" fillId="0" borderId="11" xfId="0" applyNumberFormat="1" applyFont="1" applyBorder="1" applyAlignment="1">
      <alignment wrapText="1"/>
    </xf>
    <xf numFmtId="0" fontId="13" fillId="0" borderId="11" xfId="0" applyFont="1" applyBorder="1" applyAlignment="1">
      <alignment/>
    </xf>
    <xf numFmtId="14" fontId="13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13" fillId="0" borderId="11" xfId="0" applyNumberFormat="1" applyFont="1" applyBorder="1" applyAlignment="1">
      <alignment horizontal="right" wrapText="1"/>
    </xf>
    <xf numFmtId="4" fontId="14" fillId="0" borderId="11" xfId="0" applyNumberFormat="1" applyFont="1" applyFill="1" applyBorder="1" applyAlignment="1">
      <alignment wrapText="1"/>
    </xf>
    <xf numFmtId="0" fontId="13" fillId="0" borderId="11" xfId="0" applyFont="1" applyBorder="1" applyAlignment="1">
      <alignment horizontal="right"/>
    </xf>
    <xf numFmtId="4" fontId="13" fillId="0" borderId="11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178" fontId="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 quotePrefix="1">
      <alignment horizontal="right"/>
    </xf>
    <xf numFmtId="0" fontId="1" fillId="0" borderId="12" xfId="0" applyFont="1" applyBorder="1" applyAlignment="1">
      <alignment horizontal="center"/>
    </xf>
    <xf numFmtId="14" fontId="13" fillId="0" borderId="12" xfId="0" applyNumberFormat="1" applyFont="1" applyBorder="1" applyAlignment="1">
      <alignment/>
    </xf>
    <xf numFmtId="2" fontId="13" fillId="0" borderId="12" xfId="44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14" fontId="13" fillId="0" borderId="12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14" fontId="3" fillId="0" borderId="11" xfId="0" applyNumberFormat="1" applyFont="1" applyBorder="1" applyAlignment="1">
      <alignment horizontal="right"/>
    </xf>
    <xf numFmtId="0" fontId="3" fillId="0" borderId="11" xfId="0" applyFont="1" applyFill="1" applyBorder="1" applyAlignment="1" quotePrefix="1">
      <alignment/>
    </xf>
    <xf numFmtId="14" fontId="13" fillId="0" borderId="11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left"/>
    </xf>
    <xf numFmtId="0" fontId="3" fillId="0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14" fontId="13" fillId="0" borderId="12" xfId="0" applyNumberFormat="1" applyFont="1" applyBorder="1" applyAlignment="1">
      <alignment horizontal="center"/>
    </xf>
    <xf numFmtId="0" fontId="1" fillId="25" borderId="1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4" fontId="14" fillId="0" borderId="11" xfId="0" applyNumberFormat="1" applyFont="1" applyBorder="1" applyAlignment="1">
      <alignment/>
    </xf>
    <xf numFmtId="4" fontId="14" fillId="0" borderId="11" xfId="0" applyNumberFormat="1" applyFont="1" applyFill="1" applyBorder="1" applyAlignment="1">
      <alignment/>
    </xf>
    <xf numFmtId="4" fontId="14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4" fontId="3" fillId="0" borderId="11" xfId="0" applyNumberFormat="1" applyFont="1" applyBorder="1" applyAlignment="1">
      <alignment horizontal="left"/>
    </xf>
    <xf numFmtId="14" fontId="13" fillId="0" borderId="11" xfId="0" applyNumberFormat="1" applyFont="1" applyFill="1" applyBorder="1" applyAlignment="1">
      <alignment horizontal="right" vertical="center"/>
    </xf>
    <xf numFmtId="4" fontId="1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/>
    </xf>
    <xf numFmtId="14" fontId="13" fillId="0" borderId="11" xfId="0" applyNumberFormat="1" applyFont="1" applyFill="1" applyBorder="1" applyAlignment="1">
      <alignment horizontal="right"/>
    </xf>
    <xf numFmtId="14" fontId="13" fillId="0" borderId="11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14" fontId="13" fillId="0" borderId="12" xfId="0" applyNumberFormat="1" applyFont="1" applyBorder="1" applyAlignment="1">
      <alignment horizontal="right"/>
    </xf>
    <xf numFmtId="9" fontId="9" fillId="0" borderId="0" xfId="0" applyNumberFormat="1" applyFont="1" applyBorder="1" applyAlignment="1">
      <alignment/>
    </xf>
    <xf numFmtId="4" fontId="1" fillId="25" borderId="13" xfId="0" applyNumberFormat="1" applyFont="1" applyFill="1" applyBorder="1" applyAlignment="1">
      <alignment horizontal="center" wrapText="1"/>
    </xf>
    <xf numFmtId="4" fontId="1" fillId="25" borderId="14" xfId="0" applyNumberFormat="1" applyFont="1" applyFill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" fontId="1" fillId="25" borderId="24" xfId="0" applyNumberFormat="1" applyFont="1" applyFill="1" applyBorder="1" applyAlignment="1">
      <alignment horizontal="center" wrapText="1"/>
    </xf>
    <xf numFmtId="4" fontId="1" fillId="25" borderId="25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25" borderId="11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 wrapText="1"/>
    </xf>
    <xf numFmtId="4" fontId="9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 applyProtection="1">
      <alignment horizontal="right" wrapText="1"/>
      <protection/>
    </xf>
    <xf numFmtId="4" fontId="5" fillId="0" borderId="0" xfId="0" applyNumberFormat="1" applyFont="1" applyBorder="1" applyAlignment="1" applyProtection="1">
      <alignment horizontal="right" wrapText="1"/>
      <protection/>
    </xf>
    <xf numFmtId="4" fontId="7" fillId="0" borderId="19" xfId="0" applyNumberFormat="1" applyFont="1" applyBorder="1" applyAlignment="1" applyProtection="1">
      <alignment horizontal="right" wrapText="1"/>
      <protection/>
    </xf>
    <xf numFmtId="0" fontId="3" fillId="24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center" wrapText="1"/>
    </xf>
    <xf numFmtId="0" fontId="13" fillId="0" borderId="26" xfId="0" applyFont="1" applyBorder="1" applyAlignment="1">
      <alignment horizontal="left" wrapText="1"/>
    </xf>
    <xf numFmtId="14" fontId="13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4" fontId="7" fillId="0" borderId="19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center" wrapText="1"/>
    </xf>
    <xf numFmtId="14" fontId="3" fillId="0" borderId="11" xfId="0" applyNumberFormat="1" applyFont="1" applyFill="1" applyBorder="1" applyAlignment="1">
      <alignment horizont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wrapText="1"/>
    </xf>
    <xf numFmtId="14" fontId="13" fillId="0" borderId="12" xfId="0" applyNumberFormat="1" applyFont="1" applyBorder="1" applyAlignment="1">
      <alignment horizontal="center" wrapText="1"/>
    </xf>
    <xf numFmtId="14" fontId="13" fillId="0" borderId="12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16" fillId="0" borderId="11" xfId="0" applyFont="1" applyFill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vertical="top" wrapText="1"/>
      <protection locked="0"/>
    </xf>
    <xf numFmtId="0" fontId="14" fillId="0" borderId="16" xfId="0" applyFont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14" xfId="0" applyFont="1" applyBorder="1" applyAlignment="1">
      <alignment vertical="center"/>
    </xf>
    <xf numFmtId="0" fontId="9" fillId="26" borderId="0" xfId="0" applyFont="1" applyFill="1" applyBorder="1" applyAlignment="1">
      <alignment/>
    </xf>
    <xf numFmtId="4" fontId="4" fillId="26" borderId="10" xfId="0" applyNumberFormat="1" applyFont="1" applyFill="1" applyBorder="1" applyAlignment="1" applyProtection="1">
      <alignment horizontal="right"/>
      <protection/>
    </xf>
    <xf numFmtId="4" fontId="5" fillId="26" borderId="13" xfId="0" applyNumberFormat="1" applyFont="1" applyFill="1" applyBorder="1" applyAlignment="1" applyProtection="1">
      <alignment horizontal="right"/>
      <protection/>
    </xf>
    <xf numFmtId="4" fontId="7" fillId="26" borderId="13" xfId="0" applyNumberFormat="1" applyFont="1" applyFill="1" applyBorder="1" applyAlignment="1" applyProtection="1">
      <alignment horizontal="right"/>
      <protection/>
    </xf>
    <xf numFmtId="0" fontId="8" fillId="26" borderId="11" xfId="0" applyFont="1" applyFill="1" applyBorder="1" applyAlignment="1">
      <alignment horizontal="center" vertical="center" wrapText="1"/>
    </xf>
    <xf numFmtId="4" fontId="3" fillId="26" borderId="11" xfId="0" applyNumberFormat="1" applyFont="1" applyFill="1" applyBorder="1" applyAlignment="1">
      <alignment/>
    </xf>
    <xf numFmtId="4" fontId="3" fillId="26" borderId="11" xfId="0" applyNumberFormat="1" applyFont="1" applyFill="1" applyBorder="1" applyAlignment="1">
      <alignment/>
    </xf>
    <xf numFmtId="0" fontId="3" fillId="26" borderId="0" xfId="0" applyFont="1" applyFill="1" applyBorder="1" applyAlignment="1">
      <alignment/>
    </xf>
    <xf numFmtId="4" fontId="4" fillId="26" borderId="11" xfId="0" applyNumberFormat="1" applyFont="1" applyFill="1" applyBorder="1" applyAlignment="1" applyProtection="1">
      <alignment horizontal="right"/>
      <protection/>
    </xf>
    <xf numFmtId="4" fontId="5" fillId="26" borderId="11" xfId="0" applyNumberFormat="1" applyFont="1" applyFill="1" applyBorder="1" applyAlignment="1" applyProtection="1">
      <alignment horizontal="right"/>
      <protection/>
    </xf>
    <xf numFmtId="4" fontId="7" fillId="26" borderId="11" xfId="0" applyNumberFormat="1" applyFont="1" applyFill="1" applyBorder="1" applyAlignment="1" applyProtection="1">
      <alignment horizontal="right"/>
      <protection/>
    </xf>
    <xf numFmtId="4" fontId="14" fillId="26" borderId="11" xfId="0" applyNumberFormat="1" applyFont="1" applyFill="1" applyBorder="1" applyAlignment="1">
      <alignment wrapText="1"/>
    </xf>
    <xf numFmtId="4" fontId="4" fillId="26" borderId="19" xfId="0" applyNumberFormat="1" applyFont="1" applyFill="1" applyBorder="1" applyAlignment="1" applyProtection="1">
      <alignment horizontal="right"/>
      <protection/>
    </xf>
    <xf numFmtId="171" fontId="3" fillId="26" borderId="11" xfId="47" applyNumberFormat="1" applyFont="1" applyFill="1" applyBorder="1" applyAlignment="1">
      <alignment horizontal="right"/>
    </xf>
    <xf numFmtId="0" fontId="3" fillId="26" borderId="14" xfId="0" applyFont="1" applyFill="1" applyBorder="1" applyAlignment="1">
      <alignment/>
    </xf>
    <xf numFmtId="0" fontId="3" fillId="26" borderId="13" xfId="0" applyFont="1" applyFill="1" applyBorder="1" applyAlignment="1">
      <alignment/>
    </xf>
    <xf numFmtId="0" fontId="8" fillId="26" borderId="12" xfId="0" applyFont="1" applyFill="1" applyBorder="1" applyAlignment="1">
      <alignment horizontal="center" vertical="center" wrapText="1"/>
    </xf>
    <xf numFmtId="4" fontId="14" fillId="26" borderId="11" xfId="0" applyNumberFormat="1" applyFont="1" applyFill="1" applyBorder="1" applyAlignment="1">
      <alignment/>
    </xf>
    <xf numFmtId="4" fontId="13" fillId="26" borderId="11" xfId="0" applyNumberFormat="1" applyFont="1" applyFill="1" applyBorder="1" applyAlignment="1">
      <alignment horizontal="right"/>
    </xf>
    <xf numFmtId="2" fontId="13" fillId="26" borderId="12" xfId="44" applyNumberFormat="1" applyFont="1" applyFill="1" applyBorder="1" applyAlignment="1">
      <alignment/>
    </xf>
    <xf numFmtId="4" fontId="13" fillId="26" borderId="11" xfId="0" applyNumberFormat="1" applyFont="1" applyFill="1" applyBorder="1" applyAlignment="1">
      <alignment horizontal="center"/>
    </xf>
    <xf numFmtId="0" fontId="3" fillId="26" borderId="0" xfId="0" applyFont="1" applyFill="1" applyBorder="1" applyAlignment="1">
      <alignment/>
    </xf>
    <xf numFmtId="4" fontId="9" fillId="26" borderId="11" xfId="0" applyNumberFormat="1" applyFont="1" applyFill="1" applyBorder="1" applyAlignment="1">
      <alignment/>
    </xf>
    <xf numFmtId="0" fontId="1" fillId="26" borderId="13" xfId="0" applyFont="1" applyFill="1" applyBorder="1" applyAlignment="1">
      <alignment horizontal="left"/>
    </xf>
    <xf numFmtId="4" fontId="4" fillId="26" borderId="11" xfId="0" applyNumberFormat="1" applyFont="1" applyFill="1" applyBorder="1" applyAlignment="1" applyProtection="1">
      <alignment vertical="top" wrapText="1"/>
      <protection locked="0"/>
    </xf>
    <xf numFmtId="4" fontId="5" fillId="26" borderId="11" xfId="0" applyNumberFormat="1" applyFont="1" applyFill="1" applyBorder="1" applyAlignment="1">
      <alignment/>
    </xf>
    <xf numFmtId="4" fontId="7" fillId="26" borderId="11" xfId="0" applyNumberFormat="1" applyFont="1" applyFill="1" applyBorder="1" applyAlignment="1">
      <alignment/>
    </xf>
    <xf numFmtId="0" fontId="1" fillId="26" borderId="13" xfId="0" applyFont="1" applyFill="1" applyBorder="1" applyAlignment="1">
      <alignment horizontal="center"/>
    </xf>
    <xf numFmtId="4" fontId="4" fillId="26" borderId="10" xfId="0" applyNumberFormat="1" applyFont="1" applyFill="1" applyBorder="1" applyAlignment="1">
      <alignment/>
    </xf>
    <xf numFmtId="0" fontId="5" fillId="26" borderId="11" xfId="0" applyFont="1" applyFill="1" applyBorder="1" applyAlignment="1">
      <alignment/>
    </xf>
    <xf numFmtId="178" fontId="3" fillId="26" borderId="11" xfId="0" applyNumberFormat="1" applyFont="1" applyFill="1" applyBorder="1" applyAlignment="1">
      <alignment horizontal="right"/>
    </xf>
    <xf numFmtId="4" fontId="4" fillId="26" borderId="0" xfId="0" applyNumberFormat="1" applyFont="1" applyFill="1" applyBorder="1" applyAlignment="1">
      <alignment/>
    </xf>
    <xf numFmtId="4" fontId="3" fillId="26" borderId="10" xfId="0" applyNumberFormat="1" applyFont="1" applyFill="1" applyBorder="1" applyAlignment="1">
      <alignment/>
    </xf>
    <xf numFmtId="4" fontId="3" fillId="26" borderId="10" xfId="0" applyNumberFormat="1" applyFont="1" applyFill="1" applyBorder="1" applyAlignment="1">
      <alignment/>
    </xf>
    <xf numFmtId="4" fontId="5" fillId="26" borderId="14" xfId="0" applyNumberFormat="1" applyFont="1" applyFill="1" applyBorder="1" applyAlignment="1">
      <alignment/>
    </xf>
    <xf numFmtId="4" fontId="14" fillId="26" borderId="16" xfId="0" applyNumberFormat="1" applyFont="1" applyFill="1" applyBorder="1" applyAlignment="1">
      <alignment wrapText="1"/>
    </xf>
    <xf numFmtId="0" fontId="5" fillId="26" borderId="14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4" fontId="14" fillId="26" borderId="16" xfId="0" applyNumberFormat="1" applyFont="1" applyFill="1" applyBorder="1" applyAlignment="1">
      <alignment/>
    </xf>
    <xf numFmtId="14" fontId="3" fillId="0" borderId="11" xfId="49" applyNumberFormat="1" applyFont="1" applyBorder="1" applyAlignment="1">
      <alignment horizontal="center"/>
      <protection/>
    </xf>
    <xf numFmtId="0" fontId="3" fillId="0" borderId="16" xfId="0" applyFont="1" applyBorder="1" applyAlignment="1">
      <alignment wrapText="1"/>
    </xf>
    <xf numFmtId="14" fontId="3" fillId="0" borderId="11" xfId="0" applyNumberFormat="1" applyFont="1" applyBorder="1" applyAlignment="1">
      <alignment horizontal="right" wrapText="1"/>
    </xf>
    <xf numFmtId="0" fontId="3" fillId="0" borderId="11" xfId="49" applyFont="1" applyBorder="1" applyAlignment="1">
      <alignment horizontal="center" wrapText="1"/>
      <protection/>
    </xf>
    <xf numFmtId="14" fontId="3" fillId="0" borderId="11" xfId="49" applyNumberFormat="1" applyFont="1" applyBorder="1" applyAlignment="1">
      <alignment horizontal="right" wrapText="1"/>
      <protection/>
    </xf>
    <xf numFmtId="14" fontId="3" fillId="0" borderId="11" xfId="49" applyNumberFormat="1" applyFont="1" applyBorder="1" applyAlignment="1">
      <alignment horizontal="center" wrapText="1"/>
      <protection/>
    </xf>
    <xf numFmtId="4" fontId="3" fillId="0" borderId="11" xfId="44" applyNumberFormat="1" applyFont="1" applyBorder="1" applyAlignment="1">
      <alignment wrapText="1"/>
    </xf>
    <xf numFmtId="4" fontId="3" fillId="26" borderId="11" xfId="44" applyNumberFormat="1" applyFont="1" applyFill="1" applyBorder="1" applyAlignment="1">
      <alignment wrapText="1"/>
    </xf>
    <xf numFmtId="0" fontId="3" fillId="0" borderId="16" xfId="0" applyFont="1" applyBorder="1" applyAlignment="1">
      <alignment vertical="justify"/>
    </xf>
    <xf numFmtId="49" fontId="3" fillId="0" borderId="11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49" applyFont="1" applyBorder="1" applyAlignment="1">
      <alignment horizontal="right"/>
      <protection/>
    </xf>
    <xf numFmtId="14" fontId="3" fillId="0" borderId="11" xfId="49" applyNumberFormat="1" applyFont="1" applyBorder="1">
      <alignment/>
      <protection/>
    </xf>
    <xf numFmtId="0" fontId="3" fillId="0" borderId="11" xfId="49" applyFont="1" applyBorder="1" applyAlignment="1">
      <alignment horizontal="left"/>
      <protection/>
    </xf>
    <xf numFmtId="1" fontId="3" fillId="0" borderId="11" xfId="0" applyNumberFormat="1" applyFont="1" applyBorder="1" applyAlignment="1">
      <alignment horizontal="right"/>
    </xf>
    <xf numFmtId="181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14" fontId="3" fillId="0" borderId="12" xfId="0" applyNumberFormat="1" applyFont="1" applyFill="1" applyBorder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2" xfId="0" applyNumberFormat="1" applyFont="1" applyFill="1" applyBorder="1" applyAlignment="1">
      <alignment horizontal="left" wrapText="1"/>
    </xf>
    <xf numFmtId="0" fontId="3" fillId="0" borderId="1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14" fontId="3" fillId="0" borderId="11" xfId="0" applyNumberFormat="1" applyFont="1" applyFill="1" applyBorder="1" applyAlignment="1">
      <alignment horizontal="left" wrapText="1"/>
    </xf>
    <xf numFmtId="0" fontId="3" fillId="0" borderId="21" xfId="0" applyFont="1" applyBorder="1" applyAlignment="1">
      <alignment horizontal="right" wrapText="1"/>
    </xf>
    <xf numFmtId="14" fontId="3" fillId="0" borderId="21" xfId="0" applyNumberFormat="1" applyFont="1" applyFill="1" applyBorder="1" applyAlignment="1">
      <alignment horizontal="center" wrapText="1"/>
    </xf>
    <xf numFmtId="14" fontId="3" fillId="0" borderId="21" xfId="0" applyNumberFormat="1" applyFont="1" applyBorder="1" applyAlignment="1">
      <alignment horizontal="center"/>
    </xf>
    <xf numFmtId="14" fontId="3" fillId="0" borderId="21" xfId="0" applyNumberFormat="1" applyFont="1" applyFill="1" applyBorder="1" applyAlignment="1">
      <alignment horizontal="left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14" fontId="3" fillId="0" borderId="11" xfId="0" applyNumberFormat="1" applyFont="1" applyBorder="1" applyAlignment="1">
      <alignment horizontal="right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14" fontId="3" fillId="0" borderId="13" xfId="0" applyNumberFormat="1" applyFont="1" applyBorder="1" applyAlignment="1">
      <alignment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horizontal="right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3" fillId="0" borderId="27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14" fontId="3" fillId="0" borderId="12" xfId="0" applyNumberFormat="1" applyFont="1" applyBorder="1" applyAlignment="1">
      <alignment horizontal="left" vertical="center"/>
    </xf>
    <xf numFmtId="14" fontId="3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vertical="justify" wrapText="1"/>
    </xf>
    <xf numFmtId="0" fontId="3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 wrapText="1"/>
    </xf>
    <xf numFmtId="0" fontId="3" fillId="0" borderId="27" xfId="0" applyFont="1" applyBorder="1" applyAlignment="1">
      <alignment vertical="justify"/>
    </xf>
    <xf numFmtId="0" fontId="3" fillId="0" borderId="12" xfId="0" applyFont="1" applyBorder="1" applyAlignment="1">
      <alignment horizontal="right" wrapText="1"/>
    </xf>
    <xf numFmtId="0" fontId="3" fillId="0" borderId="11" xfId="0" applyFont="1" applyBorder="1" applyAlignment="1">
      <alignment vertical="justify"/>
    </xf>
    <xf numFmtId="0" fontId="3" fillId="0" borderId="11" xfId="0" applyFont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left" vertical="center"/>
    </xf>
    <xf numFmtId="4" fontId="3" fillId="0" borderId="11" xfId="44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11" xfId="44" applyNumberFormat="1" applyFont="1" applyBorder="1" applyAlignment="1">
      <alignment/>
    </xf>
    <xf numFmtId="4" fontId="3" fillId="0" borderId="12" xfId="44" applyNumberFormat="1" applyFont="1" applyBorder="1" applyAlignment="1">
      <alignment horizontal="right"/>
    </xf>
    <xf numFmtId="4" fontId="3" fillId="0" borderId="21" xfId="44" applyNumberFormat="1" applyFont="1" applyBorder="1" applyAlignment="1">
      <alignment horizontal="right"/>
    </xf>
    <xf numFmtId="4" fontId="3" fillId="0" borderId="10" xfId="44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1" xfId="44" applyNumberFormat="1" applyFont="1" applyBorder="1" applyAlignment="1">
      <alignment horizontal="center"/>
    </xf>
    <xf numFmtId="4" fontId="3" fillId="0" borderId="11" xfId="44" applyNumberFormat="1" applyFont="1" applyBorder="1" applyAlignment="1">
      <alignment/>
    </xf>
    <xf numFmtId="4" fontId="3" fillId="0" borderId="12" xfId="44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1" xfId="44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left"/>
    </xf>
    <xf numFmtId="9" fontId="3" fillId="0" borderId="24" xfId="0" applyNumberFormat="1" applyFont="1" applyBorder="1" applyAlignment="1">
      <alignment horizontal="right"/>
    </xf>
    <xf numFmtId="4" fontId="3" fillId="26" borderId="11" xfId="44" applyNumberFormat="1" applyFont="1" applyFill="1" applyBorder="1" applyAlignment="1">
      <alignment horizontal="right"/>
    </xf>
    <xf numFmtId="4" fontId="3" fillId="26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1" fontId="3" fillId="0" borderId="11" xfId="0" applyNumberFormat="1" applyFont="1" applyBorder="1" applyAlignment="1">
      <alignment wrapText="1"/>
    </xf>
    <xf numFmtId="1" fontId="3" fillId="0" borderId="11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" fontId="3" fillId="26" borderId="10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wrapText="1"/>
    </xf>
    <xf numFmtId="4" fontId="14" fillId="26" borderId="10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vertical="justify"/>
    </xf>
    <xf numFmtId="1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4" fontId="3" fillId="0" borderId="10" xfId="44" applyNumberFormat="1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4" fontId="21" fillId="0" borderId="27" xfId="0" applyNumberFormat="1" applyFont="1" applyBorder="1" applyAlignment="1">
      <alignment/>
    </xf>
    <xf numFmtId="0" fontId="21" fillId="0" borderId="24" xfId="0" applyFont="1" applyBorder="1" applyAlignment="1">
      <alignment/>
    </xf>
    <xf numFmtId="4" fontId="21" fillId="0" borderId="24" xfId="0" applyNumberFormat="1" applyFont="1" applyBorder="1" applyAlignment="1">
      <alignment/>
    </xf>
    <xf numFmtId="0" fontId="21" fillId="0" borderId="25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4" fontId="18" fillId="0" borderId="0" xfId="0" applyNumberFormat="1" applyFont="1" applyBorder="1" applyAlignment="1">
      <alignment/>
    </xf>
    <xf numFmtId="10" fontId="18" fillId="0" borderId="17" xfId="0" applyNumberFormat="1" applyFont="1" applyBorder="1" applyAlignment="1">
      <alignment/>
    </xf>
    <xf numFmtId="0" fontId="18" fillId="0" borderId="0" xfId="0" applyFont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4" fontId="18" fillId="0" borderId="19" xfId="0" applyNumberFormat="1" applyFont="1" applyBorder="1" applyAlignment="1">
      <alignment/>
    </xf>
    <xf numFmtId="10" fontId="18" fillId="0" borderId="20" xfId="0" applyNumberFormat="1" applyFont="1" applyBorder="1" applyAlignment="1">
      <alignment/>
    </xf>
    <xf numFmtId="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27" xfId="0" applyFont="1" applyBorder="1" applyAlignment="1">
      <alignment/>
    </xf>
    <xf numFmtId="4" fontId="18" fillId="0" borderId="24" xfId="0" applyNumberFormat="1" applyFont="1" applyBorder="1" applyAlignment="1">
      <alignment/>
    </xf>
    <xf numFmtId="4" fontId="18" fillId="0" borderId="25" xfId="0" applyNumberFormat="1" applyFont="1" applyBorder="1" applyAlignment="1">
      <alignment/>
    </xf>
    <xf numFmtId="4" fontId="18" fillId="0" borderId="17" xfId="0" applyNumberFormat="1" applyFont="1" applyBorder="1" applyAlignment="1">
      <alignment/>
    </xf>
    <xf numFmtId="4" fontId="18" fillId="0" borderId="2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10" fontId="21" fillId="0" borderId="0" xfId="0" applyNumberFormat="1" applyFont="1" applyAlignment="1">
      <alignment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textRotation="90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textRotation="90" wrapText="1"/>
    </xf>
    <xf numFmtId="4" fontId="3" fillId="26" borderId="10" xfId="0" applyNumberFormat="1" applyFont="1" applyFill="1" applyBorder="1" applyAlignment="1">
      <alignment wrapText="1"/>
    </xf>
    <xf numFmtId="0" fontId="3" fillId="0" borderId="19" xfId="0" applyFont="1" applyBorder="1" applyAlignment="1">
      <alignment horizontal="left" wrapText="1"/>
    </xf>
    <xf numFmtId="0" fontId="13" fillId="0" borderId="10" xfId="0" applyFont="1" applyBorder="1" applyAlignment="1">
      <alignment wrapText="1"/>
    </xf>
    <xf numFmtId="14" fontId="13" fillId="0" borderId="10" xfId="0" applyNumberFormat="1" applyFont="1" applyBorder="1" applyAlignment="1">
      <alignment wrapText="1"/>
    </xf>
    <xf numFmtId="14" fontId="13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/>
    </xf>
    <xf numFmtId="4" fontId="5" fillId="26" borderId="0" xfId="0" applyNumberFormat="1" applyFont="1" applyFill="1" applyBorder="1" applyAlignment="1">
      <alignment/>
    </xf>
    <xf numFmtId="4" fontId="40" fillId="0" borderId="0" xfId="0" applyNumberFormat="1" applyFont="1" applyAlignment="1">
      <alignment/>
    </xf>
    <xf numFmtId="4" fontId="14" fillId="0" borderId="1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170" fontId="3" fillId="26" borderId="11" xfId="0" applyNumberFormat="1" applyFont="1" applyFill="1" applyBorder="1" applyAlignment="1">
      <alignment/>
    </xf>
    <xf numFmtId="4" fontId="3" fillId="26" borderId="11" xfId="0" applyNumberFormat="1" applyFont="1" applyFill="1" applyBorder="1" applyAlignment="1">
      <alignment/>
    </xf>
    <xf numFmtId="0" fontId="21" fillId="0" borderId="0" xfId="0" applyFont="1" applyBorder="1" applyAlignment="1" quotePrefix="1">
      <alignment/>
    </xf>
    <xf numFmtId="4" fontId="21" fillId="0" borderId="0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4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4" fillId="0" borderId="27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16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21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wrapText="1"/>
    </xf>
    <xf numFmtId="0" fontId="0" fillId="0" borderId="14" xfId="0" applyBorder="1" applyAlignment="1">
      <alignment wrapText="1"/>
    </xf>
    <xf numFmtId="0" fontId="17" fillId="0" borderId="1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4" fillId="25" borderId="16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4" fontId="4" fillId="25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4" fontId="4" fillId="0" borderId="15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17" xfId="0" applyNumberFormat="1" applyFont="1" applyBorder="1" applyAlignment="1" applyProtection="1">
      <alignment horizontal="right"/>
      <protection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left" vertical="justify" wrapText="1"/>
    </xf>
    <xf numFmtId="0" fontId="3" fillId="0" borderId="18" xfId="0" applyFont="1" applyBorder="1" applyAlignment="1">
      <alignment horizontal="left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4" fontId="7" fillId="0" borderId="18" xfId="0" applyNumberFormat="1" applyFont="1" applyBorder="1" applyAlignment="1" applyProtection="1">
      <alignment horizontal="right"/>
      <protection/>
    </xf>
    <xf numFmtId="4" fontId="7" fillId="0" borderId="19" xfId="0" applyNumberFormat="1" applyFont="1" applyBorder="1" applyAlignment="1" applyProtection="1">
      <alignment horizontal="right"/>
      <protection/>
    </xf>
    <xf numFmtId="4" fontId="7" fillId="0" borderId="20" xfId="0" applyNumberFormat="1" applyFont="1" applyBorder="1" applyAlignment="1" applyProtection="1">
      <alignment horizontal="right"/>
      <protection/>
    </xf>
    <xf numFmtId="14" fontId="3" fillId="0" borderId="27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4" fontId="3" fillId="26" borderId="12" xfId="0" applyNumberFormat="1" applyFont="1" applyFill="1" applyBorder="1" applyAlignment="1">
      <alignment horizontal="center" vertical="center" wrapText="1"/>
    </xf>
    <xf numFmtId="4" fontId="3" fillId="26" borderId="10" xfId="0" applyNumberFormat="1" applyFont="1" applyFill="1" applyBorder="1" applyAlignment="1">
      <alignment horizontal="center" vertical="center" wrapText="1"/>
    </xf>
    <xf numFmtId="4" fontId="14" fillId="26" borderId="12" xfId="0" applyNumberFormat="1" applyFont="1" applyFill="1" applyBorder="1" applyAlignment="1">
      <alignment horizontal="right" wrapText="1"/>
    </xf>
    <xf numFmtId="4" fontId="14" fillId="26" borderId="10" xfId="0" applyNumberFormat="1" applyFont="1" applyFill="1" applyBorder="1" applyAlignment="1">
      <alignment horizontal="right" wrapText="1"/>
    </xf>
    <xf numFmtId="0" fontId="14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4" fontId="4" fillId="0" borderId="27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25" xfId="0" applyNumberFormat="1" applyFont="1" applyBorder="1" applyAlignment="1" applyProtection="1">
      <alignment horizontal="right"/>
      <protection/>
    </xf>
    <xf numFmtId="0" fontId="3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_Sheet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tabSelected="1" zoomScalePageLayoutView="0" workbookViewId="0" topLeftCell="A4">
      <selection activeCell="G23" sqref="G23"/>
    </sheetView>
  </sheetViews>
  <sheetFormatPr defaultColWidth="9.140625" defaultRowHeight="12.75"/>
  <cols>
    <col min="1" max="1" width="9.140625" style="320" customWidth="1"/>
    <col min="2" max="2" width="9.7109375" style="320" customWidth="1"/>
    <col min="3" max="3" width="9.421875" style="320" customWidth="1"/>
    <col min="4" max="4" width="12.57421875" style="320" customWidth="1"/>
    <col min="5" max="5" width="11.7109375" style="320" customWidth="1"/>
    <col min="6" max="6" width="10.57421875" style="320" customWidth="1"/>
    <col min="7" max="7" width="10.8515625" style="320" customWidth="1"/>
    <col min="8" max="8" width="10.421875" style="320" customWidth="1"/>
    <col min="9" max="9" width="11.28125" style="320" customWidth="1"/>
    <col min="10" max="10" width="10.140625" style="320" customWidth="1"/>
    <col min="11" max="11" width="10.00390625" style="320" customWidth="1"/>
    <col min="12" max="12" width="11.28125" style="320" customWidth="1"/>
    <col min="13" max="16384" width="9.140625" style="320" customWidth="1"/>
  </cols>
  <sheetData>
    <row r="2" spans="1:11" ht="12.75">
      <c r="A2" s="415" t="s">
        <v>390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</row>
    <row r="6" spans="1:10" ht="12.75">
      <c r="A6" s="321" t="s">
        <v>0</v>
      </c>
      <c r="B6" s="322"/>
      <c r="C6" s="322"/>
      <c r="D6" s="323" t="s">
        <v>132</v>
      </c>
      <c r="E6" s="324"/>
      <c r="I6" s="320" t="s">
        <v>365</v>
      </c>
      <c r="J6" s="325">
        <v>38289</v>
      </c>
    </row>
    <row r="7" spans="1:10" ht="12.75">
      <c r="A7" s="326" t="s">
        <v>34</v>
      </c>
      <c r="B7" s="327"/>
      <c r="C7" s="327"/>
      <c r="D7" s="328">
        <f>+Complessivo!G2</f>
        <v>1730560.0000000002</v>
      </c>
      <c r="E7" s="329">
        <f>+Complessivo!H2</f>
        <v>0.7265911962463018</v>
      </c>
      <c r="G7" s="345"/>
      <c r="I7" s="320" t="s">
        <v>366</v>
      </c>
      <c r="J7" s="325">
        <v>39628</v>
      </c>
    </row>
    <row r="8" spans="1:9" ht="12.75">
      <c r="A8" s="326" t="s">
        <v>35</v>
      </c>
      <c r="B8" s="327"/>
      <c r="C8" s="327"/>
      <c r="D8" s="328">
        <f>+Complessivo!G3</f>
        <v>1124864</v>
      </c>
      <c r="E8" s="329">
        <f>+Complessivo!H3</f>
        <v>0.7265911962463019</v>
      </c>
      <c r="I8" s="330" t="s">
        <v>700</v>
      </c>
    </row>
    <row r="9" spans="1:5" ht="12.75">
      <c r="A9" s="326" t="s">
        <v>36</v>
      </c>
      <c r="B9" s="327"/>
      <c r="C9" s="327"/>
      <c r="D9" s="328">
        <f>+Complessivo!G4</f>
        <v>137826</v>
      </c>
      <c r="E9" s="329">
        <f>+Complessivo!H4</f>
        <v>0.27978698011695907</v>
      </c>
    </row>
    <row r="10" spans="1:10" ht="12.75">
      <c r="A10" s="331" t="s">
        <v>37</v>
      </c>
      <c r="B10" s="332"/>
      <c r="C10" s="332"/>
      <c r="D10" s="333">
        <f>+Complessivo!G5</f>
        <v>1262690</v>
      </c>
      <c r="E10" s="334">
        <f>+Complessivo!H5</f>
        <v>0.6778213177391126</v>
      </c>
      <c r="I10" s="330" t="s">
        <v>367</v>
      </c>
      <c r="J10" s="335">
        <v>0.65</v>
      </c>
    </row>
    <row r="12" spans="4:6" ht="12.75">
      <c r="D12" s="336" t="s">
        <v>368</v>
      </c>
      <c r="E12" s="336" t="s">
        <v>369</v>
      </c>
      <c r="F12" s="336" t="s">
        <v>370</v>
      </c>
    </row>
    <row r="13" spans="1:6" ht="12.75">
      <c r="A13" s="337" t="s">
        <v>6</v>
      </c>
      <c r="B13" s="322"/>
      <c r="C13" s="322"/>
      <c r="D13" s="338">
        <f>+Complessivo!M11</f>
        <v>808741.76</v>
      </c>
      <c r="E13" s="339">
        <f>+Complessivo!M18</f>
        <v>-21146.66499999998</v>
      </c>
      <c r="F13" s="328">
        <f>+D13-E13</f>
        <v>829888.425</v>
      </c>
    </row>
    <row r="14" spans="1:6" ht="12.75">
      <c r="A14" s="326" t="s">
        <v>7</v>
      </c>
      <c r="B14" s="327"/>
      <c r="C14" s="327"/>
      <c r="D14" s="328">
        <f>+Complessivo!M99</f>
        <v>659246</v>
      </c>
      <c r="E14" s="340">
        <f>+Complessivo!M106</f>
        <v>460182.48809999996</v>
      </c>
      <c r="F14" s="328">
        <f aca="true" t="shared" si="0" ref="F14:F19">+D14-E14</f>
        <v>199063.51190000004</v>
      </c>
    </row>
    <row r="15" spans="1:6" ht="12.75">
      <c r="A15" s="326" t="s">
        <v>1</v>
      </c>
      <c r="B15" s="327"/>
      <c r="C15" s="327"/>
      <c r="D15" s="328">
        <f>+Complessivo!M196</f>
        <v>0</v>
      </c>
      <c r="E15" s="340">
        <f>+Complessivo!M203</f>
        <v>0</v>
      </c>
      <c r="F15" s="328">
        <f t="shared" si="0"/>
        <v>0</v>
      </c>
    </row>
    <row r="16" spans="1:6" ht="12.75">
      <c r="A16" s="326" t="s">
        <v>8</v>
      </c>
      <c r="B16" s="327"/>
      <c r="C16" s="327"/>
      <c r="D16" s="328">
        <f>+Complessivo!M211</f>
        <v>95203.8</v>
      </c>
      <c r="E16" s="479">
        <f>+Complessivo!M218</f>
        <v>-19040.76000000001</v>
      </c>
      <c r="F16" s="328">
        <f t="shared" si="0"/>
        <v>114244.56000000001</v>
      </c>
    </row>
    <row r="17" spans="1:6" ht="12.75">
      <c r="A17" s="326" t="s">
        <v>23</v>
      </c>
      <c r="B17" s="327"/>
      <c r="C17" s="327"/>
      <c r="D17" s="328">
        <f>+Complessivo!M246</f>
        <v>7073.34</v>
      </c>
      <c r="E17" s="340">
        <f>+Complessivo!M253</f>
        <v>4656.54</v>
      </c>
      <c r="F17" s="328">
        <f t="shared" si="0"/>
        <v>2416.8</v>
      </c>
    </row>
    <row r="18" spans="1:6" ht="12.75">
      <c r="A18" s="326" t="s">
        <v>9</v>
      </c>
      <c r="B18" s="327"/>
      <c r="C18" s="327"/>
      <c r="D18" s="328">
        <f>+Complessivo!M262</f>
        <v>73805.1</v>
      </c>
      <c r="E18" s="340">
        <f>+Complessivo!M269</f>
        <v>34818.70000000001</v>
      </c>
      <c r="F18" s="328">
        <f t="shared" si="0"/>
        <v>38986.399999999994</v>
      </c>
    </row>
    <row r="19" spans="1:6" ht="12.75">
      <c r="A19" s="331" t="s">
        <v>10</v>
      </c>
      <c r="B19" s="332"/>
      <c r="C19" s="332"/>
      <c r="D19" s="333">
        <f>+Complessivo!M282</f>
        <v>86490</v>
      </c>
      <c r="E19" s="341">
        <f>+Complessivo!M289</f>
        <v>13680.036323999979</v>
      </c>
      <c r="F19" s="328">
        <f t="shared" si="0"/>
        <v>72809.96367600001</v>
      </c>
    </row>
    <row r="20" spans="4:6" ht="12.75">
      <c r="D20" s="342">
        <f>SUM(D13:D19)</f>
        <v>1730560.0000000002</v>
      </c>
      <c r="E20" s="342">
        <f>SUM(E13:E19)</f>
        <v>473150.33942399995</v>
      </c>
      <c r="F20" s="342">
        <f>SUM(F13:F19)</f>
        <v>1257409.660576</v>
      </c>
    </row>
    <row r="22" spans="4:12" ht="21">
      <c r="D22" s="343" t="s">
        <v>21</v>
      </c>
      <c r="E22" s="343" t="s">
        <v>371</v>
      </c>
      <c r="F22" s="344" t="s">
        <v>372</v>
      </c>
      <c r="G22" s="343" t="s">
        <v>22</v>
      </c>
      <c r="H22" s="343" t="s">
        <v>373</v>
      </c>
      <c r="I22" s="344" t="s">
        <v>374</v>
      </c>
      <c r="J22" s="343" t="s">
        <v>375</v>
      </c>
      <c r="K22" s="343" t="s">
        <v>376</v>
      </c>
      <c r="L22" s="343" t="s">
        <v>604</v>
      </c>
    </row>
    <row r="23" spans="1:11" ht="12.75">
      <c r="A23" s="320" t="s">
        <v>377</v>
      </c>
      <c r="D23" s="342">
        <f>+Complessivo!M2</f>
        <v>1257409.660576</v>
      </c>
      <c r="E23" s="342">
        <f>+Complessivo!N2</f>
        <v>59326.031264000005</v>
      </c>
      <c r="F23" s="342">
        <f>+Complessivo!O2</f>
        <v>1316735.6918400002</v>
      </c>
      <c r="G23" s="342">
        <f>+Complessivo!P2</f>
        <v>817316.2793744</v>
      </c>
      <c r="H23" s="342">
        <f>+Complessivo!Q2</f>
        <v>38561.9203216</v>
      </c>
      <c r="I23" s="342">
        <f>+Complessivo!R2</f>
        <v>855878.1996960001</v>
      </c>
      <c r="J23" s="342">
        <f>+Complessivo!S2</f>
        <v>320954.324886</v>
      </c>
      <c r="K23" s="342">
        <f>+Complessivo!T2</f>
        <v>534923.8748100001</v>
      </c>
    </row>
    <row r="24" spans="1:12" ht="12.75">
      <c r="A24" s="345" t="s">
        <v>153</v>
      </c>
      <c r="B24" s="345"/>
      <c r="D24" s="342">
        <f>+Complessivo!M3</f>
        <v>59175.34817599999</v>
      </c>
      <c r="E24" s="342">
        <f>+Complessivo!N3</f>
        <v>661.0342640000002</v>
      </c>
      <c r="F24" s="342">
        <f>+Complessivo!O3</f>
        <v>59836.382439999994</v>
      </c>
      <c r="G24" s="342">
        <f>+Complessivo!P3</f>
        <v>38463.9763144</v>
      </c>
      <c r="H24" s="342">
        <f>+Complessivo!Q3</f>
        <v>429.67227160000016</v>
      </c>
      <c r="I24" s="342">
        <f>+Complessivo!R3</f>
        <v>38893.648586</v>
      </c>
      <c r="J24" s="342">
        <f>+Complessivo!S3</f>
        <v>14585.11821975</v>
      </c>
      <c r="K24" s="342">
        <f>+Complessivo!T3</f>
        <v>24308.53036625</v>
      </c>
      <c r="L24" s="345"/>
    </row>
    <row r="25" spans="1:12" ht="12.75">
      <c r="A25" s="345" t="s">
        <v>154</v>
      </c>
      <c r="B25" s="342"/>
      <c r="D25" s="342">
        <f>+Complessivo!M4</f>
        <v>152640.9266666667</v>
      </c>
      <c r="E25" s="342">
        <f>+Complessivo!N4</f>
        <v>3408.532333333334</v>
      </c>
      <c r="F25" s="342">
        <f>+Complessivo!O4</f>
        <v>156049.45900000003</v>
      </c>
      <c r="G25" s="342">
        <f>+Complessivo!P4</f>
        <v>99216.60233333334</v>
      </c>
      <c r="H25" s="342">
        <f>+Complessivo!Q4</f>
        <v>2215.5460166666676</v>
      </c>
      <c r="I25" s="342">
        <f>+Complessivo!R4</f>
        <v>101432.14835000002</v>
      </c>
      <c r="J25" s="342">
        <f>+Complessivo!S4</f>
        <v>38037.055631250005</v>
      </c>
      <c r="K25" s="342">
        <f>+Complessivo!T4</f>
        <v>63395.092718750006</v>
      </c>
      <c r="L25" s="345"/>
    </row>
    <row r="26" spans="1:12" ht="12.75">
      <c r="A26" s="345" t="s">
        <v>307</v>
      </c>
      <c r="B26" s="342"/>
      <c r="D26" s="342">
        <f>+Complessivo!M5</f>
        <v>140592.58500000002</v>
      </c>
      <c r="E26" s="342">
        <f>+Complessivo!N5</f>
        <v>888.1050000000001</v>
      </c>
      <c r="F26" s="342">
        <f>+Complessivo!O5</f>
        <v>141480.69000000003</v>
      </c>
      <c r="G26" s="342">
        <f>+Complessivo!P5</f>
        <v>91385.18025</v>
      </c>
      <c r="H26" s="342">
        <f>+Complessivo!Q5</f>
        <v>577.2682500000001</v>
      </c>
      <c r="I26" s="342">
        <f>+Complessivo!R5</f>
        <v>91962.4485</v>
      </c>
      <c r="J26" s="342">
        <f>+Complessivo!S5</f>
        <v>34485.9181875</v>
      </c>
      <c r="K26" s="342">
        <f>+Complessivo!T5</f>
        <v>57476.53031250001</v>
      </c>
      <c r="L26" s="345"/>
    </row>
    <row r="27" spans="1:12" ht="12.75">
      <c r="A27" s="345" t="s">
        <v>414</v>
      </c>
      <c r="B27" s="342"/>
      <c r="D27" s="342">
        <f>+Complessivo!M6</f>
        <v>109740.05166666667</v>
      </c>
      <c r="E27" s="342">
        <f>+Complessivo!N6</f>
        <v>4668.078333333333</v>
      </c>
      <c r="F27" s="342">
        <f>+Complessivo!O6</f>
        <v>114408.13</v>
      </c>
      <c r="G27" s="342">
        <f>+Complessivo!P6</f>
        <v>71331.03358333334</v>
      </c>
      <c r="H27" s="342">
        <f>+Complessivo!Q6</f>
        <v>3034.250916666667</v>
      </c>
      <c r="I27" s="342">
        <f>+Complessivo!R6</f>
        <v>74365.28450000001</v>
      </c>
      <c r="J27" s="342">
        <f>+Complessivo!S6</f>
        <v>27886.981687500007</v>
      </c>
      <c r="K27" s="342">
        <f>+Complessivo!T6</f>
        <v>46478.302812500006</v>
      </c>
      <c r="L27" s="345"/>
    </row>
    <row r="28" spans="1:12" ht="12.75">
      <c r="A28" s="345" t="s">
        <v>459</v>
      </c>
      <c r="B28" s="342"/>
      <c r="D28" s="342">
        <f>+Complessivo!M7</f>
        <v>101851.58</v>
      </c>
      <c r="E28" s="342">
        <f>+Complessivo!N7</f>
        <v>1450.21</v>
      </c>
      <c r="F28" s="342">
        <f>+Complessivo!O7</f>
        <v>103301.79000000001</v>
      </c>
      <c r="G28" s="342">
        <f>+Complessivo!P7</f>
        <v>66203.527</v>
      </c>
      <c r="H28" s="342">
        <f>+Complessivo!Q7</f>
        <v>942.6365000000001</v>
      </c>
      <c r="I28" s="342">
        <f>+Complessivo!R7</f>
        <v>67146.1635</v>
      </c>
      <c r="J28" s="342">
        <f>+Complessivo!S7</f>
        <v>25179.811312499998</v>
      </c>
      <c r="K28" s="342">
        <f>+Complessivo!T7</f>
        <v>41966.3521875</v>
      </c>
      <c r="L28" s="345"/>
    </row>
    <row r="29" spans="1:12" ht="12.75">
      <c r="A29" s="345" t="s">
        <v>702</v>
      </c>
      <c r="B29" s="342"/>
      <c r="D29" s="342">
        <f>+Complessivo!M8</f>
        <v>693409.1690666667</v>
      </c>
      <c r="E29" s="342">
        <f>+Complessivo!N8</f>
        <v>48250.07133333334</v>
      </c>
      <c r="F29" s="346">
        <f>+Complessivo!O8</f>
        <v>741659.2404000001</v>
      </c>
      <c r="G29" s="342">
        <f>+Complessivo!P8</f>
        <v>450715.9598933334</v>
      </c>
      <c r="H29" s="342">
        <f>+Complessivo!Q8</f>
        <v>31362.54636666667</v>
      </c>
      <c r="I29" s="346">
        <f>+Complessivo!R8</f>
        <v>482078.50626000005</v>
      </c>
      <c r="J29" s="342">
        <f>+Complessivo!S8</f>
        <v>180779.43984750003</v>
      </c>
      <c r="K29" s="346">
        <f>+Complessivo!T8</f>
        <v>301299.06641250005</v>
      </c>
      <c r="L29" s="342">
        <f>139702.36+237728.87+256471.58+114520.98+129756.48</f>
        <v>878180.2699999999</v>
      </c>
    </row>
    <row r="30" spans="5:6" ht="12.75">
      <c r="E30" s="347"/>
      <c r="F30" s="363"/>
    </row>
    <row r="31" ht="12.75">
      <c r="E31" s="347"/>
    </row>
    <row r="32" spans="1:11" ht="38.25">
      <c r="A32" s="411" t="s">
        <v>378</v>
      </c>
      <c r="B32" s="412"/>
      <c r="C32" s="412"/>
      <c r="D32" s="412"/>
      <c r="E32" s="412"/>
      <c r="F32" s="412"/>
      <c r="G32" s="412"/>
      <c r="H32" s="413"/>
      <c r="I32" s="348" t="s">
        <v>379</v>
      </c>
      <c r="J32" s="348" t="s">
        <v>380</v>
      </c>
      <c r="K32" s="349" t="s">
        <v>381</v>
      </c>
    </row>
    <row r="33" spans="1:11" ht="12.75">
      <c r="A33" s="327" t="s">
        <v>42</v>
      </c>
      <c r="B33" s="327"/>
      <c r="C33" s="327"/>
      <c r="D33" s="376" t="s">
        <v>623</v>
      </c>
      <c r="E33" s="378"/>
      <c r="F33" s="379">
        <v>25874.55</v>
      </c>
      <c r="G33" s="380">
        <f>+F33*0.375</f>
        <v>9702.95625</v>
      </c>
      <c r="H33" s="327"/>
      <c r="I33" s="319"/>
      <c r="J33" s="416" t="s">
        <v>382</v>
      </c>
      <c r="K33" s="327"/>
    </row>
    <row r="34" spans="1:11" ht="12.75">
      <c r="A34" s="327" t="s">
        <v>78</v>
      </c>
      <c r="B34" s="327"/>
      <c r="C34" s="327"/>
      <c r="D34" s="376" t="s">
        <v>622</v>
      </c>
      <c r="E34" s="378"/>
      <c r="F34" s="379">
        <v>37171.64100000001</v>
      </c>
      <c r="G34" s="380">
        <f aca="true" t="shared" si="1" ref="G34:G39">+F34*0.375</f>
        <v>13939.365375000005</v>
      </c>
      <c r="H34" s="327"/>
      <c r="I34" s="319"/>
      <c r="J34" s="397"/>
      <c r="K34" s="327"/>
    </row>
    <row r="35" spans="1:11" ht="12.75">
      <c r="A35" s="327" t="s">
        <v>49</v>
      </c>
      <c r="B35" s="327"/>
      <c r="C35" s="327"/>
      <c r="D35" s="376" t="s">
        <v>612</v>
      </c>
      <c r="E35" s="378"/>
      <c r="F35" s="379">
        <v>25856.324</v>
      </c>
      <c r="G35" s="380">
        <f t="shared" si="1"/>
        <v>9696.121500000001</v>
      </c>
      <c r="H35" s="377"/>
      <c r="I35" s="319"/>
      <c r="J35" s="397"/>
      <c r="K35" s="327"/>
    </row>
    <row r="36" spans="1:11" ht="12.75">
      <c r="A36" s="327" t="s">
        <v>157</v>
      </c>
      <c r="B36" s="327"/>
      <c r="C36" s="327"/>
      <c r="D36" s="376" t="s">
        <v>614</v>
      </c>
      <c r="E36" s="378"/>
      <c r="F36" s="379">
        <v>29259.578400000002</v>
      </c>
      <c r="G36" s="380">
        <f t="shared" si="1"/>
        <v>10972.341900000001</v>
      </c>
      <c r="H36" s="377"/>
      <c r="I36" s="319"/>
      <c r="J36" s="397"/>
      <c r="K36" s="327"/>
    </row>
    <row r="37" spans="1:11" ht="12.75">
      <c r="A37" s="327" t="s">
        <v>64</v>
      </c>
      <c r="B37" s="327"/>
      <c r="C37" s="327"/>
      <c r="D37" s="376" t="s">
        <v>613</v>
      </c>
      <c r="E37" s="378"/>
      <c r="F37" s="379">
        <v>47587.02</v>
      </c>
      <c r="G37" s="380">
        <f t="shared" si="1"/>
        <v>17845.1325</v>
      </c>
      <c r="H37" s="327"/>
      <c r="I37" s="319"/>
      <c r="J37" s="397"/>
      <c r="K37" s="327"/>
    </row>
    <row r="38" spans="1:11" ht="12.75">
      <c r="A38" s="327" t="s">
        <v>108</v>
      </c>
      <c r="B38" s="327"/>
      <c r="C38" s="327"/>
      <c r="D38" s="376" t="s">
        <v>620</v>
      </c>
      <c r="E38" s="378"/>
      <c r="F38" s="379">
        <v>48157.3625</v>
      </c>
      <c r="G38" s="380">
        <f t="shared" si="1"/>
        <v>18059.010937500003</v>
      </c>
      <c r="H38" s="327"/>
      <c r="I38" s="319"/>
      <c r="J38" s="397"/>
      <c r="K38" s="327"/>
    </row>
    <row r="39" spans="1:11" ht="12.75">
      <c r="A39" s="327" t="s">
        <v>66</v>
      </c>
      <c r="B39" s="327"/>
      <c r="C39" s="327"/>
      <c r="D39" s="376" t="s">
        <v>619</v>
      </c>
      <c r="E39" s="378"/>
      <c r="F39" s="379">
        <v>7766.5380000000005</v>
      </c>
      <c r="G39" s="380">
        <f t="shared" si="1"/>
        <v>2912.45175</v>
      </c>
      <c r="H39" s="327"/>
      <c r="I39" s="319"/>
      <c r="J39" s="397"/>
      <c r="K39" s="327"/>
    </row>
    <row r="40" spans="1:11" ht="12.75">
      <c r="A40" s="327" t="s">
        <v>162</v>
      </c>
      <c r="B40" s="327"/>
      <c r="C40" s="327"/>
      <c r="D40" s="327"/>
      <c r="E40" s="381"/>
      <c r="F40" s="327"/>
      <c r="G40" s="327"/>
      <c r="H40" s="381"/>
      <c r="I40" s="382"/>
      <c r="J40" s="397"/>
      <c r="K40" s="327"/>
    </row>
    <row r="41" spans="4:9" ht="12.75">
      <c r="D41" s="347"/>
      <c r="E41" s="345"/>
      <c r="H41" s="345"/>
      <c r="I41" s="345"/>
    </row>
    <row r="42" spans="4:9" ht="12.75">
      <c r="D42" s="347"/>
      <c r="E42" s="345"/>
      <c r="H42" s="345"/>
      <c r="I42" s="345"/>
    </row>
    <row r="43" spans="1:11" ht="12.75">
      <c r="A43" s="398" t="s">
        <v>383</v>
      </c>
      <c r="B43" s="398"/>
      <c r="C43" s="398"/>
      <c r="D43" s="398"/>
      <c r="E43" s="398"/>
      <c r="F43" s="398"/>
      <c r="G43" s="398"/>
      <c r="H43" s="398"/>
      <c r="I43" s="398"/>
      <c r="J43" s="398"/>
      <c r="K43" s="398"/>
    </row>
    <row r="46" spans="1:11" ht="36" customHeight="1">
      <c r="A46" s="414" t="s">
        <v>384</v>
      </c>
      <c r="B46" s="414"/>
      <c r="C46" s="414"/>
      <c r="D46" s="414"/>
      <c r="E46" s="414"/>
      <c r="F46" s="414"/>
      <c r="G46" s="399" t="s">
        <v>524</v>
      </c>
      <c r="H46" s="400"/>
      <c r="I46" s="400"/>
      <c r="J46" s="400"/>
      <c r="K46" s="401"/>
    </row>
    <row r="47" spans="1:11" ht="25.5" customHeight="1">
      <c r="A47" s="414" t="s">
        <v>385</v>
      </c>
      <c r="B47" s="414"/>
      <c r="C47" s="414"/>
      <c r="D47" s="414"/>
      <c r="E47" s="414"/>
      <c r="F47" s="414"/>
      <c r="G47" s="411" t="s">
        <v>525</v>
      </c>
      <c r="H47" s="412"/>
      <c r="I47" s="412"/>
      <c r="J47" s="412"/>
      <c r="K47" s="413"/>
    </row>
    <row r="48" spans="1:11" ht="23.25" customHeight="1">
      <c r="A48" s="414" t="s">
        <v>393</v>
      </c>
      <c r="B48" s="414"/>
      <c r="C48" s="414"/>
      <c r="D48" s="414"/>
      <c r="E48" s="414"/>
      <c r="F48" s="414"/>
      <c r="G48" s="411" t="s">
        <v>526</v>
      </c>
      <c r="H48" s="412"/>
      <c r="I48" s="412"/>
      <c r="J48" s="412"/>
      <c r="K48" s="413"/>
    </row>
    <row r="49" ht="26.25" customHeight="1">
      <c r="A49" s="320" t="s">
        <v>386</v>
      </c>
    </row>
    <row r="50" spans="1:11" ht="12.75">
      <c r="A50" s="332"/>
      <c r="B50" s="332"/>
      <c r="C50" s="332"/>
      <c r="D50" s="332"/>
      <c r="E50" s="332"/>
      <c r="F50" s="332"/>
      <c r="G50" s="332"/>
      <c r="H50" s="332"/>
      <c r="I50" s="332"/>
      <c r="J50" s="332"/>
      <c r="K50" s="332"/>
    </row>
    <row r="51" spans="1:11" ht="24.75" customHeight="1">
      <c r="A51" s="332"/>
      <c r="B51" s="332"/>
      <c r="C51" s="332"/>
      <c r="D51" s="332"/>
      <c r="E51" s="332"/>
      <c r="F51" s="332"/>
      <c r="G51" s="332"/>
      <c r="H51" s="332"/>
      <c r="I51" s="332"/>
      <c r="J51" s="332"/>
      <c r="K51" s="332"/>
    </row>
    <row r="52" spans="1:11" ht="24.75" customHeight="1">
      <c r="A52" s="332"/>
      <c r="B52" s="332"/>
      <c r="C52" s="332"/>
      <c r="D52" s="332"/>
      <c r="E52" s="332"/>
      <c r="F52" s="332"/>
      <c r="G52" s="332"/>
      <c r="H52" s="332"/>
      <c r="I52" s="332"/>
      <c r="J52" s="332"/>
      <c r="K52" s="332"/>
    </row>
    <row r="53" spans="1:11" ht="24.75" customHeight="1">
      <c r="A53" s="332"/>
      <c r="B53" s="332"/>
      <c r="C53" s="332"/>
      <c r="D53" s="332"/>
      <c r="E53" s="332"/>
      <c r="F53" s="332"/>
      <c r="G53" s="332"/>
      <c r="H53" s="332"/>
      <c r="I53" s="332"/>
      <c r="J53" s="332"/>
      <c r="K53" s="332"/>
    </row>
    <row r="54" spans="1:11" ht="24.75" customHeight="1">
      <c r="A54" s="332"/>
      <c r="B54" s="332"/>
      <c r="C54" s="332"/>
      <c r="D54" s="332"/>
      <c r="E54" s="332"/>
      <c r="F54" s="332"/>
      <c r="G54" s="332"/>
      <c r="H54" s="332"/>
      <c r="I54" s="332"/>
      <c r="J54" s="332"/>
      <c r="K54" s="332"/>
    </row>
    <row r="55" spans="1:11" ht="12.75">
      <c r="A55" s="327"/>
      <c r="B55" s="327"/>
      <c r="C55" s="327"/>
      <c r="D55" s="327"/>
      <c r="E55" s="327"/>
      <c r="F55" s="327"/>
      <c r="G55" s="327"/>
      <c r="H55" s="327"/>
      <c r="I55" s="327"/>
      <c r="J55" s="327"/>
      <c r="K55" s="327"/>
    </row>
    <row r="56" spans="1:11" ht="12.75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</row>
    <row r="57" spans="1:11" ht="12.75">
      <c r="A57" s="327"/>
      <c r="B57" s="327"/>
      <c r="C57" s="327"/>
      <c r="D57" s="327"/>
      <c r="E57" s="327"/>
      <c r="F57" s="327"/>
      <c r="G57" s="327"/>
      <c r="H57" s="327"/>
      <c r="I57" s="327"/>
      <c r="J57" s="327"/>
      <c r="K57" s="327"/>
    </row>
    <row r="59" spans="1:9" ht="12.75">
      <c r="A59" s="402" t="s">
        <v>387</v>
      </c>
      <c r="B59" s="402"/>
      <c r="C59" s="402"/>
      <c r="D59" s="402" t="s">
        <v>388</v>
      </c>
      <c r="E59" s="402"/>
      <c r="F59" s="402"/>
      <c r="G59" s="402" t="s">
        <v>389</v>
      </c>
      <c r="H59" s="402"/>
      <c r="I59" s="402"/>
    </row>
    <row r="60" spans="1:9" ht="23.25" customHeight="1">
      <c r="A60" s="402"/>
      <c r="B60" s="402"/>
      <c r="C60" s="402"/>
      <c r="D60" s="411" t="s">
        <v>410</v>
      </c>
      <c r="E60" s="412"/>
      <c r="F60" s="413"/>
      <c r="G60" s="402"/>
      <c r="H60" s="402"/>
      <c r="I60" s="402"/>
    </row>
    <row r="61" spans="1:9" ht="23.25" customHeight="1">
      <c r="A61" s="402"/>
      <c r="B61" s="402"/>
      <c r="C61" s="402"/>
      <c r="D61" s="402"/>
      <c r="E61" s="402"/>
      <c r="F61" s="402"/>
      <c r="G61" s="402"/>
      <c r="H61" s="402"/>
      <c r="I61" s="402"/>
    </row>
    <row r="62" spans="1:9" ht="23.25" customHeight="1">
      <c r="A62" s="402"/>
      <c r="B62" s="402"/>
      <c r="C62" s="402"/>
      <c r="D62" s="402"/>
      <c r="E62" s="402"/>
      <c r="F62" s="402"/>
      <c r="G62" s="402"/>
      <c r="H62" s="402"/>
      <c r="I62" s="402"/>
    </row>
  </sheetData>
  <sheetProtection/>
  <mergeCells count="22">
    <mergeCell ref="A61:C61"/>
    <mergeCell ref="D61:F61"/>
    <mergeCell ref="G61:I61"/>
    <mergeCell ref="A62:C62"/>
    <mergeCell ref="D62:F62"/>
    <mergeCell ref="G62:I62"/>
    <mergeCell ref="A59:C59"/>
    <mergeCell ref="D59:F59"/>
    <mergeCell ref="G59:I59"/>
    <mergeCell ref="A60:C60"/>
    <mergeCell ref="D60:F60"/>
    <mergeCell ref="G60:I60"/>
    <mergeCell ref="G48:K48"/>
    <mergeCell ref="A48:F48"/>
    <mergeCell ref="A2:K2"/>
    <mergeCell ref="A32:H32"/>
    <mergeCell ref="J33:J40"/>
    <mergeCell ref="A43:K43"/>
    <mergeCell ref="A46:F46"/>
    <mergeCell ref="G46:K46"/>
    <mergeCell ref="A47:F47"/>
    <mergeCell ref="G47:K47"/>
  </mergeCells>
  <printOptions/>
  <pageMargins left="0.7480314960629921" right="0.55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05"/>
  <sheetViews>
    <sheetView showGridLines="0" showZeros="0" zoomScale="80" zoomScaleNormal="80" zoomScalePageLayoutView="0" workbookViewId="0" topLeftCell="A1">
      <pane xSplit="3" ySplit="8" topLeftCell="H4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76" sqref="L76"/>
    </sheetView>
  </sheetViews>
  <sheetFormatPr defaultColWidth="9.140625" defaultRowHeight="12.75"/>
  <cols>
    <col min="1" max="1" width="2.57421875" style="1" customWidth="1"/>
    <col min="2" max="2" width="2.7109375" style="57" customWidth="1"/>
    <col min="3" max="3" width="20.140625" style="2" customWidth="1"/>
    <col min="4" max="4" width="20.57421875" style="27" customWidth="1"/>
    <col min="5" max="5" width="10.28125" style="27" customWidth="1"/>
    <col min="6" max="6" width="9.00390625" style="2" customWidth="1"/>
    <col min="7" max="7" width="12.8515625" style="2" customWidth="1"/>
    <col min="8" max="8" width="9.7109375" style="2" customWidth="1"/>
    <col min="9" max="9" width="9.8515625" style="171" customWidth="1"/>
    <col min="10" max="10" width="8.7109375" style="2" customWidth="1"/>
    <col min="11" max="11" width="10.7109375" style="2" customWidth="1"/>
    <col min="12" max="12" width="10.7109375" style="195" customWidth="1"/>
    <col min="13" max="13" width="11.57421875" style="2" customWidth="1"/>
    <col min="14" max="14" width="10.421875" style="2" customWidth="1"/>
    <col min="15" max="15" width="14.57421875" style="195" customWidth="1"/>
    <col min="16" max="16" width="10.8515625" style="2" customWidth="1"/>
    <col min="17" max="17" width="11.140625" style="2" customWidth="1"/>
    <col min="18" max="18" width="11.140625" style="195" customWidth="1"/>
    <col min="19" max="19" width="11.140625" style="2" customWidth="1"/>
    <col min="20" max="20" width="11.28125" style="27" customWidth="1"/>
    <col min="21" max="21" width="10.140625" style="2" bestFit="1" customWidth="1"/>
    <col min="22" max="16384" width="9.140625" style="2" customWidth="1"/>
  </cols>
  <sheetData>
    <row r="1" spans="1:20" s="1" customFormat="1" ht="15.75">
      <c r="A1" s="423" t="s">
        <v>41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5"/>
    </row>
    <row r="2" spans="1:22" ht="11.25">
      <c r="A2" s="68"/>
      <c r="B2" s="62"/>
      <c r="C2" s="63" t="s">
        <v>0</v>
      </c>
      <c r="D2" s="152" t="s">
        <v>132</v>
      </c>
      <c r="E2" s="299" t="s">
        <v>34</v>
      </c>
      <c r="F2" s="60"/>
      <c r="G2" s="64">
        <f>+M11+M99+M196+M211+M246+M262+M282</f>
        <v>1730560.0000000002</v>
      </c>
      <c r="H2" s="300">
        <f>+M2/G2</f>
        <v>0.7265911962463018</v>
      </c>
      <c r="I2" s="166" t="s">
        <v>33</v>
      </c>
      <c r="J2" s="61">
        <v>38289</v>
      </c>
      <c r="K2" s="70">
        <f>G4</f>
        <v>137826</v>
      </c>
      <c r="L2" s="188" t="s">
        <v>30</v>
      </c>
      <c r="M2" s="55">
        <f aca="true" t="shared" si="0" ref="M2:T2">SUM(M3:M9)</f>
        <v>1257409.660576</v>
      </c>
      <c r="N2" s="55">
        <f t="shared" si="0"/>
        <v>59326.031264000005</v>
      </c>
      <c r="O2" s="210">
        <f t="shared" si="0"/>
        <v>1316735.6918400002</v>
      </c>
      <c r="P2" s="55">
        <f t="shared" si="0"/>
        <v>817316.2793744</v>
      </c>
      <c r="Q2" s="55">
        <f t="shared" si="0"/>
        <v>38561.9203216</v>
      </c>
      <c r="R2" s="210">
        <f t="shared" si="0"/>
        <v>855878.1996960001</v>
      </c>
      <c r="S2" s="55">
        <f t="shared" si="0"/>
        <v>320954.324886</v>
      </c>
      <c r="T2" s="55">
        <f t="shared" si="0"/>
        <v>534923.8748100001</v>
      </c>
      <c r="U2" s="2">
        <v>378807</v>
      </c>
      <c r="V2" s="2" t="s">
        <v>701</v>
      </c>
    </row>
    <row r="3" spans="1:21" s="28" customFormat="1" ht="11.25">
      <c r="A3" s="51"/>
      <c r="B3" s="62"/>
      <c r="C3" s="34" t="s">
        <v>153</v>
      </c>
      <c r="D3" s="153"/>
      <c r="E3" s="66" t="s">
        <v>35</v>
      </c>
      <c r="F3" s="35"/>
      <c r="G3" s="65">
        <v>1124864</v>
      </c>
      <c r="H3" s="138">
        <f>P2/G3</f>
        <v>0.7265911962463019</v>
      </c>
      <c r="I3" s="167"/>
      <c r="J3" s="65" t="s">
        <v>38</v>
      </c>
      <c r="K3" s="55">
        <f>+Q2</f>
        <v>38561.9203216</v>
      </c>
      <c r="L3" s="188" t="s">
        <v>31</v>
      </c>
      <c r="M3" s="55">
        <f aca="true" t="shared" si="1" ref="M3:T3">M12+M100+M197+M212+M247+M263+M283</f>
        <v>59175.34817599999</v>
      </c>
      <c r="N3" s="55">
        <f t="shared" si="1"/>
        <v>661.0342640000002</v>
      </c>
      <c r="O3" s="210">
        <f t="shared" si="1"/>
        <v>59836.382439999994</v>
      </c>
      <c r="P3" s="55">
        <f t="shared" si="1"/>
        <v>38463.9763144</v>
      </c>
      <c r="Q3" s="55">
        <f t="shared" si="1"/>
        <v>429.67227160000016</v>
      </c>
      <c r="R3" s="210">
        <f t="shared" si="1"/>
        <v>38893.648586</v>
      </c>
      <c r="S3" s="55">
        <f t="shared" si="1"/>
        <v>14585.11821975</v>
      </c>
      <c r="T3" s="55">
        <f t="shared" si="1"/>
        <v>24308.53036625</v>
      </c>
      <c r="U3" s="67">
        <v>24308.530366249997</v>
      </c>
    </row>
    <row r="4" spans="1:21" s="28" customFormat="1" ht="11.25">
      <c r="A4" s="51"/>
      <c r="B4" s="62"/>
      <c r="C4" s="34" t="s">
        <v>154</v>
      </c>
      <c r="D4" s="153"/>
      <c r="E4" s="66" t="s">
        <v>36</v>
      </c>
      <c r="F4" s="35"/>
      <c r="G4" s="65">
        <v>137826</v>
      </c>
      <c r="H4" s="138">
        <f>Q2/G4</f>
        <v>0.27978698011695907</v>
      </c>
      <c r="I4" s="167"/>
      <c r="J4" s="66" t="s">
        <v>39</v>
      </c>
      <c r="K4" s="67">
        <f>K2-K3</f>
        <v>99264.0796784</v>
      </c>
      <c r="L4" s="188" t="s">
        <v>32</v>
      </c>
      <c r="M4" s="55">
        <f>M13+M101+M198+M213+M248+M264+M284</f>
        <v>152640.9266666667</v>
      </c>
      <c r="N4" s="55">
        <f>N13+N101+N198+N213+N248+N264+N284</f>
        <v>3408.532333333334</v>
      </c>
      <c r="O4" s="210">
        <f>+N4+M4</f>
        <v>156049.45900000003</v>
      </c>
      <c r="P4" s="55">
        <f>P13+P101+P198+P213+P248+P264+P284</f>
        <v>99216.60233333334</v>
      </c>
      <c r="Q4" s="55">
        <f>Q13+Q101+Q198+Q213+Q248+Q264+Q284</f>
        <v>2215.5460166666676</v>
      </c>
      <c r="R4" s="210">
        <f>+Q4+P4</f>
        <v>101432.14835000002</v>
      </c>
      <c r="S4" s="55">
        <f aca="true" t="shared" si="2" ref="S4:T8">S13+S101+S198+S213+S248+S264+S284</f>
        <v>38037.055631250005</v>
      </c>
      <c r="T4" s="55">
        <f t="shared" si="2"/>
        <v>63395.092718750006</v>
      </c>
      <c r="U4" s="67">
        <v>63395.09</v>
      </c>
    </row>
    <row r="5" spans="1:21" s="28" customFormat="1" ht="11.25">
      <c r="A5" s="51"/>
      <c r="B5" s="62"/>
      <c r="C5" s="34" t="s">
        <v>307</v>
      </c>
      <c r="D5" s="153"/>
      <c r="E5" s="66" t="s">
        <v>37</v>
      </c>
      <c r="F5" s="35"/>
      <c r="G5" s="65">
        <f>SUM(G3:G4)</f>
        <v>1262690</v>
      </c>
      <c r="H5" s="138">
        <f>R2/G5</f>
        <v>0.6778213177391126</v>
      </c>
      <c r="I5" s="167"/>
      <c r="L5" s="188" t="s">
        <v>363</v>
      </c>
      <c r="M5" s="55">
        <f aca="true" t="shared" si="3" ref="M5:N8">+M14+M102+M199+M214+M249+M265+M285</f>
        <v>140592.58500000002</v>
      </c>
      <c r="N5" s="55">
        <f t="shared" si="3"/>
        <v>888.1050000000001</v>
      </c>
      <c r="O5" s="210">
        <f>+N5+M5</f>
        <v>141480.69000000003</v>
      </c>
      <c r="P5" s="55">
        <f aca="true" t="shared" si="4" ref="P5:Q8">+P14+P102+P199+P214+P249+P265+P285</f>
        <v>91385.18025</v>
      </c>
      <c r="Q5" s="55">
        <f t="shared" si="4"/>
        <v>577.2682500000001</v>
      </c>
      <c r="R5" s="210">
        <f>+Q5+P5</f>
        <v>91962.4485</v>
      </c>
      <c r="S5" s="55">
        <f t="shared" si="2"/>
        <v>34485.9181875</v>
      </c>
      <c r="T5" s="55">
        <f t="shared" si="2"/>
        <v>57476.53031250001</v>
      </c>
      <c r="U5" s="67">
        <v>57476.5303125</v>
      </c>
    </row>
    <row r="6" spans="1:21" s="28" customFormat="1" ht="11.25">
      <c r="A6" s="51"/>
      <c r="B6" s="62"/>
      <c r="C6" s="34" t="s">
        <v>414</v>
      </c>
      <c r="D6" s="153"/>
      <c r="E6" s="66"/>
      <c r="F6" s="35"/>
      <c r="G6" s="65"/>
      <c r="H6" s="138"/>
      <c r="I6" s="167"/>
      <c r="L6" s="188" t="s">
        <v>450</v>
      </c>
      <c r="M6" s="55">
        <f t="shared" si="3"/>
        <v>109740.05166666667</v>
      </c>
      <c r="N6" s="55">
        <f t="shared" si="3"/>
        <v>4668.078333333333</v>
      </c>
      <c r="O6" s="210">
        <f>+N6+M6</f>
        <v>114408.13</v>
      </c>
      <c r="P6" s="55">
        <f t="shared" si="4"/>
        <v>71331.03358333334</v>
      </c>
      <c r="Q6" s="55">
        <f t="shared" si="4"/>
        <v>3034.250916666667</v>
      </c>
      <c r="R6" s="210">
        <f>+Q6+P6</f>
        <v>74365.28450000001</v>
      </c>
      <c r="S6" s="55">
        <f t="shared" si="2"/>
        <v>27886.981687500007</v>
      </c>
      <c r="T6" s="55">
        <f t="shared" si="2"/>
        <v>46478.302812500006</v>
      </c>
      <c r="U6" s="67">
        <v>46478.3</v>
      </c>
    </row>
    <row r="7" spans="1:21" s="28" customFormat="1" ht="11.25">
      <c r="A7" s="51"/>
      <c r="B7" s="62"/>
      <c r="C7" s="34" t="s">
        <v>459</v>
      </c>
      <c r="D7" s="153"/>
      <c r="E7" s="177"/>
      <c r="F7" s="35"/>
      <c r="G7" s="65"/>
      <c r="H7" s="36"/>
      <c r="I7" s="167"/>
      <c r="L7" s="188" t="s">
        <v>460</v>
      </c>
      <c r="M7" s="55">
        <f t="shared" si="3"/>
        <v>101851.58</v>
      </c>
      <c r="N7" s="55">
        <f t="shared" si="3"/>
        <v>1450.21</v>
      </c>
      <c r="O7" s="210">
        <f>+N7+M7</f>
        <v>103301.79000000001</v>
      </c>
      <c r="P7" s="55">
        <f t="shared" si="4"/>
        <v>66203.527</v>
      </c>
      <c r="Q7" s="55">
        <f t="shared" si="4"/>
        <v>942.6365000000001</v>
      </c>
      <c r="R7" s="210">
        <f>+Q7+P7</f>
        <v>67146.1635</v>
      </c>
      <c r="S7" s="55">
        <f t="shared" si="2"/>
        <v>25179.811312499998</v>
      </c>
      <c r="T7" s="55">
        <f t="shared" si="2"/>
        <v>41966.3521875</v>
      </c>
      <c r="U7" s="67">
        <v>41966.3521875</v>
      </c>
    </row>
    <row r="8" spans="1:20" s="28" customFormat="1" ht="11.25">
      <c r="A8" s="51"/>
      <c r="B8" s="62"/>
      <c r="C8" s="34" t="s">
        <v>702</v>
      </c>
      <c r="D8" s="153"/>
      <c r="E8" s="177"/>
      <c r="F8" s="35"/>
      <c r="G8" s="65"/>
      <c r="H8" s="36"/>
      <c r="I8" s="167"/>
      <c r="L8" s="188" t="s">
        <v>486</v>
      </c>
      <c r="M8" s="55">
        <f t="shared" si="3"/>
        <v>693409.1690666667</v>
      </c>
      <c r="N8" s="55">
        <f t="shared" si="3"/>
        <v>48250.07133333334</v>
      </c>
      <c r="O8" s="210">
        <f>+N8+M8</f>
        <v>741659.2404000001</v>
      </c>
      <c r="P8" s="55">
        <f t="shared" si="4"/>
        <v>450715.9598933334</v>
      </c>
      <c r="Q8" s="55">
        <f t="shared" si="4"/>
        <v>31362.54636666667</v>
      </c>
      <c r="R8" s="210">
        <f>+Q8+P8</f>
        <v>482078.50626000005</v>
      </c>
      <c r="S8" s="55">
        <f t="shared" si="2"/>
        <v>180779.43984750003</v>
      </c>
      <c r="T8" s="55">
        <f t="shared" si="2"/>
        <v>301299.06641250005</v>
      </c>
    </row>
    <row r="9" spans="1:20" s="28" customFormat="1" ht="11.25">
      <c r="A9" s="51"/>
      <c r="B9" s="69"/>
      <c r="D9" s="153"/>
      <c r="E9" s="177"/>
      <c r="F9" s="35"/>
      <c r="G9" s="35"/>
      <c r="H9" s="36"/>
      <c r="I9" s="167"/>
      <c r="L9" s="188"/>
      <c r="M9" s="55"/>
      <c r="N9" s="55"/>
      <c r="O9" s="210"/>
      <c r="P9" s="55"/>
      <c r="Q9" s="55"/>
      <c r="R9" s="210"/>
      <c r="S9" s="55"/>
      <c r="T9" s="55"/>
    </row>
    <row r="10" spans="1:20" ht="11.25">
      <c r="A10" s="37"/>
      <c r="B10" s="56"/>
      <c r="C10" s="429" t="s">
        <v>6</v>
      </c>
      <c r="D10" s="430"/>
      <c r="E10" s="430"/>
      <c r="F10" s="430"/>
      <c r="G10" s="430"/>
      <c r="H10" s="430"/>
      <c r="I10" s="430"/>
      <c r="J10" s="430"/>
      <c r="K10" s="430"/>
      <c r="L10" s="431"/>
      <c r="M10" s="113" t="s">
        <v>124</v>
      </c>
      <c r="N10" s="113" t="s">
        <v>119</v>
      </c>
      <c r="O10" s="211" t="s">
        <v>125</v>
      </c>
      <c r="P10" s="113" t="s">
        <v>126</v>
      </c>
      <c r="Q10" s="113" t="s">
        <v>127</v>
      </c>
      <c r="R10" s="211" t="s">
        <v>121</v>
      </c>
      <c r="S10" s="30" t="s">
        <v>25</v>
      </c>
      <c r="T10" s="31" t="s">
        <v>26</v>
      </c>
    </row>
    <row r="11" spans="1:18" s="1" customFormat="1" ht="11.25">
      <c r="A11" s="432"/>
      <c r="B11" s="433"/>
      <c r="C11" s="47"/>
      <c r="D11" s="154"/>
      <c r="E11" s="154"/>
      <c r="F11" s="39"/>
      <c r="G11" s="39"/>
      <c r="H11" s="39"/>
      <c r="I11" s="168"/>
      <c r="J11" s="39"/>
      <c r="K11" s="48"/>
      <c r="L11" s="189" t="s">
        <v>12</v>
      </c>
      <c r="M11" s="71">
        <v>808741.76</v>
      </c>
      <c r="N11" s="184"/>
      <c r="O11" s="212"/>
      <c r="P11" s="3"/>
      <c r="Q11" s="100"/>
      <c r="R11" s="219"/>
    </row>
    <row r="12" spans="1:20" s="1" customFormat="1" ht="11.25">
      <c r="A12" s="432"/>
      <c r="B12" s="433"/>
      <c r="C12" s="41"/>
      <c r="D12" s="155"/>
      <c r="E12" s="155"/>
      <c r="F12" s="40"/>
      <c r="G12" s="40"/>
      <c r="H12" s="40"/>
      <c r="I12" s="169"/>
      <c r="J12" s="40"/>
      <c r="K12" s="4">
        <f>SUM(K20:K26)</f>
        <v>0</v>
      </c>
      <c r="L12" s="190" t="s">
        <v>28</v>
      </c>
      <c r="M12" s="4">
        <f aca="true" t="shared" si="5" ref="M12:R12">SUM(M20:M26)</f>
        <v>36199.96</v>
      </c>
      <c r="N12" s="4">
        <f t="shared" si="5"/>
        <v>0</v>
      </c>
      <c r="O12" s="213">
        <f t="shared" si="5"/>
        <v>36199.96</v>
      </c>
      <c r="P12" s="4">
        <f t="shared" si="5"/>
        <v>23529.974000000002</v>
      </c>
      <c r="Q12" s="4">
        <f t="shared" si="5"/>
        <v>0</v>
      </c>
      <c r="R12" s="213">
        <f t="shared" si="5"/>
        <v>23529.974000000002</v>
      </c>
      <c r="S12" s="5">
        <f aca="true" t="shared" si="6" ref="S12:S18">R12*0.375</f>
        <v>8823.74025</v>
      </c>
      <c r="T12" s="5">
        <f aca="true" t="shared" si="7" ref="T12:T18">R12-S12</f>
        <v>14706.233750000001</v>
      </c>
    </row>
    <row r="13" spans="1:20" s="1" customFormat="1" ht="11.25">
      <c r="A13" s="432"/>
      <c r="B13" s="433"/>
      <c r="C13" s="41"/>
      <c r="D13" s="155"/>
      <c r="E13" s="155"/>
      <c r="F13" s="40"/>
      <c r="G13" s="40"/>
      <c r="H13" s="40"/>
      <c r="I13" s="169"/>
      <c r="J13" s="40"/>
      <c r="K13" s="42"/>
      <c r="L13" s="190" t="s">
        <v>29</v>
      </c>
      <c r="M13" s="4">
        <f>SUM(M27:M34)</f>
        <v>108059.63500000001</v>
      </c>
      <c r="N13" s="4">
        <f>SUM(N27:N34)</f>
        <v>0</v>
      </c>
      <c r="O13" s="213">
        <f>+N13+M13</f>
        <v>108059.63500000001</v>
      </c>
      <c r="P13" s="4">
        <f>SUM(P27:P34)</f>
        <v>70238.76275000001</v>
      </c>
      <c r="Q13" s="4">
        <f>SUM(Q27:Q34)</f>
        <v>0</v>
      </c>
      <c r="R13" s="213">
        <f>+Q13+P13</f>
        <v>70238.76275000001</v>
      </c>
      <c r="S13" s="5">
        <f t="shared" si="6"/>
        <v>26339.536031250005</v>
      </c>
      <c r="T13" s="5">
        <f t="shared" si="7"/>
        <v>43899.226718750004</v>
      </c>
    </row>
    <row r="14" spans="1:20" s="1" customFormat="1" ht="11.25">
      <c r="A14" s="432"/>
      <c r="B14" s="433"/>
      <c r="C14" s="41"/>
      <c r="D14" s="155"/>
      <c r="E14" s="155"/>
      <c r="F14" s="40"/>
      <c r="G14" s="40"/>
      <c r="H14" s="40"/>
      <c r="I14" s="169"/>
      <c r="J14" s="40"/>
      <c r="K14" s="42"/>
      <c r="L14" s="190" t="s">
        <v>364</v>
      </c>
      <c r="M14" s="4">
        <f>SUM(M35:M48)</f>
        <v>133722.74000000002</v>
      </c>
      <c r="N14" s="4"/>
      <c r="O14" s="213">
        <f>+N14+M14</f>
        <v>133722.74000000002</v>
      </c>
      <c r="P14" s="4">
        <f>SUM(P35:P48)</f>
        <v>86919.781</v>
      </c>
      <c r="Q14" s="4"/>
      <c r="R14" s="213">
        <f>+Q14+P14</f>
        <v>86919.781</v>
      </c>
      <c r="S14" s="5">
        <f t="shared" si="6"/>
        <v>32594.917875</v>
      </c>
      <c r="T14" s="5">
        <f t="shared" si="7"/>
        <v>54324.863125</v>
      </c>
    </row>
    <row r="15" spans="1:20" s="1" customFormat="1" ht="11.25">
      <c r="A15" s="432"/>
      <c r="B15" s="433"/>
      <c r="C15" s="41"/>
      <c r="D15" s="155"/>
      <c r="E15" s="155"/>
      <c r="F15" s="40"/>
      <c r="G15" s="40"/>
      <c r="H15" s="40"/>
      <c r="I15" s="169"/>
      <c r="J15" s="40"/>
      <c r="K15" s="42"/>
      <c r="L15" s="190" t="s">
        <v>451</v>
      </c>
      <c r="M15" s="4">
        <f>SUM(M49:M55)</f>
        <v>76779.33</v>
      </c>
      <c r="N15" s="4">
        <f>SUM(N49:N55)</f>
        <v>0</v>
      </c>
      <c r="O15" s="213">
        <f>+N15+M15</f>
        <v>76779.33</v>
      </c>
      <c r="P15" s="4">
        <f>SUM(P49:P55)</f>
        <v>49906.56450000001</v>
      </c>
      <c r="Q15" s="4">
        <f>SUM(Q49:Q55)</f>
        <v>0</v>
      </c>
      <c r="R15" s="213">
        <f>+Q15+P15</f>
        <v>49906.56450000001</v>
      </c>
      <c r="S15" s="5">
        <f t="shared" si="6"/>
        <v>18714.961687500003</v>
      </c>
      <c r="T15" s="5">
        <f t="shared" si="7"/>
        <v>31191.602812500005</v>
      </c>
    </row>
    <row r="16" spans="1:20" s="1" customFormat="1" ht="11.25">
      <c r="A16" s="432"/>
      <c r="B16" s="433"/>
      <c r="C16" s="41"/>
      <c r="D16" s="155"/>
      <c r="E16" s="155"/>
      <c r="F16" s="40"/>
      <c r="G16" s="40"/>
      <c r="H16" s="40"/>
      <c r="I16" s="169"/>
      <c r="J16" s="40"/>
      <c r="K16" s="42"/>
      <c r="L16" s="190" t="s">
        <v>484</v>
      </c>
      <c r="M16" s="4">
        <f>SUM(M56:M61)</f>
        <v>92520.81</v>
      </c>
      <c r="N16" s="4">
        <f>SUM(N56:N61)</f>
        <v>0</v>
      </c>
      <c r="O16" s="213">
        <f>+N16+M16</f>
        <v>92520.81</v>
      </c>
      <c r="P16" s="4">
        <f>SUM(P56:P61)</f>
        <v>60138.5265</v>
      </c>
      <c r="Q16" s="4">
        <f>SUM(Q56:Q61)</f>
        <v>0</v>
      </c>
      <c r="R16" s="213">
        <f>+Q16+P16</f>
        <v>60138.5265</v>
      </c>
      <c r="S16" s="5">
        <f t="shared" si="6"/>
        <v>22551.9474375</v>
      </c>
      <c r="T16" s="5">
        <f t="shared" si="7"/>
        <v>37586.5790625</v>
      </c>
    </row>
    <row r="17" spans="1:20" s="1" customFormat="1" ht="11.25">
      <c r="A17" s="432"/>
      <c r="B17" s="433"/>
      <c r="C17" s="41"/>
      <c r="D17" s="155"/>
      <c r="E17" s="155"/>
      <c r="F17" s="40"/>
      <c r="G17" s="40"/>
      <c r="H17" s="40"/>
      <c r="I17" s="169"/>
      <c r="J17" s="40"/>
      <c r="K17" s="42"/>
      <c r="L17" s="190" t="s">
        <v>487</v>
      </c>
      <c r="M17" s="4">
        <f>SUM(M62:M95)</f>
        <v>382605.95</v>
      </c>
      <c r="N17" s="4"/>
      <c r="O17" s="213">
        <f>+N17+M17</f>
        <v>382605.95</v>
      </c>
      <c r="P17" s="4">
        <f>SUM(P62:P95)</f>
        <v>248693.86750000005</v>
      </c>
      <c r="Q17" s="4"/>
      <c r="R17" s="213">
        <f>+Q17+P17</f>
        <v>248693.86750000005</v>
      </c>
      <c r="S17" s="5">
        <f t="shared" si="6"/>
        <v>93260.20031250002</v>
      </c>
      <c r="T17" s="5">
        <f t="shared" si="7"/>
        <v>155433.66718750005</v>
      </c>
    </row>
    <row r="18" spans="1:20" s="1" customFormat="1" ht="11.25">
      <c r="A18" s="434"/>
      <c r="B18" s="435"/>
      <c r="C18" s="43"/>
      <c r="D18" s="156"/>
      <c r="E18" s="156"/>
      <c r="F18" s="44"/>
      <c r="G18" s="44"/>
      <c r="H18" s="44"/>
      <c r="I18" s="170"/>
      <c r="J18" s="44"/>
      <c r="K18" s="45"/>
      <c r="L18" s="191" t="s">
        <v>13</v>
      </c>
      <c r="M18" s="6">
        <f>M11-M12-M13-M14-M15-M16-M17</f>
        <v>-21146.66499999998</v>
      </c>
      <c r="N18" s="6"/>
      <c r="O18" s="214"/>
      <c r="P18" s="6"/>
      <c r="Q18" s="6"/>
      <c r="R18" s="214"/>
      <c r="S18" s="33">
        <f t="shared" si="6"/>
        <v>0</v>
      </c>
      <c r="T18" s="33">
        <f t="shared" si="7"/>
        <v>0</v>
      </c>
    </row>
    <row r="19" spans="1:20" ht="33.75">
      <c r="A19" s="7" t="s">
        <v>14</v>
      </c>
      <c r="B19" s="7" t="s">
        <v>11</v>
      </c>
      <c r="C19" s="32" t="s">
        <v>24</v>
      </c>
      <c r="D19" s="32" t="s">
        <v>20</v>
      </c>
      <c r="E19" s="38" t="s">
        <v>2</v>
      </c>
      <c r="F19" s="32" t="s">
        <v>19</v>
      </c>
      <c r="G19" s="32" t="s">
        <v>18</v>
      </c>
      <c r="H19" s="38" t="s">
        <v>17</v>
      </c>
      <c r="I19" s="38" t="s">
        <v>16</v>
      </c>
      <c r="J19" s="32" t="s">
        <v>3</v>
      </c>
      <c r="K19" s="32" t="s">
        <v>4</v>
      </c>
      <c r="L19" s="192" t="s">
        <v>5</v>
      </c>
      <c r="M19" s="7" t="s">
        <v>21</v>
      </c>
      <c r="N19" s="7" t="s">
        <v>119</v>
      </c>
      <c r="O19" s="192" t="s">
        <v>122</v>
      </c>
      <c r="P19" s="7" t="s">
        <v>22</v>
      </c>
      <c r="Q19" s="25" t="s">
        <v>120</v>
      </c>
      <c r="R19" s="204" t="s">
        <v>121</v>
      </c>
      <c r="S19" s="464" t="s">
        <v>27</v>
      </c>
      <c r="T19" s="464"/>
    </row>
    <row r="20" spans="1:20" s="86" customFormat="1" ht="33.75">
      <c r="A20" s="52" t="s">
        <v>15</v>
      </c>
      <c r="B20" s="8">
        <v>1</v>
      </c>
      <c r="C20" s="9" t="s">
        <v>49</v>
      </c>
      <c r="D20" s="15" t="s">
        <v>50</v>
      </c>
      <c r="E20" s="15" t="s">
        <v>123</v>
      </c>
      <c r="F20" s="9"/>
      <c r="G20" s="11"/>
      <c r="H20" s="11"/>
      <c r="I20" s="19"/>
      <c r="J20" s="85">
        <v>5917.06</v>
      </c>
      <c r="K20" s="85"/>
      <c r="L20" s="193">
        <f>SUM(J20:K20)</f>
        <v>5917.06</v>
      </c>
      <c r="M20" s="85">
        <f>J20</f>
        <v>5917.06</v>
      </c>
      <c r="N20" s="85"/>
      <c r="O20" s="193">
        <f aca="true" t="shared" si="8" ref="O20:O26">SUM(M20:N20)</f>
        <v>5917.06</v>
      </c>
      <c r="P20" s="85">
        <f aca="true" t="shared" si="9" ref="P20:P40">O20*0.65</f>
        <v>3846.0890000000004</v>
      </c>
      <c r="Q20" s="85"/>
      <c r="R20" s="193">
        <f aca="true" t="shared" si="10" ref="R20:R27">SUM(P20:Q20)</f>
        <v>3846.0890000000004</v>
      </c>
      <c r="S20" s="417"/>
      <c r="T20" s="417"/>
    </row>
    <row r="21" spans="1:20" s="86" customFormat="1" ht="25.5" customHeight="1">
      <c r="A21" s="52" t="s">
        <v>15</v>
      </c>
      <c r="B21" s="8">
        <v>1</v>
      </c>
      <c r="C21" s="9" t="s">
        <v>52</v>
      </c>
      <c r="D21" s="15" t="s">
        <v>53</v>
      </c>
      <c r="E21" s="15" t="s">
        <v>123</v>
      </c>
      <c r="F21" s="9"/>
      <c r="G21" s="11"/>
      <c r="H21" s="11"/>
      <c r="I21" s="19"/>
      <c r="J21" s="85">
        <v>6957.14</v>
      </c>
      <c r="K21" s="85"/>
      <c r="L21" s="193">
        <f aca="true" t="shared" si="11" ref="L21:L34">SUM(J21:K21)</f>
        <v>6957.14</v>
      </c>
      <c r="M21" s="85">
        <f>36.87*123+1251.06+494+494</f>
        <v>6774.07</v>
      </c>
      <c r="N21" s="104"/>
      <c r="O21" s="193">
        <f t="shared" si="8"/>
        <v>6774.07</v>
      </c>
      <c r="P21" s="85">
        <f t="shared" si="9"/>
        <v>4403.1455</v>
      </c>
      <c r="Q21" s="85"/>
      <c r="R21" s="193">
        <f t="shared" si="10"/>
        <v>4403.1455</v>
      </c>
      <c r="S21" s="417"/>
      <c r="T21" s="417"/>
    </row>
    <row r="22" spans="1:20" s="86" customFormat="1" ht="33.75">
      <c r="A22" s="52" t="s">
        <v>15</v>
      </c>
      <c r="B22" s="8"/>
      <c r="C22" s="9" t="s">
        <v>58</v>
      </c>
      <c r="D22" s="15" t="s">
        <v>59</v>
      </c>
      <c r="E22" s="15" t="s">
        <v>123</v>
      </c>
      <c r="F22" s="9"/>
      <c r="G22" s="11"/>
      <c r="H22" s="11"/>
      <c r="I22" s="19"/>
      <c r="J22" s="85">
        <v>6081.94</v>
      </c>
      <c r="K22" s="85"/>
      <c r="L22" s="193">
        <f t="shared" si="11"/>
        <v>6081.94</v>
      </c>
      <c r="M22" s="85">
        <f>J22</f>
        <v>6081.94</v>
      </c>
      <c r="N22" s="104"/>
      <c r="O22" s="193">
        <f t="shared" si="8"/>
        <v>6081.94</v>
      </c>
      <c r="P22" s="85">
        <f t="shared" si="9"/>
        <v>3953.261</v>
      </c>
      <c r="Q22" s="85"/>
      <c r="R22" s="193">
        <f t="shared" si="10"/>
        <v>3953.261</v>
      </c>
      <c r="S22" s="417"/>
      <c r="T22" s="417"/>
    </row>
    <row r="23" spans="1:20" s="86" customFormat="1" ht="11.25">
      <c r="A23" s="52" t="s">
        <v>15</v>
      </c>
      <c r="B23" s="8"/>
      <c r="C23" s="9" t="s">
        <v>66</v>
      </c>
      <c r="D23" s="15" t="s">
        <v>67</v>
      </c>
      <c r="E23" s="15" t="s">
        <v>123</v>
      </c>
      <c r="F23" s="9"/>
      <c r="G23" s="11"/>
      <c r="H23" s="11"/>
      <c r="I23" s="19"/>
      <c r="J23" s="85">
        <v>5210.43</v>
      </c>
      <c r="K23" s="85"/>
      <c r="L23" s="193">
        <f t="shared" si="11"/>
        <v>5210.43</v>
      </c>
      <c r="M23" s="85">
        <f>J23</f>
        <v>5210.43</v>
      </c>
      <c r="N23" s="85"/>
      <c r="O23" s="193">
        <f t="shared" si="8"/>
        <v>5210.43</v>
      </c>
      <c r="P23" s="85">
        <f t="shared" si="9"/>
        <v>3386.7795</v>
      </c>
      <c r="Q23" s="77">
        <f>N23*0.65</f>
        <v>0</v>
      </c>
      <c r="R23" s="193">
        <f t="shared" si="10"/>
        <v>3386.7795</v>
      </c>
      <c r="S23" s="417"/>
      <c r="T23" s="417"/>
    </row>
    <row r="24" spans="1:20" s="86" customFormat="1" ht="45">
      <c r="A24" s="52" t="s">
        <v>15</v>
      </c>
      <c r="B24" s="8">
        <v>1</v>
      </c>
      <c r="C24" s="105" t="s">
        <v>78</v>
      </c>
      <c r="D24" s="15" t="s">
        <v>79</v>
      </c>
      <c r="E24" s="15" t="s">
        <v>123</v>
      </c>
      <c r="F24" s="9"/>
      <c r="G24" s="11"/>
      <c r="H24" s="11"/>
      <c r="I24" s="19"/>
      <c r="J24" s="85">
        <v>6694.92</v>
      </c>
      <c r="K24" s="85"/>
      <c r="L24" s="193">
        <f t="shared" si="11"/>
        <v>6694.92</v>
      </c>
      <c r="M24" s="85">
        <f>J24</f>
        <v>6694.92</v>
      </c>
      <c r="N24" s="104"/>
      <c r="O24" s="193">
        <f t="shared" si="8"/>
        <v>6694.92</v>
      </c>
      <c r="P24" s="85">
        <f t="shared" si="9"/>
        <v>4351.698</v>
      </c>
      <c r="Q24" s="85"/>
      <c r="R24" s="193">
        <f t="shared" si="10"/>
        <v>4351.698</v>
      </c>
      <c r="S24" s="417"/>
      <c r="T24" s="417"/>
    </row>
    <row r="25" spans="1:20" s="86" customFormat="1" ht="33.75">
      <c r="A25" s="52" t="s">
        <v>15</v>
      </c>
      <c r="B25" s="8">
        <v>1</v>
      </c>
      <c r="C25" s="9" t="s">
        <v>108</v>
      </c>
      <c r="D25" s="15" t="s">
        <v>148</v>
      </c>
      <c r="E25" s="15" t="s">
        <v>123</v>
      </c>
      <c r="F25" s="9"/>
      <c r="G25" s="11"/>
      <c r="H25" s="11"/>
      <c r="I25" s="19"/>
      <c r="J25" s="85">
        <v>5521.54</v>
      </c>
      <c r="K25" s="85"/>
      <c r="L25" s="193">
        <f t="shared" si="11"/>
        <v>5521.54</v>
      </c>
      <c r="M25" s="85">
        <f>J25</f>
        <v>5521.54</v>
      </c>
      <c r="N25" s="104"/>
      <c r="O25" s="193">
        <f t="shared" si="8"/>
        <v>5521.54</v>
      </c>
      <c r="P25" s="85">
        <f t="shared" si="9"/>
        <v>3589.001</v>
      </c>
      <c r="Q25" s="85">
        <f>N25*0.65</f>
        <v>0</v>
      </c>
      <c r="R25" s="193">
        <f t="shared" si="10"/>
        <v>3589.001</v>
      </c>
      <c r="S25" s="417"/>
      <c r="T25" s="417"/>
    </row>
    <row r="26" spans="1:20" ht="33" customHeight="1">
      <c r="A26" s="52" t="s">
        <v>15</v>
      </c>
      <c r="B26" s="8"/>
      <c r="C26" s="15" t="s">
        <v>131</v>
      </c>
      <c r="D26" s="15"/>
      <c r="E26" s="15"/>
      <c r="F26" s="9"/>
      <c r="G26" s="10"/>
      <c r="H26" s="11"/>
      <c r="I26" s="19"/>
      <c r="J26" s="12">
        <v>12839.25</v>
      </c>
      <c r="K26" s="12"/>
      <c r="L26" s="194">
        <f t="shared" si="11"/>
        <v>12839.25</v>
      </c>
      <c r="M26" s="29">
        <v>0</v>
      </c>
      <c r="N26" s="29"/>
      <c r="O26" s="193">
        <f t="shared" si="8"/>
        <v>0</v>
      </c>
      <c r="P26" s="85">
        <f t="shared" si="9"/>
        <v>0</v>
      </c>
      <c r="Q26" s="12"/>
      <c r="R26" s="193">
        <f t="shared" si="10"/>
        <v>0</v>
      </c>
      <c r="S26" s="417" t="s">
        <v>152</v>
      </c>
      <c r="T26" s="417"/>
    </row>
    <row r="27" spans="1:20" ht="33" customHeight="1">
      <c r="A27" s="52" t="s">
        <v>155</v>
      </c>
      <c r="B27" s="8"/>
      <c r="C27" s="15" t="s">
        <v>42</v>
      </c>
      <c r="D27" s="17" t="s">
        <v>156</v>
      </c>
      <c r="E27" s="187"/>
      <c r="F27" s="9"/>
      <c r="G27" s="10"/>
      <c r="H27" s="11"/>
      <c r="I27" s="19"/>
      <c r="J27" s="12">
        <v>2920.24</v>
      </c>
      <c r="K27" s="12"/>
      <c r="L27" s="194">
        <f t="shared" si="11"/>
        <v>2920.24</v>
      </c>
      <c r="M27" s="12">
        <v>2920.24</v>
      </c>
      <c r="N27" s="29"/>
      <c r="O27" s="193">
        <f>+N27+M27</f>
        <v>2920.24</v>
      </c>
      <c r="P27" s="85">
        <f t="shared" si="9"/>
        <v>1898.156</v>
      </c>
      <c r="Q27" s="101"/>
      <c r="R27" s="220">
        <f t="shared" si="10"/>
        <v>1898.156</v>
      </c>
      <c r="S27" s="417"/>
      <c r="T27" s="417"/>
    </row>
    <row r="28" spans="1:20" ht="33" customHeight="1">
      <c r="A28" s="52" t="s">
        <v>155</v>
      </c>
      <c r="B28" s="8"/>
      <c r="C28" s="15" t="s">
        <v>157</v>
      </c>
      <c r="D28" s="15" t="s">
        <v>158</v>
      </c>
      <c r="E28" s="15"/>
      <c r="F28" s="9"/>
      <c r="G28" s="10"/>
      <c r="H28" s="11"/>
      <c r="I28" s="19"/>
      <c r="J28" s="12">
        <v>18429.07</v>
      </c>
      <c r="K28" s="12"/>
      <c r="L28" s="194">
        <f t="shared" si="11"/>
        <v>18429.07</v>
      </c>
      <c r="M28" s="12">
        <v>18429.07</v>
      </c>
      <c r="N28" s="29"/>
      <c r="O28" s="193">
        <f aca="true" t="shared" si="12" ref="O28:O34">+N28+M28</f>
        <v>18429.07</v>
      </c>
      <c r="P28" s="85">
        <f t="shared" si="9"/>
        <v>11978.8955</v>
      </c>
      <c r="Q28" s="101"/>
      <c r="R28" s="220">
        <f aca="true" t="shared" si="13" ref="R28:R36">SUM(P28:Q28)</f>
        <v>11978.8955</v>
      </c>
      <c r="S28" s="417"/>
      <c r="T28" s="417"/>
    </row>
    <row r="29" spans="1:20" ht="33" customHeight="1">
      <c r="A29" s="52" t="s">
        <v>155</v>
      </c>
      <c r="B29" s="8"/>
      <c r="C29" s="15" t="s">
        <v>49</v>
      </c>
      <c r="D29" s="15" t="s">
        <v>50</v>
      </c>
      <c r="E29" s="15"/>
      <c r="F29" s="9"/>
      <c r="G29" s="10"/>
      <c r="H29" s="11"/>
      <c r="I29" s="19"/>
      <c r="J29" s="12">
        <v>7843.06</v>
      </c>
      <c r="K29" s="12"/>
      <c r="L29" s="194">
        <f t="shared" si="11"/>
        <v>7843.06</v>
      </c>
      <c r="M29" s="12">
        <v>7843.06</v>
      </c>
      <c r="N29" s="29"/>
      <c r="O29" s="193">
        <f t="shared" si="12"/>
        <v>7843.06</v>
      </c>
      <c r="P29" s="85">
        <f t="shared" si="9"/>
        <v>5097.9890000000005</v>
      </c>
      <c r="Q29" s="101"/>
      <c r="R29" s="220">
        <f t="shared" si="13"/>
        <v>5097.9890000000005</v>
      </c>
      <c r="S29" s="417"/>
      <c r="T29" s="417"/>
    </row>
    <row r="30" spans="1:20" ht="33" customHeight="1">
      <c r="A30" s="52" t="s">
        <v>155</v>
      </c>
      <c r="B30" s="8"/>
      <c r="C30" s="9" t="s">
        <v>66</v>
      </c>
      <c r="D30" s="15" t="s">
        <v>159</v>
      </c>
      <c r="E30" s="15"/>
      <c r="F30" s="9"/>
      <c r="G30" s="10"/>
      <c r="H30" s="11"/>
      <c r="I30" s="19"/>
      <c r="J30" s="12">
        <v>34894.21</v>
      </c>
      <c r="K30" s="12"/>
      <c r="L30" s="194">
        <f t="shared" si="11"/>
        <v>34894.21</v>
      </c>
      <c r="M30" s="12">
        <v>34894.21</v>
      </c>
      <c r="N30" s="29"/>
      <c r="O30" s="193">
        <f t="shared" si="12"/>
        <v>34894.21</v>
      </c>
      <c r="P30" s="85">
        <f t="shared" si="9"/>
        <v>22681.2365</v>
      </c>
      <c r="Q30" s="101"/>
      <c r="R30" s="220">
        <f t="shared" si="13"/>
        <v>22681.2365</v>
      </c>
      <c r="S30" s="417"/>
      <c r="T30" s="417"/>
    </row>
    <row r="31" spans="1:20" ht="45">
      <c r="A31" s="52" t="s">
        <v>155</v>
      </c>
      <c r="B31" s="8"/>
      <c r="C31" s="9" t="s">
        <v>58</v>
      </c>
      <c r="D31" s="15" t="s">
        <v>160</v>
      </c>
      <c r="E31" s="15"/>
      <c r="F31" s="9"/>
      <c r="G31" s="10"/>
      <c r="H31" s="11"/>
      <c r="I31" s="19"/>
      <c r="J31" s="12">
        <v>15316.27</v>
      </c>
      <c r="K31" s="12"/>
      <c r="L31" s="194">
        <f t="shared" si="11"/>
        <v>15316.27</v>
      </c>
      <c r="M31" s="12">
        <v>15316.27</v>
      </c>
      <c r="N31" s="29"/>
      <c r="O31" s="193">
        <f t="shared" si="12"/>
        <v>15316.27</v>
      </c>
      <c r="P31" s="85">
        <f t="shared" si="9"/>
        <v>9955.5755</v>
      </c>
      <c r="Q31" s="101"/>
      <c r="R31" s="220">
        <f t="shared" si="13"/>
        <v>9955.5755</v>
      </c>
      <c r="S31" s="417"/>
      <c r="T31" s="417"/>
    </row>
    <row r="32" spans="1:20" ht="16.5" customHeight="1">
      <c r="A32" s="53" t="s">
        <v>155</v>
      </c>
      <c r="B32" s="8"/>
      <c r="C32" s="105" t="s">
        <v>78</v>
      </c>
      <c r="D32" s="15" t="s">
        <v>161</v>
      </c>
      <c r="E32" s="15"/>
      <c r="F32" s="9"/>
      <c r="G32" s="10"/>
      <c r="H32" s="11"/>
      <c r="I32" s="19"/>
      <c r="J32" s="12">
        <v>19413.5</v>
      </c>
      <c r="K32" s="12"/>
      <c r="L32" s="194">
        <f t="shared" si="11"/>
        <v>19413.5</v>
      </c>
      <c r="M32" s="12">
        <v>19413.5</v>
      </c>
      <c r="N32" s="12"/>
      <c r="O32" s="193">
        <f t="shared" si="12"/>
        <v>19413.5</v>
      </c>
      <c r="P32" s="85">
        <f t="shared" si="9"/>
        <v>12618.775</v>
      </c>
      <c r="Q32" s="101"/>
      <c r="R32" s="220">
        <f t="shared" si="13"/>
        <v>12618.775</v>
      </c>
      <c r="S32" s="417"/>
      <c r="T32" s="417"/>
    </row>
    <row r="33" spans="1:20" ht="33.75">
      <c r="A33" s="53" t="s">
        <v>155</v>
      </c>
      <c r="B33" s="8"/>
      <c r="C33" s="15" t="s">
        <v>108</v>
      </c>
      <c r="D33" s="15" t="s">
        <v>148</v>
      </c>
      <c r="E33" s="15"/>
      <c r="F33" s="9"/>
      <c r="G33" s="10"/>
      <c r="H33" s="11"/>
      <c r="I33" s="19"/>
      <c r="J33" s="12">
        <v>9243.285</v>
      </c>
      <c r="K33" s="12"/>
      <c r="L33" s="194">
        <f t="shared" si="11"/>
        <v>9243.285</v>
      </c>
      <c r="M33" s="12">
        <v>9243.285</v>
      </c>
      <c r="N33" s="12"/>
      <c r="O33" s="193">
        <f t="shared" si="12"/>
        <v>9243.285</v>
      </c>
      <c r="P33" s="85">
        <f t="shared" si="9"/>
        <v>6008.13525</v>
      </c>
      <c r="Q33" s="101"/>
      <c r="R33" s="220">
        <f t="shared" si="13"/>
        <v>6008.13525</v>
      </c>
      <c r="S33" s="417"/>
      <c r="T33" s="417"/>
    </row>
    <row r="34" spans="1:20" ht="27.75" customHeight="1">
      <c r="A34" s="53" t="s">
        <v>155</v>
      </c>
      <c r="B34" s="8"/>
      <c r="C34" s="9" t="s">
        <v>162</v>
      </c>
      <c r="D34" s="15" t="s">
        <v>163</v>
      </c>
      <c r="E34" s="15"/>
      <c r="F34" s="9"/>
      <c r="G34" s="10"/>
      <c r="H34" s="11"/>
      <c r="I34" s="19"/>
      <c r="J34" s="12">
        <v>2997.78</v>
      </c>
      <c r="K34" s="12"/>
      <c r="L34" s="194">
        <f t="shared" si="11"/>
        <v>2997.78</v>
      </c>
      <c r="M34" s="12"/>
      <c r="N34" s="12"/>
      <c r="O34" s="193">
        <f t="shared" si="12"/>
        <v>0</v>
      </c>
      <c r="P34" s="85">
        <f t="shared" si="9"/>
        <v>0</v>
      </c>
      <c r="Q34" s="101"/>
      <c r="R34" s="220">
        <f t="shared" si="13"/>
        <v>0</v>
      </c>
      <c r="S34" s="417" t="s">
        <v>304</v>
      </c>
      <c r="T34" s="417"/>
    </row>
    <row r="35" spans="1:20" ht="27.75" customHeight="1">
      <c r="A35" s="53" t="s">
        <v>308</v>
      </c>
      <c r="B35" s="8"/>
      <c r="C35" s="15" t="s">
        <v>42</v>
      </c>
      <c r="D35" s="17" t="s">
        <v>156</v>
      </c>
      <c r="E35" s="15"/>
      <c r="F35" s="9"/>
      <c r="G35" s="10"/>
      <c r="H35" s="11"/>
      <c r="I35" s="19"/>
      <c r="J35" s="12">
        <v>5847.4</v>
      </c>
      <c r="K35" s="12"/>
      <c r="L35" s="194">
        <f>+J35+K35</f>
        <v>5847.4</v>
      </c>
      <c r="M35" s="12">
        <f>8.44*346+8.46*346</f>
        <v>5847.4</v>
      </c>
      <c r="N35" s="12"/>
      <c r="O35" s="193">
        <f aca="true" t="shared" si="14" ref="O35:O48">+N35+M35</f>
        <v>5847.4</v>
      </c>
      <c r="P35" s="85">
        <f t="shared" si="9"/>
        <v>3800.81</v>
      </c>
      <c r="Q35" s="101"/>
      <c r="R35" s="220">
        <f t="shared" si="13"/>
        <v>3800.81</v>
      </c>
      <c r="S35" s="389"/>
      <c r="T35" s="390"/>
    </row>
    <row r="36" spans="1:20" ht="27.75" customHeight="1">
      <c r="A36" s="53" t="s">
        <v>308</v>
      </c>
      <c r="B36" s="8"/>
      <c r="C36" s="15" t="s">
        <v>42</v>
      </c>
      <c r="D36" s="17" t="s">
        <v>156</v>
      </c>
      <c r="E36" s="15"/>
      <c r="F36" s="9"/>
      <c r="G36" s="10"/>
      <c r="H36" s="11"/>
      <c r="I36" s="19"/>
      <c r="J36" s="12">
        <v>5854.32</v>
      </c>
      <c r="K36" s="12"/>
      <c r="L36" s="194">
        <f>+J36+K36</f>
        <v>5854.32</v>
      </c>
      <c r="M36" s="12">
        <f>8.46*692</f>
        <v>5854.320000000001</v>
      </c>
      <c r="N36" s="12"/>
      <c r="O36" s="193">
        <f t="shared" si="14"/>
        <v>5854.320000000001</v>
      </c>
      <c r="P36" s="85">
        <f t="shared" si="9"/>
        <v>3805.3080000000004</v>
      </c>
      <c r="Q36" s="101"/>
      <c r="R36" s="220">
        <f t="shared" si="13"/>
        <v>3805.3080000000004</v>
      </c>
      <c r="S36" s="389"/>
      <c r="T36" s="390"/>
    </row>
    <row r="37" spans="1:20" ht="27.75" customHeight="1">
      <c r="A37" s="53" t="s">
        <v>308</v>
      </c>
      <c r="B37" s="8"/>
      <c r="C37" s="9" t="s">
        <v>66</v>
      </c>
      <c r="D37" s="15" t="s">
        <v>309</v>
      </c>
      <c r="E37" s="15"/>
      <c r="F37" s="9"/>
      <c r="G37" s="10"/>
      <c r="H37" s="11"/>
      <c r="I37" s="19"/>
      <c r="J37" s="12">
        <v>5835.4</v>
      </c>
      <c r="K37" s="12"/>
      <c r="L37" s="194">
        <f aca="true" t="shared" si="15" ref="L37:L47">+K37+J37</f>
        <v>5835.4</v>
      </c>
      <c r="M37" s="12">
        <f>18.19*160+22.5*130</f>
        <v>5835.4</v>
      </c>
      <c r="N37" s="12"/>
      <c r="O37" s="193">
        <f t="shared" si="14"/>
        <v>5835.4</v>
      </c>
      <c r="P37" s="85">
        <f t="shared" si="9"/>
        <v>3793.0099999999998</v>
      </c>
      <c r="Q37" s="101"/>
      <c r="R37" s="220">
        <f>SUM(P37:Q37)</f>
        <v>3793.0099999999998</v>
      </c>
      <c r="S37" s="389"/>
      <c r="T37" s="390"/>
    </row>
    <row r="38" spans="1:20" ht="27.75" customHeight="1">
      <c r="A38" s="53" t="s">
        <v>308</v>
      </c>
      <c r="B38" s="8"/>
      <c r="C38" s="9" t="s">
        <v>66</v>
      </c>
      <c r="D38" s="15" t="s">
        <v>309</v>
      </c>
      <c r="E38" s="15"/>
      <c r="F38" s="9"/>
      <c r="G38" s="10"/>
      <c r="H38" s="11"/>
      <c r="I38" s="19"/>
      <c r="J38" s="12">
        <v>14593.48</v>
      </c>
      <c r="K38" s="12"/>
      <c r="L38" s="194">
        <f t="shared" si="15"/>
        <v>14593.48</v>
      </c>
      <c r="M38" s="12">
        <f>18.14*482+22.5*260</f>
        <v>14593.48</v>
      </c>
      <c r="N38" s="12"/>
      <c r="O38" s="193">
        <f t="shared" si="14"/>
        <v>14593.48</v>
      </c>
      <c r="P38" s="85">
        <f t="shared" si="9"/>
        <v>9485.762</v>
      </c>
      <c r="Q38" s="101"/>
      <c r="R38" s="220">
        <f>SUM(P38:Q38)</f>
        <v>9485.762</v>
      </c>
      <c r="S38" s="306"/>
      <c r="T38" s="307"/>
    </row>
    <row r="39" spans="1:20" ht="27.75" customHeight="1">
      <c r="A39" s="53" t="s">
        <v>308</v>
      </c>
      <c r="B39" s="8"/>
      <c r="C39" s="15" t="s">
        <v>157</v>
      </c>
      <c r="D39" s="15" t="s">
        <v>158</v>
      </c>
      <c r="E39" s="15"/>
      <c r="F39" s="9"/>
      <c r="G39" s="10"/>
      <c r="H39" s="11"/>
      <c r="I39" s="19"/>
      <c r="J39" s="12">
        <v>9949.05</v>
      </c>
      <c r="K39" s="12"/>
      <c r="L39" s="194">
        <f t="shared" si="15"/>
        <v>9949.05</v>
      </c>
      <c r="M39" s="12">
        <v>9949.05</v>
      </c>
      <c r="N39" s="12"/>
      <c r="O39" s="193">
        <f t="shared" si="14"/>
        <v>9949.05</v>
      </c>
      <c r="P39" s="85">
        <f t="shared" si="9"/>
        <v>6466.8825</v>
      </c>
      <c r="Q39" s="101"/>
      <c r="R39" s="220">
        <f>SUM(P39:Q39)</f>
        <v>6466.8825</v>
      </c>
      <c r="S39" s="389"/>
      <c r="T39" s="390"/>
    </row>
    <row r="40" spans="1:20" ht="27.75" customHeight="1">
      <c r="A40" s="53" t="s">
        <v>308</v>
      </c>
      <c r="B40" s="8"/>
      <c r="C40" s="15" t="s">
        <v>157</v>
      </c>
      <c r="D40" s="15" t="s">
        <v>158</v>
      </c>
      <c r="E40" s="15"/>
      <c r="F40" s="9"/>
      <c r="G40" s="10"/>
      <c r="H40" s="11"/>
      <c r="I40" s="19"/>
      <c r="J40" s="12">
        <v>10643.14</v>
      </c>
      <c r="K40" s="12"/>
      <c r="L40" s="194">
        <f t="shared" si="15"/>
        <v>10643.14</v>
      </c>
      <c r="M40" s="12">
        <v>10643.14</v>
      </c>
      <c r="N40" s="12"/>
      <c r="O40" s="193">
        <f t="shared" si="14"/>
        <v>10643.14</v>
      </c>
      <c r="P40" s="85">
        <f t="shared" si="9"/>
        <v>6918.041</v>
      </c>
      <c r="Q40" s="101"/>
      <c r="R40" s="220">
        <f>SUM(P40:Q40)</f>
        <v>6918.041</v>
      </c>
      <c r="S40" s="306"/>
      <c r="T40" s="307"/>
    </row>
    <row r="41" spans="1:20" ht="45">
      <c r="A41" s="53" t="s">
        <v>308</v>
      </c>
      <c r="B41" s="8"/>
      <c r="C41" s="9" t="s">
        <v>64</v>
      </c>
      <c r="D41" s="15" t="s">
        <v>160</v>
      </c>
      <c r="E41" s="15"/>
      <c r="F41" s="9"/>
      <c r="G41" s="10"/>
      <c r="H41" s="11"/>
      <c r="I41" s="19"/>
      <c r="J41" s="12">
        <v>9102.94</v>
      </c>
      <c r="K41" s="12"/>
      <c r="L41" s="194">
        <f t="shared" si="15"/>
        <v>9102.94</v>
      </c>
      <c r="M41" s="12">
        <v>9102.94</v>
      </c>
      <c r="N41" s="12"/>
      <c r="O41" s="193">
        <f t="shared" si="14"/>
        <v>9102.94</v>
      </c>
      <c r="P41" s="85">
        <f aca="true" t="shared" si="16" ref="P41:P48">+M41*0.65</f>
        <v>5916.911000000001</v>
      </c>
      <c r="Q41" s="101"/>
      <c r="R41" s="220">
        <f aca="true" t="shared" si="17" ref="R41:R48">+Q41+P41</f>
        <v>5916.911000000001</v>
      </c>
      <c r="S41" s="389"/>
      <c r="T41" s="390"/>
    </row>
    <row r="42" spans="1:20" ht="45">
      <c r="A42" s="53" t="s">
        <v>308</v>
      </c>
      <c r="B42" s="8"/>
      <c r="C42" s="9" t="s">
        <v>64</v>
      </c>
      <c r="D42" s="15" t="s">
        <v>160</v>
      </c>
      <c r="E42" s="15"/>
      <c r="F42" s="9"/>
      <c r="G42" s="10"/>
      <c r="H42" s="11"/>
      <c r="I42" s="19"/>
      <c r="J42" s="12">
        <v>9003.96</v>
      </c>
      <c r="K42" s="12"/>
      <c r="L42" s="194">
        <f t="shared" si="15"/>
        <v>9003.96</v>
      </c>
      <c r="M42" s="12">
        <v>9003.96</v>
      </c>
      <c r="N42" s="12"/>
      <c r="O42" s="193">
        <f t="shared" si="14"/>
        <v>9003.96</v>
      </c>
      <c r="P42" s="85">
        <f t="shared" si="16"/>
        <v>5852.574</v>
      </c>
      <c r="Q42" s="101"/>
      <c r="R42" s="220">
        <f t="shared" si="17"/>
        <v>5852.574</v>
      </c>
      <c r="S42" s="306"/>
      <c r="T42" s="307"/>
    </row>
    <row r="43" spans="1:20" ht="33.75">
      <c r="A43" s="53" t="s">
        <v>308</v>
      </c>
      <c r="B43" s="8"/>
      <c r="C43" s="15" t="s">
        <v>108</v>
      </c>
      <c r="D43" s="15" t="s">
        <v>148</v>
      </c>
      <c r="E43" s="15"/>
      <c r="F43" s="9"/>
      <c r="G43" s="10"/>
      <c r="H43" s="11"/>
      <c r="I43" s="19"/>
      <c r="J43" s="12">
        <v>5076.83</v>
      </c>
      <c r="K43" s="12"/>
      <c r="L43" s="194">
        <f t="shared" si="15"/>
        <v>5076.83</v>
      </c>
      <c r="M43" s="12">
        <f>56.93*27+24.34*14+15.46*14+56.93*44+24.34*12+15.46*12</f>
        <v>5076.83</v>
      </c>
      <c r="N43" s="12"/>
      <c r="O43" s="193">
        <f t="shared" si="14"/>
        <v>5076.83</v>
      </c>
      <c r="P43" s="85">
        <f t="shared" si="16"/>
        <v>3299.9395</v>
      </c>
      <c r="Q43" s="101"/>
      <c r="R43" s="220">
        <f t="shared" si="17"/>
        <v>3299.9395</v>
      </c>
      <c r="S43" s="389"/>
      <c r="T43" s="390"/>
    </row>
    <row r="44" spans="1:20" ht="33.75">
      <c r="A44" s="53" t="s">
        <v>308</v>
      </c>
      <c r="B44" s="8"/>
      <c r="C44" s="15" t="s">
        <v>108</v>
      </c>
      <c r="D44" s="15" t="s">
        <v>148</v>
      </c>
      <c r="E44" s="15"/>
      <c r="F44" s="9"/>
      <c r="G44" s="10"/>
      <c r="H44" s="11"/>
      <c r="I44" s="19"/>
      <c r="J44" s="12">
        <v>13132.16</v>
      </c>
      <c r="K44" s="12"/>
      <c r="L44" s="194">
        <f t="shared" si="15"/>
        <v>13132.16</v>
      </c>
      <c r="M44" s="12">
        <f>100*56.93+24.34*68+15.46*48+32.74*154</f>
        <v>13132.16</v>
      </c>
      <c r="N44" s="12"/>
      <c r="O44" s="193">
        <f t="shared" si="14"/>
        <v>13132.16</v>
      </c>
      <c r="P44" s="85">
        <f t="shared" si="16"/>
        <v>8535.904</v>
      </c>
      <c r="Q44" s="101"/>
      <c r="R44" s="220">
        <f t="shared" si="17"/>
        <v>8535.904</v>
      </c>
      <c r="S44" s="306"/>
      <c r="T44" s="307"/>
    </row>
    <row r="45" spans="1:20" ht="27.75" customHeight="1">
      <c r="A45" s="53" t="s">
        <v>308</v>
      </c>
      <c r="B45" s="8"/>
      <c r="C45" s="105" t="s">
        <v>78</v>
      </c>
      <c r="D45" s="15" t="s">
        <v>161</v>
      </c>
      <c r="E45" s="15"/>
      <c r="F45" s="9"/>
      <c r="G45" s="10"/>
      <c r="H45" s="11"/>
      <c r="I45" s="19"/>
      <c r="J45" s="12">
        <v>15215.61</v>
      </c>
      <c r="K45" s="12"/>
      <c r="L45" s="194">
        <f t="shared" si="15"/>
        <v>15215.61</v>
      </c>
      <c r="M45" s="12">
        <v>15215.61</v>
      </c>
      <c r="N45" s="12"/>
      <c r="O45" s="193">
        <f t="shared" si="14"/>
        <v>15215.61</v>
      </c>
      <c r="P45" s="85">
        <f t="shared" si="16"/>
        <v>9890.1465</v>
      </c>
      <c r="Q45" s="101"/>
      <c r="R45" s="220">
        <f t="shared" si="17"/>
        <v>9890.1465</v>
      </c>
      <c r="S45" s="389"/>
      <c r="T45" s="390"/>
    </row>
    <row r="46" spans="1:20" ht="27.75" customHeight="1">
      <c r="A46" s="53" t="s">
        <v>308</v>
      </c>
      <c r="B46" s="8"/>
      <c r="C46" s="105" t="s">
        <v>78</v>
      </c>
      <c r="D46" s="15" t="s">
        <v>161</v>
      </c>
      <c r="E46" s="15"/>
      <c r="F46" s="9"/>
      <c r="G46" s="10"/>
      <c r="H46" s="11"/>
      <c r="I46" s="19"/>
      <c r="J46" s="12">
        <v>16789.27</v>
      </c>
      <c r="K46" s="12"/>
      <c r="L46" s="194">
        <f t="shared" si="15"/>
        <v>16789.27</v>
      </c>
      <c r="M46" s="12">
        <v>16789.27</v>
      </c>
      <c r="N46" s="12"/>
      <c r="O46" s="193">
        <f t="shared" si="14"/>
        <v>16789.27</v>
      </c>
      <c r="P46" s="85">
        <f t="shared" si="16"/>
        <v>10913.025500000002</v>
      </c>
      <c r="Q46" s="101"/>
      <c r="R46" s="220">
        <f t="shared" si="17"/>
        <v>10913.025500000002</v>
      </c>
      <c r="S46" s="389"/>
      <c r="T46" s="390"/>
    </row>
    <row r="47" spans="1:20" ht="27.75" customHeight="1">
      <c r="A47" s="53" t="s">
        <v>308</v>
      </c>
      <c r="B47" s="8"/>
      <c r="C47" s="15" t="s">
        <v>49</v>
      </c>
      <c r="D47" s="15" t="s">
        <v>404</v>
      </c>
      <c r="E47" s="15"/>
      <c r="F47" s="9"/>
      <c r="G47" s="10"/>
      <c r="H47" s="11"/>
      <c r="I47" s="19"/>
      <c r="J47" s="12">
        <v>6934.31</v>
      </c>
      <c r="K47" s="12"/>
      <c r="L47" s="194">
        <f t="shared" si="15"/>
        <v>6934.31</v>
      </c>
      <c r="M47" s="12">
        <f>31.52*63+21.76*68+16.41*59+16.03*156</f>
        <v>6934.31</v>
      </c>
      <c r="N47" s="12"/>
      <c r="O47" s="193">
        <f t="shared" si="14"/>
        <v>6934.31</v>
      </c>
      <c r="P47" s="85">
        <f t="shared" si="16"/>
        <v>4507.3015000000005</v>
      </c>
      <c r="Q47" s="101"/>
      <c r="R47" s="220">
        <f t="shared" si="17"/>
        <v>4507.3015000000005</v>
      </c>
      <c r="S47" s="306"/>
      <c r="T47" s="307"/>
    </row>
    <row r="48" spans="1:20" ht="27.75" customHeight="1">
      <c r="A48" s="53" t="s">
        <v>308</v>
      </c>
      <c r="B48" s="8"/>
      <c r="C48" s="15" t="s">
        <v>49</v>
      </c>
      <c r="D48" s="15" t="s">
        <v>404</v>
      </c>
      <c r="E48" s="15"/>
      <c r="F48" s="9"/>
      <c r="G48" s="10"/>
      <c r="H48" s="11"/>
      <c r="I48" s="19"/>
      <c r="J48" s="12">
        <f>32.93*73+22.2*66+16.65*42+16.34*72</f>
        <v>5744.870000000001</v>
      </c>
      <c r="K48" s="12"/>
      <c r="L48" s="194">
        <f aca="true" t="shared" si="18" ref="L48:L53">+K48+J48</f>
        <v>5744.870000000001</v>
      </c>
      <c r="M48" s="12">
        <f>32.93*73+22.2*66+16.65*42+16.34*72</f>
        <v>5744.870000000001</v>
      </c>
      <c r="N48" s="12"/>
      <c r="O48" s="193">
        <f t="shared" si="14"/>
        <v>5744.870000000001</v>
      </c>
      <c r="P48" s="85">
        <f t="shared" si="16"/>
        <v>3734.1655000000005</v>
      </c>
      <c r="Q48" s="101"/>
      <c r="R48" s="220">
        <f t="shared" si="17"/>
        <v>3734.1655000000005</v>
      </c>
      <c r="S48" s="306"/>
      <c r="T48" s="307"/>
    </row>
    <row r="49" spans="1:20" ht="27.75" customHeight="1">
      <c r="A49" s="53" t="s">
        <v>415</v>
      </c>
      <c r="B49" s="8"/>
      <c r="C49" s="9" t="s">
        <v>66</v>
      </c>
      <c r="D49" s="15" t="s">
        <v>416</v>
      </c>
      <c r="E49" s="15"/>
      <c r="F49" s="9"/>
      <c r="G49" s="10"/>
      <c r="H49" s="11"/>
      <c r="I49" s="19"/>
      <c r="J49" s="12">
        <v>2774.88</v>
      </c>
      <c r="K49" s="12"/>
      <c r="L49" s="194">
        <f t="shared" si="18"/>
        <v>2774.88</v>
      </c>
      <c r="M49" s="12">
        <v>2774.88</v>
      </c>
      <c r="N49" s="12"/>
      <c r="O49" s="193">
        <f aca="true" t="shared" si="19" ref="O49:O55">+N49+M49</f>
        <v>2774.88</v>
      </c>
      <c r="P49" s="85">
        <f aca="true" t="shared" si="20" ref="P49:P55">+M49*0.65</f>
        <v>1803.672</v>
      </c>
      <c r="Q49" s="101"/>
      <c r="R49" s="220">
        <f aca="true" t="shared" si="21" ref="R49:R55">+Q49+P49</f>
        <v>1803.672</v>
      </c>
      <c r="S49" s="306"/>
      <c r="T49" s="307"/>
    </row>
    <row r="50" spans="1:20" ht="27.75" customHeight="1">
      <c r="A50" s="53" t="s">
        <v>415</v>
      </c>
      <c r="B50" s="8"/>
      <c r="C50" s="15" t="s">
        <v>157</v>
      </c>
      <c r="D50" s="15" t="s">
        <v>404</v>
      </c>
      <c r="E50" s="15"/>
      <c r="F50" s="9"/>
      <c r="G50" s="10"/>
      <c r="H50" s="11"/>
      <c r="I50" s="19"/>
      <c r="J50" s="12">
        <v>7558.79</v>
      </c>
      <c r="K50" s="12"/>
      <c r="L50" s="194">
        <f t="shared" si="18"/>
        <v>7558.79</v>
      </c>
      <c r="M50" s="12">
        <v>7558.79</v>
      </c>
      <c r="N50" s="12"/>
      <c r="O50" s="193">
        <f t="shared" si="19"/>
        <v>7558.79</v>
      </c>
      <c r="P50" s="85">
        <f t="shared" si="20"/>
        <v>4913.2135</v>
      </c>
      <c r="Q50" s="101"/>
      <c r="R50" s="220">
        <f t="shared" si="21"/>
        <v>4913.2135</v>
      </c>
      <c r="S50" s="306"/>
      <c r="T50" s="307"/>
    </row>
    <row r="51" spans="1:20" ht="27.75" customHeight="1">
      <c r="A51" s="53" t="s">
        <v>415</v>
      </c>
      <c r="B51" s="8"/>
      <c r="C51" s="9" t="s">
        <v>64</v>
      </c>
      <c r="D51" s="15" t="s">
        <v>420</v>
      </c>
      <c r="E51" s="15"/>
      <c r="F51" s="9"/>
      <c r="G51" s="10"/>
      <c r="H51" s="11"/>
      <c r="I51" s="19"/>
      <c r="J51" s="12">
        <v>6962.79</v>
      </c>
      <c r="K51" s="12"/>
      <c r="L51" s="194">
        <f t="shared" si="18"/>
        <v>6962.79</v>
      </c>
      <c r="M51" s="12">
        <v>6962.79</v>
      </c>
      <c r="N51" s="12"/>
      <c r="O51" s="193">
        <f t="shared" si="19"/>
        <v>6962.79</v>
      </c>
      <c r="P51" s="85">
        <f t="shared" si="20"/>
        <v>4525.8135</v>
      </c>
      <c r="Q51" s="101"/>
      <c r="R51" s="220">
        <f t="shared" si="21"/>
        <v>4525.8135</v>
      </c>
      <c r="S51" s="306"/>
      <c r="T51" s="307"/>
    </row>
    <row r="52" spans="1:20" ht="27.75" customHeight="1">
      <c r="A52" s="53" t="s">
        <v>415</v>
      </c>
      <c r="B52" s="8"/>
      <c r="C52" s="15" t="s">
        <v>108</v>
      </c>
      <c r="D52" s="15" t="s">
        <v>404</v>
      </c>
      <c r="E52" s="15"/>
      <c r="F52" s="9"/>
      <c r="G52" s="10"/>
      <c r="H52" s="11"/>
      <c r="I52" s="19"/>
      <c r="J52" s="12">
        <v>19193.56</v>
      </c>
      <c r="K52" s="12"/>
      <c r="L52" s="194">
        <f t="shared" si="18"/>
        <v>19193.56</v>
      </c>
      <c r="M52" s="12">
        <v>19193.56</v>
      </c>
      <c r="N52" s="12"/>
      <c r="O52" s="193">
        <f t="shared" si="19"/>
        <v>19193.56</v>
      </c>
      <c r="P52" s="85">
        <f t="shared" si="20"/>
        <v>12475.814000000002</v>
      </c>
      <c r="Q52" s="101"/>
      <c r="R52" s="220">
        <f t="shared" si="21"/>
        <v>12475.814000000002</v>
      </c>
      <c r="S52" s="306"/>
      <c r="T52" s="307"/>
    </row>
    <row r="53" spans="1:20" ht="27.75" customHeight="1">
      <c r="A53" s="53" t="s">
        <v>415</v>
      </c>
      <c r="B53" s="8"/>
      <c r="C53" s="15" t="s">
        <v>49</v>
      </c>
      <c r="D53" s="15" t="s">
        <v>404</v>
      </c>
      <c r="E53" s="15"/>
      <c r="F53" s="9"/>
      <c r="G53" s="10"/>
      <c r="H53" s="11"/>
      <c r="I53" s="19"/>
      <c r="J53" s="12">
        <v>5738.21</v>
      </c>
      <c r="K53" s="12"/>
      <c r="L53" s="194">
        <f t="shared" si="18"/>
        <v>5738.21</v>
      </c>
      <c r="M53" s="12">
        <f>33.17*67+22.35*78+16.72*48+16.44*59</f>
        <v>5738.21</v>
      </c>
      <c r="N53" s="12"/>
      <c r="O53" s="193">
        <f t="shared" si="19"/>
        <v>5738.21</v>
      </c>
      <c r="P53" s="85">
        <f t="shared" si="20"/>
        <v>3729.8365000000003</v>
      </c>
      <c r="Q53" s="101"/>
      <c r="R53" s="220">
        <f t="shared" si="21"/>
        <v>3729.8365000000003</v>
      </c>
      <c r="S53" s="306"/>
      <c r="T53" s="307"/>
    </row>
    <row r="54" spans="1:20" ht="27.75" customHeight="1">
      <c r="A54" s="53" t="s">
        <v>415</v>
      </c>
      <c r="B54" s="8"/>
      <c r="C54" s="15" t="s">
        <v>42</v>
      </c>
      <c r="D54" s="17" t="s">
        <v>436</v>
      </c>
      <c r="E54" s="15"/>
      <c r="F54" s="9"/>
      <c r="G54" s="10"/>
      <c r="H54" s="11"/>
      <c r="I54" s="19"/>
      <c r="J54" s="12">
        <v>12860.5295</v>
      </c>
      <c r="K54" s="12"/>
      <c r="L54" s="194">
        <f aca="true" t="shared" si="22" ref="L54:L75">+K54+J54</f>
        <v>12860.5295</v>
      </c>
      <c r="M54" s="12">
        <f>346*8.46+17.81*277+33.33*150</f>
        <v>12860.03</v>
      </c>
      <c r="N54" s="12"/>
      <c r="O54" s="193">
        <f t="shared" si="19"/>
        <v>12860.03</v>
      </c>
      <c r="P54" s="85">
        <f t="shared" si="20"/>
        <v>8359.0195</v>
      </c>
      <c r="Q54" s="101"/>
      <c r="R54" s="220">
        <f t="shared" si="21"/>
        <v>8359.0195</v>
      </c>
      <c r="S54" s="410"/>
      <c r="T54" s="405"/>
    </row>
    <row r="55" spans="1:20" ht="27.75" customHeight="1">
      <c r="A55" s="53" t="s">
        <v>415</v>
      </c>
      <c r="B55" s="8"/>
      <c r="C55" s="105" t="s">
        <v>78</v>
      </c>
      <c r="D55" s="15" t="s">
        <v>161</v>
      </c>
      <c r="E55" s="15"/>
      <c r="F55" s="9"/>
      <c r="G55" s="10"/>
      <c r="H55" s="11"/>
      <c r="I55" s="19"/>
      <c r="J55" s="12">
        <v>21691.07</v>
      </c>
      <c r="K55" s="12"/>
      <c r="L55" s="194">
        <f t="shared" si="22"/>
        <v>21691.07</v>
      </c>
      <c r="M55" s="12">
        <v>21691.07</v>
      </c>
      <c r="N55" s="12"/>
      <c r="O55" s="193">
        <f t="shared" si="19"/>
        <v>21691.07</v>
      </c>
      <c r="P55" s="85">
        <f t="shared" si="20"/>
        <v>14099.1955</v>
      </c>
      <c r="Q55" s="101"/>
      <c r="R55" s="220">
        <f t="shared" si="21"/>
        <v>14099.1955</v>
      </c>
      <c r="S55" s="306"/>
      <c r="T55" s="307"/>
    </row>
    <row r="56" spans="1:20" ht="27.75" customHeight="1">
      <c r="A56" s="53" t="s">
        <v>461</v>
      </c>
      <c r="B56" s="8"/>
      <c r="C56" s="15" t="s">
        <v>42</v>
      </c>
      <c r="D56" s="17" t="s">
        <v>462</v>
      </c>
      <c r="E56" s="15"/>
      <c r="F56" s="9"/>
      <c r="G56" s="10"/>
      <c r="H56" s="11"/>
      <c r="I56" s="19"/>
      <c r="J56" s="12">
        <v>12547.52</v>
      </c>
      <c r="K56" s="12"/>
      <c r="L56" s="194">
        <f t="shared" si="22"/>
        <v>12547.52</v>
      </c>
      <c r="M56" s="12">
        <v>12547.52</v>
      </c>
      <c r="N56" s="12"/>
      <c r="O56" s="193">
        <f aca="true" t="shared" si="23" ref="O56:O62">+N56+M56</f>
        <v>12547.52</v>
      </c>
      <c r="P56" s="85">
        <f aca="true" t="shared" si="24" ref="P56:P61">+M56*0.65</f>
        <v>8155.888000000001</v>
      </c>
      <c r="Q56" s="101"/>
      <c r="R56" s="220">
        <f aca="true" t="shared" si="25" ref="R56:R61">+Q56+P56</f>
        <v>8155.888000000001</v>
      </c>
      <c r="S56" s="306"/>
      <c r="T56" s="307"/>
    </row>
    <row r="57" spans="1:20" ht="27.75" customHeight="1">
      <c r="A57" s="53" t="s">
        <v>461</v>
      </c>
      <c r="B57" s="8"/>
      <c r="C57" s="105" t="s">
        <v>78</v>
      </c>
      <c r="D57" s="15" t="s">
        <v>161</v>
      </c>
      <c r="E57" s="15"/>
      <c r="F57" s="9"/>
      <c r="G57" s="10"/>
      <c r="H57" s="11"/>
      <c r="I57" s="19"/>
      <c r="J57" s="12">
        <v>18427.99</v>
      </c>
      <c r="K57" s="12"/>
      <c r="L57" s="194">
        <f t="shared" si="22"/>
        <v>18427.99</v>
      </c>
      <c r="M57" s="12">
        <v>18427.99</v>
      </c>
      <c r="N57" s="12"/>
      <c r="O57" s="194">
        <f t="shared" si="23"/>
        <v>18427.99</v>
      </c>
      <c r="P57" s="85">
        <f t="shared" si="24"/>
        <v>11978.193500000001</v>
      </c>
      <c r="Q57" s="101"/>
      <c r="R57" s="220">
        <f t="shared" si="25"/>
        <v>11978.193500000001</v>
      </c>
      <c r="S57" s="306"/>
      <c r="T57" s="307"/>
    </row>
    <row r="58" spans="1:20" ht="37.5" customHeight="1">
      <c r="A58" s="52" t="s">
        <v>461</v>
      </c>
      <c r="B58" s="350"/>
      <c r="C58" s="15" t="s">
        <v>177</v>
      </c>
      <c r="D58" s="15" t="s">
        <v>148</v>
      </c>
      <c r="E58" s="15"/>
      <c r="F58" s="9"/>
      <c r="G58" s="10"/>
      <c r="H58" s="11"/>
      <c r="I58" s="19"/>
      <c r="J58" s="12">
        <v>18907.36</v>
      </c>
      <c r="K58" s="12"/>
      <c r="L58" s="194">
        <f t="shared" si="22"/>
        <v>18907.36</v>
      </c>
      <c r="M58" s="12">
        <v>18907.36</v>
      </c>
      <c r="N58" s="12"/>
      <c r="O58" s="194">
        <f t="shared" si="23"/>
        <v>18907.36</v>
      </c>
      <c r="P58" s="85">
        <f t="shared" si="24"/>
        <v>12289.784000000001</v>
      </c>
      <c r="Q58" s="101"/>
      <c r="R58" s="220">
        <f t="shared" si="25"/>
        <v>12289.784000000001</v>
      </c>
      <c r="S58" s="306"/>
      <c r="T58" s="307"/>
    </row>
    <row r="59" spans="1:20" ht="27.75" customHeight="1">
      <c r="A59" s="52" t="s">
        <v>461</v>
      </c>
      <c r="B59" s="8"/>
      <c r="C59" s="9" t="s">
        <v>64</v>
      </c>
      <c r="D59" s="15" t="s">
        <v>404</v>
      </c>
      <c r="E59" s="15"/>
      <c r="F59" s="9"/>
      <c r="G59" s="10"/>
      <c r="H59" s="11"/>
      <c r="I59" s="19"/>
      <c r="J59" s="12">
        <v>19019.75</v>
      </c>
      <c r="K59" s="12"/>
      <c r="L59" s="194">
        <f t="shared" si="22"/>
        <v>19019.75</v>
      </c>
      <c r="M59" s="12">
        <v>19019.75</v>
      </c>
      <c r="N59" s="12"/>
      <c r="O59" s="194">
        <f t="shared" si="23"/>
        <v>19019.75</v>
      </c>
      <c r="P59" s="85">
        <f t="shared" si="24"/>
        <v>12362.8375</v>
      </c>
      <c r="Q59" s="101"/>
      <c r="R59" s="220">
        <f t="shared" si="25"/>
        <v>12362.8375</v>
      </c>
      <c r="S59" s="306"/>
      <c r="T59" s="307"/>
    </row>
    <row r="60" spans="1:20" ht="27.75" customHeight="1">
      <c r="A60" s="52" t="s">
        <v>461</v>
      </c>
      <c r="B60" s="8"/>
      <c r="C60" s="15" t="s">
        <v>157</v>
      </c>
      <c r="D60" s="15" t="s">
        <v>158</v>
      </c>
      <c r="E60" s="15"/>
      <c r="F60" s="9"/>
      <c r="G60" s="10"/>
      <c r="H60" s="11"/>
      <c r="I60" s="19"/>
      <c r="J60" s="12">
        <v>12901.62</v>
      </c>
      <c r="K60" s="12"/>
      <c r="L60" s="194">
        <f t="shared" si="22"/>
        <v>12901.62</v>
      </c>
      <c r="M60" s="12">
        <v>12901.62</v>
      </c>
      <c r="N60" s="12"/>
      <c r="O60" s="194">
        <f t="shared" si="23"/>
        <v>12901.62</v>
      </c>
      <c r="P60" s="85">
        <f t="shared" si="24"/>
        <v>8386.053000000002</v>
      </c>
      <c r="Q60" s="101"/>
      <c r="R60" s="220">
        <f t="shared" si="25"/>
        <v>8386.053000000002</v>
      </c>
      <c r="S60" s="306"/>
      <c r="T60" s="307"/>
    </row>
    <row r="61" spans="1:20" ht="27.75" customHeight="1">
      <c r="A61" s="52" t="s">
        <v>461</v>
      </c>
      <c r="B61" s="8"/>
      <c r="C61" s="15" t="s">
        <v>49</v>
      </c>
      <c r="D61" s="15" t="s">
        <v>404</v>
      </c>
      <c r="E61" s="15"/>
      <c r="F61" s="9"/>
      <c r="G61" s="10"/>
      <c r="H61" s="11"/>
      <c r="I61" s="19"/>
      <c r="J61" s="12">
        <v>10716.57</v>
      </c>
      <c r="K61" s="12"/>
      <c r="L61" s="194">
        <f t="shared" si="22"/>
        <v>10716.57</v>
      </c>
      <c r="M61" s="12">
        <v>10716.57</v>
      </c>
      <c r="N61" s="12"/>
      <c r="O61" s="194">
        <f t="shared" si="23"/>
        <v>10716.57</v>
      </c>
      <c r="P61" s="85">
        <f t="shared" si="24"/>
        <v>6965.7705</v>
      </c>
      <c r="Q61" s="101"/>
      <c r="R61" s="220">
        <f t="shared" si="25"/>
        <v>6965.7705</v>
      </c>
      <c r="S61" s="306"/>
      <c r="T61" s="307"/>
    </row>
    <row r="62" spans="1:20" ht="27.75" customHeight="1">
      <c r="A62" s="52" t="s">
        <v>488</v>
      </c>
      <c r="B62" s="8"/>
      <c r="C62" s="15" t="s">
        <v>42</v>
      </c>
      <c r="D62" s="17" t="s">
        <v>462</v>
      </c>
      <c r="E62" s="15"/>
      <c r="F62" s="9"/>
      <c r="G62" s="10"/>
      <c r="H62" s="11"/>
      <c r="I62" s="19"/>
      <c r="J62" s="12">
        <v>12672.5</v>
      </c>
      <c r="K62" s="12"/>
      <c r="L62" s="194">
        <f aca="true" t="shared" si="26" ref="L62:L69">+K62+J62</f>
        <v>12672.5</v>
      </c>
      <c r="M62" s="12">
        <v>12672.5</v>
      </c>
      <c r="N62" s="12"/>
      <c r="O62" s="194">
        <f t="shared" si="23"/>
        <v>12672.5</v>
      </c>
      <c r="P62" s="85">
        <f aca="true" t="shared" si="27" ref="P62:P68">+M62*0.65</f>
        <v>8237.125</v>
      </c>
      <c r="Q62" s="101"/>
      <c r="R62" s="220">
        <f aca="true" t="shared" si="28" ref="R62:R68">+Q62+P62</f>
        <v>8237.125</v>
      </c>
      <c r="S62" s="306"/>
      <c r="T62" s="307"/>
    </row>
    <row r="63" spans="1:20" ht="27.75" customHeight="1">
      <c r="A63" s="52" t="s">
        <v>488</v>
      </c>
      <c r="B63" s="8"/>
      <c r="C63" s="105" t="s">
        <v>78</v>
      </c>
      <c r="D63" s="15" t="s">
        <v>161</v>
      </c>
      <c r="E63" s="15"/>
      <c r="F63" s="9"/>
      <c r="G63" s="10"/>
      <c r="H63" s="11"/>
      <c r="I63" s="19"/>
      <c r="J63" s="12">
        <v>8509.64</v>
      </c>
      <c r="K63" s="12"/>
      <c r="L63" s="194">
        <f t="shared" si="26"/>
        <v>8509.64</v>
      </c>
      <c r="M63" s="12">
        <v>8509.64</v>
      </c>
      <c r="N63" s="12"/>
      <c r="O63" s="194">
        <f aca="true" t="shared" si="29" ref="O63:O75">+N63+M63</f>
        <v>8509.64</v>
      </c>
      <c r="P63" s="85">
        <f t="shared" si="27"/>
        <v>5531.266</v>
      </c>
      <c r="Q63" s="101"/>
      <c r="R63" s="220">
        <f t="shared" si="28"/>
        <v>5531.266</v>
      </c>
      <c r="S63" s="306"/>
      <c r="T63" s="307"/>
    </row>
    <row r="64" spans="1:20" ht="63.75" customHeight="1">
      <c r="A64" s="52" t="s">
        <v>488</v>
      </c>
      <c r="B64" s="8"/>
      <c r="C64" s="9" t="s">
        <v>66</v>
      </c>
      <c r="D64" s="15" t="s">
        <v>416</v>
      </c>
      <c r="E64" s="15"/>
      <c r="F64" s="9"/>
      <c r="G64" s="10"/>
      <c r="H64" s="11"/>
      <c r="I64" s="19"/>
      <c r="J64" s="12">
        <v>3188.66</v>
      </c>
      <c r="K64" s="12"/>
      <c r="L64" s="194">
        <f>+K64+J64</f>
        <v>3188.66</v>
      </c>
      <c r="M64" s="12">
        <v>3188.66</v>
      </c>
      <c r="N64" s="12"/>
      <c r="O64" s="194">
        <f t="shared" si="29"/>
        <v>3188.66</v>
      </c>
      <c r="P64" s="85">
        <f t="shared" si="27"/>
        <v>2072.629</v>
      </c>
      <c r="Q64" s="101"/>
      <c r="R64" s="220">
        <f t="shared" si="28"/>
        <v>2072.629</v>
      </c>
      <c r="S64" s="410" t="s">
        <v>608</v>
      </c>
      <c r="T64" s="405"/>
    </row>
    <row r="65" spans="1:20" ht="63.75" customHeight="1">
      <c r="A65" s="52" t="s">
        <v>488</v>
      </c>
      <c r="B65" s="8"/>
      <c r="C65" s="9" t="s">
        <v>66</v>
      </c>
      <c r="D65" s="15" t="s">
        <v>618</v>
      </c>
      <c r="E65" s="15"/>
      <c r="F65" s="9"/>
      <c r="G65" s="10"/>
      <c r="H65" s="11"/>
      <c r="I65" s="19"/>
      <c r="J65" s="12">
        <v>8759.86</v>
      </c>
      <c r="K65" s="12"/>
      <c r="L65" s="194">
        <f>+K65+J65</f>
        <v>8759.86</v>
      </c>
      <c r="M65" s="12">
        <v>8759.86</v>
      </c>
      <c r="N65" s="12"/>
      <c r="O65" s="194">
        <f t="shared" si="29"/>
        <v>8759.86</v>
      </c>
      <c r="P65" s="85">
        <f>+M65*0.65</f>
        <v>5693.909000000001</v>
      </c>
      <c r="Q65" s="101"/>
      <c r="R65" s="220">
        <f>+Q65+P65</f>
        <v>5693.909000000001</v>
      </c>
      <c r="S65" s="410" t="s">
        <v>608</v>
      </c>
      <c r="T65" s="405"/>
    </row>
    <row r="66" spans="1:20" ht="27.75" customHeight="1">
      <c r="A66" s="52" t="s">
        <v>488</v>
      </c>
      <c r="B66" s="8"/>
      <c r="C66" s="15" t="s">
        <v>157</v>
      </c>
      <c r="D66" s="15" t="s">
        <v>158</v>
      </c>
      <c r="E66" s="15"/>
      <c r="F66" s="9"/>
      <c r="G66" s="10"/>
      <c r="H66" s="11"/>
      <c r="I66" s="19"/>
      <c r="J66" s="12">
        <v>13739.89</v>
      </c>
      <c r="K66" s="12"/>
      <c r="L66" s="194">
        <f t="shared" si="26"/>
        <v>13739.89</v>
      </c>
      <c r="M66" s="12">
        <v>13739.89</v>
      </c>
      <c r="N66" s="12"/>
      <c r="O66" s="194">
        <f t="shared" si="29"/>
        <v>13739.89</v>
      </c>
      <c r="P66" s="85">
        <f t="shared" si="27"/>
        <v>8930.9285</v>
      </c>
      <c r="Q66" s="101"/>
      <c r="R66" s="220">
        <f t="shared" si="28"/>
        <v>8930.9285</v>
      </c>
      <c r="S66" s="306"/>
      <c r="T66" s="307"/>
    </row>
    <row r="67" spans="1:20" ht="27.75" customHeight="1">
      <c r="A67" s="52" t="s">
        <v>488</v>
      </c>
      <c r="B67" s="8"/>
      <c r="C67" s="9" t="s">
        <v>179</v>
      </c>
      <c r="D67" s="15" t="s">
        <v>404</v>
      </c>
      <c r="E67" s="15"/>
      <c r="F67" s="9"/>
      <c r="G67" s="10"/>
      <c r="H67" s="11"/>
      <c r="I67" s="19"/>
      <c r="J67" s="12">
        <v>22617.3</v>
      </c>
      <c r="K67" s="12"/>
      <c r="L67" s="194">
        <f t="shared" si="26"/>
        <v>22617.3</v>
      </c>
      <c r="M67" s="12">
        <v>22617.3</v>
      </c>
      <c r="N67" s="12"/>
      <c r="O67" s="194">
        <f t="shared" si="29"/>
        <v>22617.3</v>
      </c>
      <c r="P67" s="85">
        <f t="shared" si="27"/>
        <v>14701.245</v>
      </c>
      <c r="Q67" s="101"/>
      <c r="R67" s="220">
        <f t="shared" si="28"/>
        <v>14701.245</v>
      </c>
      <c r="S67" s="306"/>
      <c r="T67" s="307"/>
    </row>
    <row r="68" spans="1:20" ht="27.75" customHeight="1">
      <c r="A68" s="52" t="s">
        <v>488</v>
      </c>
      <c r="B68" s="8"/>
      <c r="C68" s="15" t="s">
        <v>177</v>
      </c>
      <c r="D68" s="15" t="s">
        <v>556</v>
      </c>
      <c r="E68" s="15"/>
      <c r="F68" s="9"/>
      <c r="G68" s="10"/>
      <c r="H68" s="11"/>
      <c r="I68" s="19"/>
      <c r="J68" s="12">
        <v>17222.22</v>
      </c>
      <c r="K68" s="12"/>
      <c r="L68" s="194">
        <f t="shared" si="26"/>
        <v>17222.22</v>
      </c>
      <c r="M68" s="12">
        <v>17222.22</v>
      </c>
      <c r="N68" s="12"/>
      <c r="O68" s="194">
        <f t="shared" si="29"/>
        <v>17222.22</v>
      </c>
      <c r="P68" s="85">
        <f t="shared" si="27"/>
        <v>11194.443000000001</v>
      </c>
      <c r="Q68" s="101"/>
      <c r="R68" s="220">
        <f t="shared" si="28"/>
        <v>11194.443000000001</v>
      </c>
      <c r="S68" s="306"/>
      <c r="T68" s="307"/>
    </row>
    <row r="69" spans="1:20" ht="27.75" customHeight="1">
      <c r="A69" s="52" t="s">
        <v>488</v>
      </c>
      <c r="B69" s="8"/>
      <c r="C69" s="15" t="s">
        <v>42</v>
      </c>
      <c r="D69" s="17" t="s">
        <v>462</v>
      </c>
      <c r="E69" s="15"/>
      <c r="F69" s="9"/>
      <c r="G69" s="10"/>
      <c r="H69" s="11"/>
      <c r="I69" s="19"/>
      <c r="J69" s="12">
        <v>5864.5</v>
      </c>
      <c r="K69" s="12"/>
      <c r="L69" s="194">
        <f t="shared" si="26"/>
        <v>5864.5</v>
      </c>
      <c r="M69" s="12">
        <f>18.5*317</f>
        <v>5864.5</v>
      </c>
      <c r="N69" s="12"/>
      <c r="O69" s="194">
        <f t="shared" si="29"/>
        <v>5864.5</v>
      </c>
      <c r="P69" s="85">
        <f aca="true" t="shared" si="30" ref="P69:P75">+M69*0.65</f>
        <v>3811.925</v>
      </c>
      <c r="Q69" s="101"/>
      <c r="R69" s="220">
        <f aca="true" t="shared" si="31" ref="R69:R75">+Q69+P69</f>
        <v>3811.925</v>
      </c>
      <c r="S69" s="306"/>
      <c r="T69" s="307"/>
    </row>
    <row r="70" spans="1:20" ht="34.5" customHeight="1">
      <c r="A70" s="52" t="s">
        <v>488</v>
      </c>
      <c r="B70" s="8"/>
      <c r="C70" s="105" t="s">
        <v>78</v>
      </c>
      <c r="D70" s="15" t="s">
        <v>532</v>
      </c>
      <c r="E70" s="15"/>
      <c r="F70" s="9"/>
      <c r="G70" s="10"/>
      <c r="H70" s="11"/>
      <c r="I70" s="19"/>
      <c r="J70" s="12">
        <v>28455.9</v>
      </c>
      <c r="K70" s="12"/>
      <c r="L70" s="194">
        <f t="shared" si="22"/>
        <v>28455.9</v>
      </c>
      <c r="M70" s="12">
        <v>28455.9</v>
      </c>
      <c r="N70" s="12"/>
      <c r="O70" s="194">
        <f t="shared" si="29"/>
        <v>28455.9</v>
      </c>
      <c r="P70" s="85">
        <f t="shared" si="30"/>
        <v>18496.335000000003</v>
      </c>
      <c r="Q70" s="101"/>
      <c r="R70" s="220">
        <f t="shared" si="31"/>
        <v>18496.335000000003</v>
      </c>
      <c r="S70" s="410"/>
      <c r="T70" s="405"/>
    </row>
    <row r="71" spans="1:20" ht="34.5" customHeight="1">
      <c r="A71" s="52" t="s">
        <v>488</v>
      </c>
      <c r="B71" s="8"/>
      <c r="C71" s="15" t="s">
        <v>157</v>
      </c>
      <c r="D71" s="15" t="s">
        <v>161</v>
      </c>
      <c r="E71" s="15"/>
      <c r="F71" s="9"/>
      <c r="G71" s="10"/>
      <c r="H71" s="11"/>
      <c r="I71" s="19"/>
      <c r="J71" s="12">
        <v>13017.46</v>
      </c>
      <c r="K71" s="12"/>
      <c r="L71" s="194">
        <f t="shared" si="22"/>
        <v>13017.46</v>
      </c>
      <c r="M71" s="12">
        <v>13017.46</v>
      </c>
      <c r="N71" s="12"/>
      <c r="O71" s="194">
        <f t="shared" si="29"/>
        <v>13017.46</v>
      </c>
      <c r="P71" s="85">
        <f t="shared" si="30"/>
        <v>8461.349</v>
      </c>
      <c r="Q71" s="101"/>
      <c r="R71" s="220">
        <f t="shared" si="31"/>
        <v>8461.349</v>
      </c>
      <c r="S71" s="150"/>
      <c r="T71" s="151"/>
    </row>
    <row r="72" spans="1:20" ht="34.5" customHeight="1">
      <c r="A72" s="52" t="s">
        <v>488</v>
      </c>
      <c r="B72" s="8"/>
      <c r="C72" s="9" t="s">
        <v>179</v>
      </c>
      <c r="D72" s="15" t="s">
        <v>548</v>
      </c>
      <c r="E72" s="15"/>
      <c r="F72" s="9"/>
      <c r="G72" s="10"/>
      <c r="H72" s="11"/>
      <c r="I72" s="19"/>
      <c r="J72" s="12">
        <v>30085.82</v>
      </c>
      <c r="K72" s="12"/>
      <c r="L72" s="194">
        <f t="shared" si="22"/>
        <v>30085.82</v>
      </c>
      <c r="M72" s="12">
        <v>30085.82</v>
      </c>
      <c r="N72" s="12"/>
      <c r="O72" s="194">
        <f t="shared" si="29"/>
        <v>30085.82</v>
      </c>
      <c r="P72" s="85">
        <f t="shared" si="30"/>
        <v>19555.783</v>
      </c>
      <c r="Q72" s="101"/>
      <c r="R72" s="220">
        <f t="shared" si="31"/>
        <v>19555.783</v>
      </c>
      <c r="S72" s="150"/>
      <c r="T72" s="151"/>
    </row>
    <row r="73" spans="1:20" ht="34.5" customHeight="1">
      <c r="A73" s="52" t="s">
        <v>488</v>
      </c>
      <c r="B73" s="8"/>
      <c r="C73" s="15" t="s">
        <v>177</v>
      </c>
      <c r="D73" s="15" t="s">
        <v>557</v>
      </c>
      <c r="E73" s="15"/>
      <c r="F73" s="9"/>
      <c r="G73" s="10"/>
      <c r="H73" s="11"/>
      <c r="I73" s="19"/>
      <c r="J73" s="12">
        <v>27594.03</v>
      </c>
      <c r="K73" s="12"/>
      <c r="L73" s="194">
        <f t="shared" si="22"/>
        <v>27594.03</v>
      </c>
      <c r="M73" s="12">
        <v>27594.03</v>
      </c>
      <c r="N73" s="12"/>
      <c r="O73" s="194">
        <f t="shared" si="29"/>
        <v>27594.03</v>
      </c>
      <c r="P73" s="85">
        <f t="shared" si="30"/>
        <v>17936.1195</v>
      </c>
      <c r="Q73" s="101"/>
      <c r="R73" s="220">
        <f t="shared" si="31"/>
        <v>17936.1195</v>
      </c>
      <c r="S73" s="150"/>
      <c r="T73" s="151"/>
    </row>
    <row r="74" spans="1:20" ht="34.5" customHeight="1">
      <c r="A74" s="52" t="s">
        <v>488</v>
      </c>
      <c r="B74" s="8"/>
      <c r="C74" s="15" t="s">
        <v>49</v>
      </c>
      <c r="D74" s="15" t="s">
        <v>404</v>
      </c>
      <c r="E74" s="15"/>
      <c r="F74" s="9"/>
      <c r="G74" s="10"/>
      <c r="H74" s="11"/>
      <c r="I74" s="19"/>
      <c r="J74" s="12">
        <v>10064.49</v>
      </c>
      <c r="K74" s="12"/>
      <c r="L74" s="194">
        <f t="shared" si="22"/>
        <v>10064.49</v>
      </c>
      <c r="M74" s="12">
        <v>10064.49</v>
      </c>
      <c r="N74" s="12"/>
      <c r="O74" s="194">
        <f t="shared" si="29"/>
        <v>10064.49</v>
      </c>
      <c r="P74" s="85">
        <f t="shared" si="30"/>
        <v>6541.9185</v>
      </c>
      <c r="Q74" s="101"/>
      <c r="R74" s="220">
        <f t="shared" si="31"/>
        <v>6541.9185</v>
      </c>
      <c r="S74" s="150"/>
      <c r="T74" s="151"/>
    </row>
    <row r="75" spans="1:20" ht="34.5" customHeight="1">
      <c r="A75" s="52" t="s">
        <v>488</v>
      </c>
      <c r="B75" s="8"/>
      <c r="C75" s="15" t="s">
        <v>49</v>
      </c>
      <c r="D75" s="15" t="s">
        <v>404</v>
      </c>
      <c r="E75" s="15"/>
      <c r="F75" s="9"/>
      <c r="G75" s="10"/>
      <c r="H75" s="11"/>
      <c r="I75" s="19"/>
      <c r="J75" s="12">
        <v>7439.35</v>
      </c>
      <c r="K75" s="12"/>
      <c r="L75" s="194">
        <f t="shared" si="22"/>
        <v>7439.35</v>
      </c>
      <c r="M75" s="12">
        <v>7439.35</v>
      </c>
      <c r="N75" s="12"/>
      <c r="O75" s="194">
        <f t="shared" si="29"/>
        <v>7439.35</v>
      </c>
      <c r="P75" s="85">
        <f t="shared" si="30"/>
        <v>4835.5775</v>
      </c>
      <c r="Q75" s="101"/>
      <c r="R75" s="220">
        <f t="shared" si="31"/>
        <v>4835.5775</v>
      </c>
      <c r="S75" s="150"/>
      <c r="T75" s="151"/>
    </row>
    <row r="76" spans="1:20" ht="34.5" customHeight="1">
      <c r="A76" s="52" t="s">
        <v>488</v>
      </c>
      <c r="B76" s="8"/>
      <c r="C76" s="15" t="s">
        <v>42</v>
      </c>
      <c r="D76" s="17" t="s">
        <v>462</v>
      </c>
      <c r="E76" s="15" t="s">
        <v>624</v>
      </c>
      <c r="F76" s="9"/>
      <c r="G76" s="10"/>
      <c r="H76" s="11"/>
      <c r="I76" s="19"/>
      <c r="J76" s="12">
        <v>5346.5</v>
      </c>
      <c r="K76" s="12"/>
      <c r="L76" s="194">
        <f aca="true" t="shared" si="32" ref="L76:L95">+K76+J76</f>
        <v>5346.5</v>
      </c>
      <c r="M76" s="12">
        <v>5346.5</v>
      </c>
      <c r="N76" s="12"/>
      <c r="O76" s="194">
        <f>+N76+M76</f>
        <v>5346.5</v>
      </c>
      <c r="P76" s="85">
        <f>+M76*0.65</f>
        <v>3475.225</v>
      </c>
      <c r="Q76" s="101"/>
      <c r="R76" s="220">
        <f>+Q76+P76</f>
        <v>3475.225</v>
      </c>
      <c r="S76" s="403" t="s">
        <v>697</v>
      </c>
      <c r="T76" s="405"/>
    </row>
    <row r="77" spans="1:20" ht="63" customHeight="1">
      <c r="A77" s="52" t="s">
        <v>488</v>
      </c>
      <c r="B77" s="8"/>
      <c r="C77" s="105" t="s">
        <v>78</v>
      </c>
      <c r="D77" s="15" t="s">
        <v>627</v>
      </c>
      <c r="E77" s="15"/>
      <c r="F77" s="9"/>
      <c r="G77" s="10"/>
      <c r="H77" s="11"/>
      <c r="I77" s="19"/>
      <c r="J77" s="12">
        <v>23952</v>
      </c>
      <c r="K77" s="12"/>
      <c r="L77" s="194">
        <f t="shared" si="32"/>
        <v>23952</v>
      </c>
      <c r="M77" s="12"/>
      <c r="N77" s="12"/>
      <c r="O77" s="194"/>
      <c r="P77" s="85"/>
      <c r="Q77" s="101"/>
      <c r="R77" s="220"/>
      <c r="S77" s="403" t="s">
        <v>698</v>
      </c>
      <c r="T77" s="405"/>
    </row>
    <row r="78" spans="1:20" ht="34.5" customHeight="1">
      <c r="A78" s="52" t="s">
        <v>488</v>
      </c>
      <c r="B78" s="8"/>
      <c r="C78" s="15" t="s">
        <v>49</v>
      </c>
      <c r="D78" s="15" t="s">
        <v>404</v>
      </c>
      <c r="E78" s="15"/>
      <c r="F78" s="9"/>
      <c r="G78" s="10"/>
      <c r="H78" s="11"/>
      <c r="I78" s="19"/>
      <c r="J78" s="12">
        <v>6948.45</v>
      </c>
      <c r="K78" s="12"/>
      <c r="L78" s="194">
        <f t="shared" si="32"/>
        <v>6948.45</v>
      </c>
      <c r="M78" s="12">
        <v>6948.45</v>
      </c>
      <c r="N78" s="12"/>
      <c r="O78" s="194">
        <f>+N78+M78</f>
        <v>6948.45</v>
      </c>
      <c r="P78" s="85">
        <f>+M78*0.65</f>
        <v>4516.4925</v>
      </c>
      <c r="Q78" s="101"/>
      <c r="R78" s="220">
        <f>+Q78+P78</f>
        <v>4516.4925</v>
      </c>
      <c r="S78" s="403" t="s">
        <v>697</v>
      </c>
      <c r="T78" s="405"/>
    </row>
    <row r="79" spans="1:20" ht="34.5" customHeight="1">
      <c r="A79" s="52" t="s">
        <v>488</v>
      </c>
      <c r="B79" s="8"/>
      <c r="C79" s="15" t="s">
        <v>49</v>
      </c>
      <c r="D79" s="15" t="s">
        <v>404</v>
      </c>
      <c r="E79" s="15"/>
      <c r="F79" s="9"/>
      <c r="G79" s="10"/>
      <c r="H79" s="11"/>
      <c r="I79" s="19"/>
      <c r="J79" s="12">
        <v>6801.9</v>
      </c>
      <c r="K79" s="12"/>
      <c r="L79" s="194">
        <f t="shared" si="32"/>
        <v>6801.9</v>
      </c>
      <c r="M79" s="12">
        <v>6801.9</v>
      </c>
      <c r="N79" s="12"/>
      <c r="O79" s="194">
        <f aca="true" t="shared" si="33" ref="O79:O95">+N79+M79</f>
        <v>6801.9</v>
      </c>
      <c r="P79" s="85">
        <f aca="true" t="shared" si="34" ref="P79:P89">+M79*0.65</f>
        <v>4421.235</v>
      </c>
      <c r="Q79" s="101"/>
      <c r="R79" s="220">
        <f aca="true" t="shared" si="35" ref="R79:R89">+Q79+P79</f>
        <v>4421.235</v>
      </c>
      <c r="S79" s="403" t="s">
        <v>697</v>
      </c>
      <c r="T79" s="405"/>
    </row>
    <row r="80" spans="1:20" ht="34.5" customHeight="1">
      <c r="A80" s="52" t="s">
        <v>488</v>
      </c>
      <c r="B80" s="8"/>
      <c r="C80" s="15" t="s">
        <v>157</v>
      </c>
      <c r="D80" s="15" t="s">
        <v>158</v>
      </c>
      <c r="E80" s="15"/>
      <c r="F80" s="9"/>
      <c r="G80" s="10"/>
      <c r="H80" s="11"/>
      <c r="I80" s="19"/>
      <c r="J80" s="12">
        <v>6670.17</v>
      </c>
      <c r="K80" s="12"/>
      <c r="L80" s="194">
        <f t="shared" si="32"/>
        <v>6670.17</v>
      </c>
      <c r="M80" s="12">
        <v>6670.17</v>
      </c>
      <c r="N80" s="12"/>
      <c r="O80" s="194">
        <f t="shared" si="33"/>
        <v>6670.17</v>
      </c>
      <c r="P80" s="85">
        <f t="shared" si="34"/>
        <v>4335.6105</v>
      </c>
      <c r="Q80" s="101"/>
      <c r="R80" s="220">
        <f t="shared" si="35"/>
        <v>4335.6105</v>
      </c>
      <c r="S80" s="403" t="s">
        <v>697</v>
      </c>
      <c r="T80" s="405"/>
    </row>
    <row r="81" spans="1:20" ht="34.5" customHeight="1">
      <c r="A81" s="52" t="s">
        <v>488</v>
      </c>
      <c r="B81" s="8"/>
      <c r="C81" s="15" t="s">
        <v>157</v>
      </c>
      <c r="D81" s="15" t="s">
        <v>404</v>
      </c>
      <c r="E81" s="15"/>
      <c r="F81" s="9"/>
      <c r="G81" s="10"/>
      <c r="H81" s="11"/>
      <c r="I81" s="19"/>
      <c r="J81" s="12">
        <v>5077.08</v>
      </c>
      <c r="K81" s="12"/>
      <c r="L81" s="194">
        <f t="shared" si="32"/>
        <v>5077.08</v>
      </c>
      <c r="M81" s="12">
        <v>5077.08</v>
      </c>
      <c r="N81" s="12"/>
      <c r="O81" s="194">
        <f t="shared" si="33"/>
        <v>5077.08</v>
      </c>
      <c r="P81" s="85">
        <f t="shared" si="34"/>
        <v>3300.102</v>
      </c>
      <c r="Q81" s="101"/>
      <c r="R81" s="220">
        <f t="shared" si="35"/>
        <v>3300.102</v>
      </c>
      <c r="S81" s="403" t="s">
        <v>697</v>
      </c>
      <c r="T81" s="405"/>
    </row>
    <row r="82" spans="1:20" ht="34.5" customHeight="1">
      <c r="A82" s="52" t="s">
        <v>488</v>
      </c>
      <c r="B82" s="8"/>
      <c r="C82" s="9" t="s">
        <v>179</v>
      </c>
      <c r="D82" s="15" t="s">
        <v>548</v>
      </c>
      <c r="E82" s="15"/>
      <c r="F82" s="9"/>
      <c r="G82" s="10"/>
      <c r="H82" s="11"/>
      <c r="I82" s="19"/>
      <c r="J82" s="12">
        <v>31120.27</v>
      </c>
      <c r="K82" s="12"/>
      <c r="L82" s="194">
        <f t="shared" si="32"/>
        <v>31120.27</v>
      </c>
      <c r="M82" s="12">
        <v>31120.27</v>
      </c>
      <c r="N82" s="12"/>
      <c r="O82" s="194">
        <f t="shared" si="33"/>
        <v>31120.27</v>
      </c>
      <c r="P82" s="85">
        <f t="shared" si="34"/>
        <v>20228.1755</v>
      </c>
      <c r="Q82" s="101"/>
      <c r="R82" s="220">
        <f t="shared" si="35"/>
        <v>20228.1755</v>
      </c>
      <c r="S82" s="403" t="s">
        <v>697</v>
      </c>
      <c r="T82" s="405"/>
    </row>
    <row r="83" spans="1:20" ht="34.5" customHeight="1">
      <c r="A83" s="52" t="s">
        <v>488</v>
      </c>
      <c r="B83" s="8"/>
      <c r="C83" s="9" t="s">
        <v>179</v>
      </c>
      <c r="D83" s="15" t="s">
        <v>548</v>
      </c>
      <c r="E83" s="15"/>
      <c r="F83" s="9"/>
      <c r="G83" s="10"/>
      <c r="H83" s="11"/>
      <c r="I83" s="19"/>
      <c r="J83" s="12">
        <v>25429.9</v>
      </c>
      <c r="K83" s="12"/>
      <c r="L83" s="194">
        <f t="shared" si="32"/>
        <v>25429.9</v>
      </c>
      <c r="M83" s="12">
        <v>25429.9</v>
      </c>
      <c r="N83" s="12"/>
      <c r="O83" s="194">
        <f t="shared" si="33"/>
        <v>25429.9</v>
      </c>
      <c r="P83" s="85">
        <f t="shared" si="34"/>
        <v>16529.435</v>
      </c>
      <c r="Q83" s="101"/>
      <c r="R83" s="220">
        <f t="shared" si="35"/>
        <v>16529.435</v>
      </c>
      <c r="S83" s="403" t="s">
        <v>697</v>
      </c>
      <c r="T83" s="405"/>
    </row>
    <row r="84" spans="1:20" ht="34.5" customHeight="1">
      <c r="A84" s="52" t="s">
        <v>488</v>
      </c>
      <c r="B84" s="8"/>
      <c r="C84" s="15" t="s">
        <v>177</v>
      </c>
      <c r="D84" s="15" t="s">
        <v>557</v>
      </c>
      <c r="E84" s="15"/>
      <c r="F84" s="9"/>
      <c r="G84" s="10"/>
      <c r="H84" s="11"/>
      <c r="I84" s="19"/>
      <c r="J84" s="12">
        <v>9525.73</v>
      </c>
      <c r="K84" s="12"/>
      <c r="L84" s="194">
        <f t="shared" si="32"/>
        <v>9525.73</v>
      </c>
      <c r="M84" s="12">
        <v>9525.73</v>
      </c>
      <c r="N84" s="12"/>
      <c r="O84" s="194">
        <f t="shared" si="33"/>
        <v>9525.73</v>
      </c>
      <c r="P84" s="85">
        <f t="shared" si="34"/>
        <v>6191.7245</v>
      </c>
      <c r="Q84" s="101"/>
      <c r="R84" s="220">
        <f t="shared" si="35"/>
        <v>6191.7245</v>
      </c>
      <c r="S84" s="403" t="s">
        <v>697</v>
      </c>
      <c r="T84" s="405"/>
    </row>
    <row r="85" spans="1:20" ht="34.5" customHeight="1">
      <c r="A85" s="52" t="s">
        <v>488</v>
      </c>
      <c r="B85" s="8"/>
      <c r="C85" s="15" t="s">
        <v>177</v>
      </c>
      <c r="D85" s="15" t="s">
        <v>557</v>
      </c>
      <c r="E85" s="15"/>
      <c r="F85" s="9"/>
      <c r="G85" s="10"/>
      <c r="H85" s="11"/>
      <c r="I85" s="19"/>
      <c r="J85" s="12">
        <v>14422.32</v>
      </c>
      <c r="K85" s="12"/>
      <c r="L85" s="194">
        <f t="shared" si="32"/>
        <v>14422.32</v>
      </c>
      <c r="M85" s="12">
        <v>14422.32</v>
      </c>
      <c r="N85" s="12"/>
      <c r="O85" s="194">
        <f t="shared" si="33"/>
        <v>14422.32</v>
      </c>
      <c r="P85" s="85">
        <f t="shared" si="34"/>
        <v>9374.508</v>
      </c>
      <c r="Q85" s="101"/>
      <c r="R85" s="220">
        <f t="shared" si="35"/>
        <v>9374.508</v>
      </c>
      <c r="S85" s="403" t="s">
        <v>697</v>
      </c>
      <c r="T85" s="405"/>
    </row>
    <row r="86" spans="1:20" ht="34.5" customHeight="1">
      <c r="A86" s="52" t="s">
        <v>488</v>
      </c>
      <c r="B86" s="8"/>
      <c r="C86" s="15" t="s">
        <v>42</v>
      </c>
      <c r="D86" s="17" t="s">
        <v>462</v>
      </c>
      <c r="E86" s="15" t="s">
        <v>678</v>
      </c>
      <c r="F86" s="9"/>
      <c r="G86" s="10"/>
      <c r="H86" s="11"/>
      <c r="I86" s="19"/>
      <c r="J86" s="12">
        <v>1924</v>
      </c>
      <c r="K86" s="12"/>
      <c r="L86" s="194">
        <f t="shared" si="32"/>
        <v>1924</v>
      </c>
      <c r="M86" s="12">
        <v>1924</v>
      </c>
      <c r="N86" s="12"/>
      <c r="O86" s="194">
        <f t="shared" si="33"/>
        <v>1924</v>
      </c>
      <c r="P86" s="85">
        <f t="shared" si="34"/>
        <v>1250.6000000000001</v>
      </c>
      <c r="Q86" s="101"/>
      <c r="R86" s="220">
        <f t="shared" si="35"/>
        <v>1250.6000000000001</v>
      </c>
      <c r="S86" s="403" t="s">
        <v>697</v>
      </c>
      <c r="T86" s="405"/>
    </row>
    <row r="87" spans="1:20" ht="34.5" customHeight="1">
      <c r="A87" s="52" t="s">
        <v>488</v>
      </c>
      <c r="B87" s="8"/>
      <c r="C87" s="15" t="s">
        <v>49</v>
      </c>
      <c r="D87" s="15" t="s">
        <v>404</v>
      </c>
      <c r="E87" s="15"/>
      <c r="F87" s="9"/>
      <c r="G87" s="10"/>
      <c r="H87" s="11"/>
      <c r="I87" s="19"/>
      <c r="J87" s="12">
        <v>5519.4</v>
      </c>
      <c r="K87" s="12"/>
      <c r="L87" s="194">
        <f t="shared" si="32"/>
        <v>5519.4</v>
      </c>
      <c r="M87" s="12">
        <v>5519.4</v>
      </c>
      <c r="N87" s="12"/>
      <c r="O87" s="194">
        <f t="shared" si="33"/>
        <v>5519.4</v>
      </c>
      <c r="P87" s="85">
        <f t="shared" si="34"/>
        <v>3587.6099999999997</v>
      </c>
      <c r="Q87" s="101"/>
      <c r="R87" s="220">
        <f t="shared" si="35"/>
        <v>3587.6099999999997</v>
      </c>
      <c r="S87" s="403" t="s">
        <v>697</v>
      </c>
      <c r="T87" s="405"/>
    </row>
    <row r="88" spans="1:20" ht="34.5" customHeight="1">
      <c r="A88" s="52" t="s">
        <v>488</v>
      </c>
      <c r="B88" s="8"/>
      <c r="C88" s="9" t="s">
        <v>179</v>
      </c>
      <c r="D88" s="15" t="s">
        <v>404</v>
      </c>
      <c r="E88" s="15"/>
      <c r="F88" s="9"/>
      <c r="G88" s="10"/>
      <c r="H88" s="11"/>
      <c r="I88" s="19"/>
      <c r="J88" s="12">
        <v>7008.25</v>
      </c>
      <c r="K88" s="12"/>
      <c r="L88" s="194">
        <f t="shared" si="32"/>
        <v>7008.25</v>
      </c>
      <c r="M88" s="12">
        <v>7008.25</v>
      </c>
      <c r="N88" s="12"/>
      <c r="O88" s="194">
        <f t="shared" si="33"/>
        <v>7008.25</v>
      </c>
      <c r="P88" s="85">
        <f t="shared" si="34"/>
        <v>4555.3625</v>
      </c>
      <c r="Q88" s="101"/>
      <c r="R88" s="220">
        <f t="shared" si="35"/>
        <v>4555.3625</v>
      </c>
      <c r="S88" s="403" t="s">
        <v>697</v>
      </c>
      <c r="T88" s="405"/>
    </row>
    <row r="89" spans="1:20" ht="34.5" customHeight="1">
      <c r="A89" s="52" t="s">
        <v>488</v>
      </c>
      <c r="B89" s="8"/>
      <c r="C89" s="15" t="s">
        <v>177</v>
      </c>
      <c r="D89" s="15" t="s">
        <v>557</v>
      </c>
      <c r="E89" s="15"/>
      <c r="F89" s="9"/>
      <c r="G89" s="10"/>
      <c r="H89" s="11"/>
      <c r="I89" s="19"/>
      <c r="J89" s="12">
        <v>6584.34</v>
      </c>
      <c r="K89" s="12"/>
      <c r="L89" s="194">
        <f t="shared" si="32"/>
        <v>6584.34</v>
      </c>
      <c r="M89" s="12">
        <v>6584.34</v>
      </c>
      <c r="N89" s="12"/>
      <c r="O89" s="194">
        <f t="shared" si="33"/>
        <v>6584.34</v>
      </c>
      <c r="P89" s="85">
        <f t="shared" si="34"/>
        <v>4279.821</v>
      </c>
      <c r="Q89" s="101"/>
      <c r="R89" s="220">
        <f t="shared" si="35"/>
        <v>4279.821</v>
      </c>
      <c r="S89" s="403" t="s">
        <v>697</v>
      </c>
      <c r="T89" s="405"/>
    </row>
    <row r="90" spans="1:20" ht="34.5" customHeight="1">
      <c r="A90" s="52" t="s">
        <v>488</v>
      </c>
      <c r="B90" s="8"/>
      <c r="C90" s="105" t="s">
        <v>78</v>
      </c>
      <c r="D90" s="15"/>
      <c r="E90" s="15"/>
      <c r="F90" s="9"/>
      <c r="G90" s="10"/>
      <c r="H90" s="11"/>
      <c r="I90" s="19"/>
      <c r="J90" s="12">
        <v>8811.6</v>
      </c>
      <c r="K90" s="12"/>
      <c r="L90" s="194">
        <f t="shared" si="32"/>
        <v>8811.6</v>
      </c>
      <c r="M90" s="12">
        <v>8811.6</v>
      </c>
      <c r="N90" s="12"/>
      <c r="O90" s="194">
        <f t="shared" si="33"/>
        <v>8811.6</v>
      </c>
      <c r="P90" s="85">
        <f aca="true" t="shared" si="36" ref="P90:P95">+M90*0.65</f>
        <v>5727.540000000001</v>
      </c>
      <c r="Q90" s="101"/>
      <c r="R90" s="220">
        <f aca="true" t="shared" si="37" ref="R90:R95">+Q90+P90</f>
        <v>5727.540000000001</v>
      </c>
      <c r="S90" s="403" t="s">
        <v>697</v>
      </c>
      <c r="T90" s="405"/>
    </row>
    <row r="91" spans="1:20" ht="34.5" customHeight="1">
      <c r="A91" s="52" t="s">
        <v>488</v>
      </c>
      <c r="B91" s="8"/>
      <c r="C91" s="15" t="s">
        <v>157</v>
      </c>
      <c r="D91" s="15" t="s">
        <v>703</v>
      </c>
      <c r="E91" s="15"/>
      <c r="F91" s="9"/>
      <c r="G91" s="10"/>
      <c r="H91" s="11"/>
      <c r="I91" s="19"/>
      <c r="J91" s="12">
        <v>6070.55</v>
      </c>
      <c r="K91" s="12"/>
      <c r="L91" s="194">
        <f t="shared" si="32"/>
        <v>6070.55</v>
      </c>
      <c r="M91" s="12">
        <v>6070.55</v>
      </c>
      <c r="N91" s="12"/>
      <c r="O91" s="194">
        <f t="shared" si="33"/>
        <v>6070.55</v>
      </c>
      <c r="P91" s="85">
        <f t="shared" si="36"/>
        <v>3945.8575</v>
      </c>
      <c r="Q91" s="101"/>
      <c r="R91" s="220">
        <f t="shared" si="37"/>
        <v>3945.8575</v>
      </c>
      <c r="S91" s="403" t="s">
        <v>697</v>
      </c>
      <c r="T91" s="405"/>
    </row>
    <row r="92" spans="1:20" ht="34.5" customHeight="1">
      <c r="A92" s="52" t="s">
        <v>488</v>
      </c>
      <c r="B92" s="8"/>
      <c r="C92" s="9" t="s">
        <v>179</v>
      </c>
      <c r="D92" s="15" t="s">
        <v>158</v>
      </c>
      <c r="E92" s="15"/>
      <c r="F92" s="9"/>
      <c r="G92" s="10"/>
      <c r="H92" s="11"/>
      <c r="I92" s="19"/>
      <c r="J92" s="12">
        <v>13312.9</v>
      </c>
      <c r="K92" s="12"/>
      <c r="L92" s="194">
        <f t="shared" si="32"/>
        <v>13312.9</v>
      </c>
      <c r="M92" s="12">
        <v>13312.9</v>
      </c>
      <c r="N92" s="12"/>
      <c r="O92" s="194">
        <f t="shared" si="33"/>
        <v>13312.9</v>
      </c>
      <c r="P92" s="85">
        <f t="shared" si="36"/>
        <v>8653.385</v>
      </c>
      <c r="Q92" s="101"/>
      <c r="R92" s="220">
        <f t="shared" si="37"/>
        <v>8653.385</v>
      </c>
      <c r="S92" s="403" t="s">
        <v>697</v>
      </c>
      <c r="T92" s="405"/>
    </row>
    <row r="93" spans="1:20" ht="34.5" customHeight="1">
      <c r="A93" s="52" t="s">
        <v>488</v>
      </c>
      <c r="B93" s="8"/>
      <c r="C93" s="9" t="s">
        <v>42</v>
      </c>
      <c r="D93" s="15" t="s">
        <v>462</v>
      </c>
      <c r="E93" s="15"/>
      <c r="F93" s="9"/>
      <c r="G93" s="10"/>
      <c r="H93" s="11"/>
      <c r="I93" s="19"/>
      <c r="J93" s="12">
        <v>1850</v>
      </c>
      <c r="K93" s="12"/>
      <c r="L93" s="194">
        <f t="shared" si="32"/>
        <v>1850</v>
      </c>
      <c r="M93" s="12">
        <v>1850</v>
      </c>
      <c r="N93" s="12"/>
      <c r="O93" s="194">
        <f t="shared" si="33"/>
        <v>1850</v>
      </c>
      <c r="P93" s="85">
        <f t="shared" si="36"/>
        <v>1202.5</v>
      </c>
      <c r="Q93" s="101"/>
      <c r="R93" s="220">
        <f t="shared" si="37"/>
        <v>1202.5</v>
      </c>
      <c r="S93" s="403" t="s">
        <v>697</v>
      </c>
      <c r="T93" s="405"/>
    </row>
    <row r="94" spans="1:20" ht="34.5" customHeight="1">
      <c r="A94" s="52" t="s">
        <v>488</v>
      </c>
      <c r="B94" s="8"/>
      <c r="C94" s="15" t="s">
        <v>49</v>
      </c>
      <c r="D94" s="15" t="s">
        <v>404</v>
      </c>
      <c r="E94" s="15"/>
      <c r="F94" s="9"/>
      <c r="G94" s="10"/>
      <c r="H94" s="11"/>
      <c r="I94" s="19"/>
      <c r="J94" s="12">
        <v>5720.5</v>
      </c>
      <c r="K94" s="12"/>
      <c r="L94" s="194">
        <f t="shared" si="32"/>
        <v>5720.5</v>
      </c>
      <c r="M94" s="12">
        <v>5720.5</v>
      </c>
      <c r="N94" s="12"/>
      <c r="O94" s="194">
        <f t="shared" si="33"/>
        <v>5720.5</v>
      </c>
      <c r="P94" s="85">
        <f t="shared" si="36"/>
        <v>3718.3250000000003</v>
      </c>
      <c r="Q94" s="101"/>
      <c r="R94" s="220">
        <f t="shared" si="37"/>
        <v>3718.3250000000003</v>
      </c>
      <c r="S94" s="403" t="s">
        <v>697</v>
      </c>
      <c r="T94" s="404"/>
    </row>
    <row r="95" spans="1:20" ht="34.5" customHeight="1">
      <c r="A95" s="52" t="s">
        <v>488</v>
      </c>
      <c r="B95" s="8"/>
      <c r="C95" s="15" t="s">
        <v>177</v>
      </c>
      <c r="D95" s="15" t="s">
        <v>557</v>
      </c>
      <c r="E95" s="15"/>
      <c r="F95" s="9"/>
      <c r="G95" s="10"/>
      <c r="H95" s="11"/>
      <c r="I95" s="19"/>
      <c r="J95" s="12">
        <v>5230.47</v>
      </c>
      <c r="K95" s="12"/>
      <c r="L95" s="194">
        <f t="shared" si="32"/>
        <v>5230.47</v>
      </c>
      <c r="M95" s="12">
        <v>5230.47</v>
      </c>
      <c r="N95" s="12"/>
      <c r="O95" s="194">
        <f t="shared" si="33"/>
        <v>5230.47</v>
      </c>
      <c r="P95" s="85">
        <f t="shared" si="36"/>
        <v>3399.8055000000004</v>
      </c>
      <c r="Q95" s="101"/>
      <c r="R95" s="220">
        <f t="shared" si="37"/>
        <v>3399.8055000000004</v>
      </c>
      <c r="S95" s="403" t="s">
        <v>697</v>
      </c>
      <c r="T95" s="404"/>
    </row>
    <row r="96" spans="1:20" ht="16.5" customHeight="1">
      <c r="A96" s="53"/>
      <c r="B96" s="8"/>
      <c r="C96" s="9"/>
      <c r="D96" s="15"/>
      <c r="E96" s="15"/>
      <c r="F96" s="9"/>
      <c r="G96" s="10"/>
      <c r="H96" s="11"/>
      <c r="I96" s="19"/>
      <c r="J96" s="12"/>
      <c r="K96" s="12"/>
      <c r="L96" s="194"/>
      <c r="M96" s="12">
        <f>L96</f>
        <v>0</v>
      </c>
      <c r="N96" s="12"/>
      <c r="O96" s="194"/>
      <c r="P96" s="12">
        <f>M96*0.65</f>
        <v>0</v>
      </c>
      <c r="Q96" s="101"/>
      <c r="R96" s="221"/>
      <c r="S96" s="417"/>
      <c r="T96" s="417"/>
    </row>
    <row r="97" ht="11.25">
      <c r="S97" s="27"/>
    </row>
    <row r="98" spans="1:20" ht="11.25">
      <c r="A98" s="445" t="s">
        <v>7</v>
      </c>
      <c r="B98" s="446"/>
      <c r="C98" s="446"/>
      <c r="D98" s="446"/>
      <c r="E98" s="446"/>
      <c r="F98" s="446"/>
      <c r="G98" s="446"/>
      <c r="H98" s="446"/>
      <c r="I98" s="446"/>
      <c r="J98" s="446"/>
      <c r="K98" s="446"/>
      <c r="L98" s="447"/>
      <c r="M98" s="113" t="s">
        <v>124</v>
      </c>
      <c r="N98" s="26" t="s">
        <v>119</v>
      </c>
      <c r="O98" s="215" t="s">
        <v>125</v>
      </c>
      <c r="P98" s="26" t="s">
        <v>126</v>
      </c>
      <c r="Q98" s="26" t="s">
        <v>127</v>
      </c>
      <c r="R98" s="215" t="s">
        <v>121</v>
      </c>
      <c r="S98" s="139" t="s">
        <v>25</v>
      </c>
      <c r="T98" s="140" t="s">
        <v>26</v>
      </c>
    </row>
    <row r="99" spans="1:21" ht="11.25">
      <c r="A99" s="465"/>
      <c r="B99" s="466"/>
      <c r="C99" s="467"/>
      <c r="D99" s="468"/>
      <c r="E99" s="468"/>
      <c r="F99" s="468"/>
      <c r="G99" s="468"/>
      <c r="H99" s="468"/>
      <c r="I99" s="468"/>
      <c r="J99" s="468"/>
      <c r="K99" s="469"/>
      <c r="L99" s="196" t="s">
        <v>12</v>
      </c>
      <c r="M99" s="3">
        <v>659246</v>
      </c>
      <c r="N99" s="3"/>
      <c r="O99" s="216"/>
      <c r="P99" s="3"/>
      <c r="Q99" s="3"/>
      <c r="R99" s="219"/>
      <c r="S99" s="141"/>
      <c r="T99" s="141"/>
      <c r="U99" s="27"/>
    </row>
    <row r="100" spans="1:21" ht="11.25">
      <c r="A100" s="432"/>
      <c r="B100" s="433"/>
      <c r="C100" s="41"/>
      <c r="D100" s="155"/>
      <c r="E100" s="155"/>
      <c r="F100" s="40"/>
      <c r="G100" s="40"/>
      <c r="H100" s="40"/>
      <c r="I100" s="169"/>
      <c r="J100" s="40"/>
      <c r="K100" s="4">
        <v>0</v>
      </c>
      <c r="L100" s="197" t="s">
        <v>28</v>
      </c>
      <c r="M100" s="4">
        <f>SUM(M108)</f>
        <v>4999.9995</v>
      </c>
      <c r="N100" s="4">
        <f>SUM(N108)</f>
        <v>0</v>
      </c>
      <c r="O100" s="213">
        <f>+N100+M100</f>
        <v>4999.9995</v>
      </c>
      <c r="P100" s="4">
        <f>SUM(P108)</f>
        <v>3249.999675</v>
      </c>
      <c r="Q100" s="4">
        <f>SUM(Q108)</f>
        <v>0</v>
      </c>
      <c r="R100" s="213">
        <f>+Q100+P100</f>
        <v>3249.999675</v>
      </c>
      <c r="S100" s="142">
        <f aca="true" t="shared" si="38" ref="S100:S106">R100*0.375</f>
        <v>1218.7498781250001</v>
      </c>
      <c r="T100" s="142">
        <f aca="true" t="shared" si="39" ref="T100:T106">R100-S100</f>
        <v>2031.249796875</v>
      </c>
      <c r="U100" s="27"/>
    </row>
    <row r="101" spans="1:21" ht="11.25">
      <c r="A101" s="432"/>
      <c r="B101" s="433"/>
      <c r="C101" s="41"/>
      <c r="D101" s="155"/>
      <c r="E101" s="155"/>
      <c r="F101" s="58"/>
      <c r="G101" s="59"/>
      <c r="H101" s="40"/>
      <c r="I101" s="169"/>
      <c r="J101" s="40"/>
      <c r="K101" s="42"/>
      <c r="L101" s="197" t="s">
        <v>29</v>
      </c>
      <c r="M101" s="4">
        <f>SUM(M109:M117)</f>
        <v>15920</v>
      </c>
      <c r="N101" s="4">
        <f>SUM(N109:N117)</f>
        <v>0</v>
      </c>
      <c r="O101" s="213">
        <f>+N101+M101</f>
        <v>15920</v>
      </c>
      <c r="P101" s="4">
        <f>SUM(P109:P116)</f>
        <v>10348</v>
      </c>
      <c r="Q101" s="4"/>
      <c r="R101" s="213">
        <f>+Q101+P101</f>
        <v>10348</v>
      </c>
      <c r="S101" s="142">
        <f t="shared" si="38"/>
        <v>3880.5</v>
      </c>
      <c r="T101" s="142">
        <f t="shared" si="39"/>
        <v>6467.5</v>
      </c>
      <c r="U101" s="27"/>
    </row>
    <row r="102" spans="1:21" ht="11.25">
      <c r="A102" s="432"/>
      <c r="B102" s="433"/>
      <c r="C102" s="41"/>
      <c r="D102" s="155"/>
      <c r="E102" s="155"/>
      <c r="F102" s="40"/>
      <c r="G102" s="40"/>
      <c r="H102" s="40"/>
      <c r="I102" s="169"/>
      <c r="J102" s="40"/>
      <c r="K102" s="42"/>
      <c r="L102" s="197" t="s">
        <v>364</v>
      </c>
      <c r="M102" s="4"/>
      <c r="N102" s="4"/>
      <c r="O102" s="213"/>
      <c r="P102" s="4"/>
      <c r="Q102" s="4"/>
      <c r="R102" s="213"/>
      <c r="S102" s="142">
        <f t="shared" si="38"/>
        <v>0</v>
      </c>
      <c r="T102" s="142">
        <f t="shared" si="39"/>
        <v>0</v>
      </c>
      <c r="U102" s="27"/>
    </row>
    <row r="103" spans="1:21" ht="11.25">
      <c r="A103" s="432"/>
      <c r="B103" s="433"/>
      <c r="C103" s="41"/>
      <c r="D103" s="155"/>
      <c r="E103" s="155"/>
      <c r="F103" s="40"/>
      <c r="G103" s="40"/>
      <c r="H103" s="40"/>
      <c r="I103" s="169"/>
      <c r="J103" s="40"/>
      <c r="K103" s="42"/>
      <c r="L103" s="197" t="s">
        <v>451</v>
      </c>
      <c r="M103" s="4">
        <f>SUM(M123:M135)</f>
        <v>28002.88</v>
      </c>
      <c r="N103" s="4">
        <f>SUM(N123:N135)</f>
        <v>3966.56</v>
      </c>
      <c r="O103" s="213">
        <f>+N103+M103</f>
        <v>31969.440000000002</v>
      </c>
      <c r="P103" s="4">
        <f>SUM(P123:P135)</f>
        <v>18201.872000000003</v>
      </c>
      <c r="Q103" s="4">
        <f>SUM(Q123:Q135)</f>
        <v>2578.264</v>
      </c>
      <c r="R103" s="213">
        <f>+Q103+P103</f>
        <v>20780.136000000002</v>
      </c>
      <c r="S103" s="142">
        <f t="shared" si="38"/>
        <v>7792.551000000001</v>
      </c>
      <c r="T103" s="142">
        <f t="shared" si="39"/>
        <v>12987.585000000001</v>
      </c>
      <c r="U103" s="27"/>
    </row>
    <row r="104" spans="1:21" ht="11.25">
      <c r="A104" s="432"/>
      <c r="B104" s="433"/>
      <c r="C104" s="41"/>
      <c r="D104" s="155"/>
      <c r="E104" s="155"/>
      <c r="F104" s="40"/>
      <c r="G104" s="40"/>
      <c r="H104" s="40"/>
      <c r="I104" s="169"/>
      <c r="J104" s="40"/>
      <c r="K104" s="42"/>
      <c r="L104" s="197" t="s">
        <v>484</v>
      </c>
      <c r="M104" s="4">
        <f>SUM(M136)</f>
        <v>0</v>
      </c>
      <c r="N104" s="4">
        <f>SUM(N136)</f>
        <v>0</v>
      </c>
      <c r="O104" s="213">
        <f>+N104+M104</f>
        <v>0</v>
      </c>
      <c r="P104" s="4">
        <f>SUM(P136)</f>
        <v>0</v>
      </c>
      <c r="Q104" s="4">
        <f>SUM(Q136)</f>
        <v>0</v>
      </c>
      <c r="R104" s="213">
        <f>+Q104+P104</f>
        <v>0</v>
      </c>
      <c r="S104" s="142">
        <f t="shared" si="38"/>
        <v>0</v>
      </c>
      <c r="T104" s="142">
        <f t="shared" si="39"/>
        <v>0</v>
      </c>
      <c r="U104" s="27"/>
    </row>
    <row r="105" spans="1:21" ht="11.25">
      <c r="A105" s="432"/>
      <c r="B105" s="433"/>
      <c r="C105" s="41"/>
      <c r="D105" s="155"/>
      <c r="E105" s="155"/>
      <c r="F105" s="40"/>
      <c r="G105" s="40"/>
      <c r="H105" s="40"/>
      <c r="I105" s="169"/>
      <c r="J105" s="40"/>
      <c r="K105" s="42"/>
      <c r="L105" s="197" t="s">
        <v>487</v>
      </c>
      <c r="M105" s="4">
        <f>SUM(M137:M190)</f>
        <v>150140.63239999997</v>
      </c>
      <c r="N105" s="4">
        <f>SUM(N137:N190)</f>
        <v>20935.574</v>
      </c>
      <c r="O105" s="213">
        <f>+N105+M105</f>
        <v>171076.20639999997</v>
      </c>
      <c r="P105" s="4">
        <f>SUM(P137:P190)</f>
        <v>97591.41105999998</v>
      </c>
      <c r="Q105" s="4">
        <f>SUM(Q137:Q190)</f>
        <v>13608.1231</v>
      </c>
      <c r="R105" s="213">
        <f>+Q105+P105</f>
        <v>111199.53415999998</v>
      </c>
      <c r="S105" s="142">
        <f t="shared" si="38"/>
        <v>41699.82530999999</v>
      </c>
      <c r="T105" s="142">
        <f t="shared" si="39"/>
        <v>69499.70885</v>
      </c>
      <c r="U105" s="27"/>
    </row>
    <row r="106" spans="1:21" ht="11.25">
      <c r="A106" s="434"/>
      <c r="B106" s="435"/>
      <c r="C106" s="448"/>
      <c r="D106" s="449"/>
      <c r="E106" s="449"/>
      <c r="F106" s="449"/>
      <c r="G106" s="449"/>
      <c r="H106" s="449"/>
      <c r="I106" s="449"/>
      <c r="J106" s="449"/>
      <c r="K106" s="450"/>
      <c r="L106" s="198" t="s">
        <v>13</v>
      </c>
      <c r="M106" s="6">
        <f>M99-M100-M101-M102-M103-M104-M105</f>
        <v>460182.48809999996</v>
      </c>
      <c r="N106" s="6"/>
      <c r="O106" s="214"/>
      <c r="P106" s="6"/>
      <c r="Q106" s="6"/>
      <c r="R106" s="214"/>
      <c r="S106" s="143">
        <f t="shared" si="38"/>
        <v>0</v>
      </c>
      <c r="T106" s="144">
        <f t="shared" si="39"/>
        <v>0</v>
      </c>
      <c r="U106" s="27"/>
    </row>
    <row r="107" spans="1:20" ht="33.75">
      <c r="A107" s="7" t="s">
        <v>14</v>
      </c>
      <c r="B107" s="7" t="s">
        <v>11</v>
      </c>
      <c r="C107" s="32" t="s">
        <v>24</v>
      </c>
      <c r="D107" s="32" t="s">
        <v>20</v>
      </c>
      <c r="E107" s="38" t="s">
        <v>2</v>
      </c>
      <c r="F107" s="32" t="s">
        <v>19</v>
      </c>
      <c r="G107" s="32" t="s">
        <v>18</v>
      </c>
      <c r="H107" s="38" t="s">
        <v>17</v>
      </c>
      <c r="I107" s="38" t="s">
        <v>16</v>
      </c>
      <c r="J107" s="32" t="s">
        <v>3</v>
      </c>
      <c r="K107" s="32" t="s">
        <v>4</v>
      </c>
      <c r="L107" s="192" t="s">
        <v>5</v>
      </c>
      <c r="M107" s="7" t="s">
        <v>21</v>
      </c>
      <c r="N107" s="7" t="s">
        <v>119</v>
      </c>
      <c r="O107" s="192" t="s">
        <v>122</v>
      </c>
      <c r="P107" s="7" t="s">
        <v>22</v>
      </c>
      <c r="Q107" s="25" t="s">
        <v>120</v>
      </c>
      <c r="R107" s="204" t="s">
        <v>121</v>
      </c>
      <c r="S107" s="463" t="s">
        <v>27</v>
      </c>
      <c r="T107" s="463"/>
    </row>
    <row r="108" spans="1:21" s="27" customFormat="1" ht="21" customHeight="1">
      <c r="A108" s="52" t="s">
        <v>15</v>
      </c>
      <c r="B108" s="75"/>
      <c r="C108" s="15" t="s">
        <v>66</v>
      </c>
      <c r="D108" s="72" t="s">
        <v>68</v>
      </c>
      <c r="E108" s="72" t="s">
        <v>114</v>
      </c>
      <c r="F108" s="72" t="s">
        <v>70</v>
      </c>
      <c r="G108" s="87">
        <v>38352</v>
      </c>
      <c r="H108" s="73">
        <v>38425</v>
      </c>
      <c r="I108" s="165" t="s">
        <v>71</v>
      </c>
      <c r="J108" s="74">
        <f>15*333.3333</f>
        <v>4999.9995</v>
      </c>
      <c r="K108" s="76">
        <v>0</v>
      </c>
      <c r="L108" s="199">
        <f>SUM(J108:K108)</f>
        <v>4999.9995</v>
      </c>
      <c r="M108" s="88">
        <f>J108</f>
        <v>4999.9995</v>
      </c>
      <c r="N108" s="88">
        <v>0</v>
      </c>
      <c r="O108" s="199">
        <f>SUM(M108:N108)</f>
        <v>4999.9995</v>
      </c>
      <c r="P108" s="77">
        <f>O108*0.65</f>
        <v>3249.999675</v>
      </c>
      <c r="Q108" s="77">
        <f>N108*0.65</f>
        <v>0</v>
      </c>
      <c r="R108" s="223">
        <f>SUM(P108:Q108)</f>
        <v>3249.999675</v>
      </c>
      <c r="S108" s="421"/>
      <c r="T108" s="422"/>
      <c r="U108" s="27" t="s">
        <v>123</v>
      </c>
    </row>
    <row r="109" spans="1:20" s="27" customFormat="1" ht="56.25">
      <c r="A109" s="52" t="s">
        <v>155</v>
      </c>
      <c r="B109" s="75"/>
      <c r="C109" s="15" t="s">
        <v>42</v>
      </c>
      <c r="D109" s="228" t="s">
        <v>164</v>
      </c>
      <c r="E109" s="178" t="s">
        <v>165</v>
      </c>
      <c r="F109" s="178">
        <v>535</v>
      </c>
      <c r="G109" s="229">
        <v>38426</v>
      </c>
      <c r="H109" s="19">
        <v>38491</v>
      </c>
      <c r="I109" s="16" t="s">
        <v>166</v>
      </c>
      <c r="J109" s="233">
        <v>5920</v>
      </c>
      <c r="K109" s="233">
        <v>1184</v>
      </c>
      <c r="L109" s="234">
        <f>J109+K109</f>
        <v>7104</v>
      </c>
      <c r="M109" s="233">
        <f>14*350+300+4*180</f>
        <v>5920</v>
      </c>
      <c r="N109" s="233"/>
      <c r="O109" s="234">
        <f aca="true" t="shared" si="40" ref="O109:O115">+N109+M109</f>
        <v>5920</v>
      </c>
      <c r="P109" s="77">
        <f>+M109*65%</f>
        <v>3848</v>
      </c>
      <c r="Q109" s="77"/>
      <c r="R109" s="223">
        <f aca="true" t="shared" si="41" ref="R109:R115">+Q109+P109</f>
        <v>3848</v>
      </c>
      <c r="S109" s="421" t="s">
        <v>299</v>
      </c>
      <c r="T109" s="422"/>
    </row>
    <row r="110" spans="1:20" s="27" customFormat="1" ht="33.75">
      <c r="A110" s="52" t="s">
        <v>155</v>
      </c>
      <c r="B110" s="75"/>
      <c r="C110" s="15" t="s">
        <v>178</v>
      </c>
      <c r="D110" s="228" t="s">
        <v>167</v>
      </c>
      <c r="E110" s="178" t="s">
        <v>165</v>
      </c>
      <c r="F110" s="178">
        <v>540</v>
      </c>
      <c r="G110" s="229">
        <v>38426</v>
      </c>
      <c r="H110" s="19">
        <v>38525</v>
      </c>
      <c r="I110" s="16" t="s">
        <v>180</v>
      </c>
      <c r="J110" s="233">
        <v>1000</v>
      </c>
      <c r="K110" s="233">
        <v>200</v>
      </c>
      <c r="L110" s="234">
        <v>1200</v>
      </c>
      <c r="M110" s="233">
        <v>1000</v>
      </c>
      <c r="N110" s="233"/>
      <c r="O110" s="234">
        <f t="shared" si="40"/>
        <v>1000</v>
      </c>
      <c r="P110" s="77">
        <f>+M110*65%</f>
        <v>650</v>
      </c>
      <c r="Q110" s="77"/>
      <c r="R110" s="223">
        <f t="shared" si="41"/>
        <v>650</v>
      </c>
      <c r="S110" s="421" t="s">
        <v>299</v>
      </c>
      <c r="T110" s="422"/>
    </row>
    <row r="111" spans="1:20" s="27" customFormat="1" ht="33.75">
      <c r="A111" s="52" t="s">
        <v>155</v>
      </c>
      <c r="B111" s="75"/>
      <c r="C111" s="15" t="s">
        <v>66</v>
      </c>
      <c r="D111" s="228" t="s">
        <v>168</v>
      </c>
      <c r="E111" s="178" t="s">
        <v>165</v>
      </c>
      <c r="F111" s="178">
        <v>537</v>
      </c>
      <c r="G111" s="229">
        <v>38426</v>
      </c>
      <c r="H111" s="19">
        <v>38433</v>
      </c>
      <c r="I111" s="16" t="s">
        <v>180</v>
      </c>
      <c r="J111" s="233">
        <v>1000</v>
      </c>
      <c r="K111" s="233">
        <v>200</v>
      </c>
      <c r="L111" s="234">
        <v>1200</v>
      </c>
      <c r="M111" s="233">
        <f>2*350+300</f>
        <v>1000</v>
      </c>
      <c r="N111" s="233"/>
      <c r="O111" s="234">
        <f t="shared" si="40"/>
        <v>1000</v>
      </c>
      <c r="P111" s="77">
        <f>+M111*65%</f>
        <v>650</v>
      </c>
      <c r="Q111" s="77"/>
      <c r="R111" s="223">
        <f t="shared" si="41"/>
        <v>650</v>
      </c>
      <c r="S111" s="185"/>
      <c r="T111" s="186"/>
    </row>
    <row r="112" spans="1:20" s="27" customFormat="1" ht="33.75">
      <c r="A112" s="52" t="s">
        <v>155</v>
      </c>
      <c r="B112" s="75"/>
      <c r="C112" s="15" t="s">
        <v>179</v>
      </c>
      <c r="D112" s="228" t="s">
        <v>169</v>
      </c>
      <c r="E112" s="178" t="s">
        <v>165</v>
      </c>
      <c r="F112" s="178">
        <v>544</v>
      </c>
      <c r="G112" s="229">
        <v>38426</v>
      </c>
      <c r="H112" s="19">
        <v>38442</v>
      </c>
      <c r="I112" s="16" t="s">
        <v>180</v>
      </c>
      <c r="J112" s="233">
        <v>1000</v>
      </c>
      <c r="K112" s="233">
        <v>200</v>
      </c>
      <c r="L112" s="234">
        <v>1200</v>
      </c>
      <c r="M112" s="233">
        <v>1000</v>
      </c>
      <c r="N112" s="233"/>
      <c r="O112" s="234">
        <f t="shared" si="40"/>
        <v>1000</v>
      </c>
      <c r="P112" s="77">
        <f>+M112*65%</f>
        <v>650</v>
      </c>
      <c r="Q112" s="77"/>
      <c r="R112" s="223">
        <f t="shared" si="41"/>
        <v>650</v>
      </c>
      <c r="S112" s="421" t="s">
        <v>299</v>
      </c>
      <c r="T112" s="422"/>
    </row>
    <row r="113" spans="1:20" s="27" customFormat="1" ht="33.75">
      <c r="A113" s="52" t="s">
        <v>155</v>
      </c>
      <c r="B113" s="75"/>
      <c r="C113" s="15" t="s">
        <v>78</v>
      </c>
      <c r="D113" s="228" t="s">
        <v>170</v>
      </c>
      <c r="E113" s="178" t="s">
        <v>165</v>
      </c>
      <c r="F113" s="230">
        <v>539</v>
      </c>
      <c r="G113" s="231">
        <v>38426</v>
      </c>
      <c r="H113" s="232">
        <v>38434</v>
      </c>
      <c r="I113" s="16" t="s">
        <v>180</v>
      </c>
      <c r="J113" s="233">
        <v>1000</v>
      </c>
      <c r="K113" s="233">
        <v>200</v>
      </c>
      <c r="L113" s="234">
        <v>1200</v>
      </c>
      <c r="M113" s="233">
        <v>1000</v>
      </c>
      <c r="N113" s="233"/>
      <c r="O113" s="234">
        <f t="shared" si="40"/>
        <v>1000</v>
      </c>
      <c r="P113" s="77">
        <f>+M113*0.65</f>
        <v>650</v>
      </c>
      <c r="Q113" s="77"/>
      <c r="R113" s="223">
        <f t="shared" si="41"/>
        <v>650</v>
      </c>
      <c r="S113" s="421" t="s">
        <v>299</v>
      </c>
      <c r="T113" s="422"/>
    </row>
    <row r="114" spans="1:20" s="27" customFormat="1" ht="33.75">
      <c r="A114" s="52" t="s">
        <v>155</v>
      </c>
      <c r="B114" s="75"/>
      <c r="C114" s="15" t="s">
        <v>177</v>
      </c>
      <c r="D114" s="228" t="s">
        <v>171</v>
      </c>
      <c r="E114" s="178" t="s">
        <v>165</v>
      </c>
      <c r="F114" s="178">
        <v>541</v>
      </c>
      <c r="G114" s="229">
        <v>38426</v>
      </c>
      <c r="H114" s="19">
        <v>38525</v>
      </c>
      <c r="I114" s="16" t="s">
        <v>180</v>
      </c>
      <c r="J114" s="233">
        <v>1000</v>
      </c>
      <c r="K114" s="233">
        <v>200</v>
      </c>
      <c r="L114" s="234">
        <v>1200</v>
      </c>
      <c r="M114" s="233">
        <v>1000</v>
      </c>
      <c r="N114" s="233"/>
      <c r="O114" s="234">
        <f t="shared" si="40"/>
        <v>1000</v>
      </c>
      <c r="P114" s="77">
        <f>+M114*0.65</f>
        <v>650</v>
      </c>
      <c r="Q114" s="77"/>
      <c r="R114" s="223">
        <f t="shared" si="41"/>
        <v>650</v>
      </c>
      <c r="S114" s="421" t="s">
        <v>299</v>
      </c>
      <c r="T114" s="422"/>
    </row>
    <row r="115" spans="1:20" s="27" customFormat="1" ht="33.75">
      <c r="A115" s="52" t="s">
        <v>155</v>
      </c>
      <c r="B115" s="75"/>
      <c r="C115" s="15" t="s">
        <v>157</v>
      </c>
      <c r="D115" s="228" t="s">
        <v>172</v>
      </c>
      <c r="E115" s="178" t="s">
        <v>165</v>
      </c>
      <c r="F115" s="178">
        <v>538</v>
      </c>
      <c r="G115" s="229">
        <v>38426</v>
      </c>
      <c r="H115" s="19"/>
      <c r="I115" s="16" t="s">
        <v>180</v>
      </c>
      <c r="J115" s="233">
        <v>1000</v>
      </c>
      <c r="K115" s="233">
        <v>200</v>
      </c>
      <c r="L115" s="234">
        <v>1200</v>
      </c>
      <c r="M115" s="233">
        <v>1000</v>
      </c>
      <c r="N115" s="233"/>
      <c r="O115" s="234">
        <f t="shared" si="40"/>
        <v>1000</v>
      </c>
      <c r="P115" s="77">
        <f>+M115*0.65</f>
        <v>650</v>
      </c>
      <c r="Q115" s="77"/>
      <c r="R115" s="223">
        <f t="shared" si="41"/>
        <v>650</v>
      </c>
      <c r="S115" s="421" t="s">
        <v>299</v>
      </c>
      <c r="T115" s="422"/>
    </row>
    <row r="116" spans="1:20" s="27" customFormat="1" ht="22.5">
      <c r="A116" s="52" t="s">
        <v>155</v>
      </c>
      <c r="B116" s="75"/>
      <c r="C116" s="15" t="s">
        <v>42</v>
      </c>
      <c r="D116" s="441" t="s">
        <v>173</v>
      </c>
      <c r="E116" s="443" t="s">
        <v>174</v>
      </c>
      <c r="F116" s="439" t="s">
        <v>175</v>
      </c>
      <c r="G116" s="451">
        <v>38538</v>
      </c>
      <c r="H116" s="19">
        <v>38552</v>
      </c>
      <c r="I116" s="16" t="s">
        <v>180</v>
      </c>
      <c r="J116" s="233">
        <v>3200</v>
      </c>
      <c r="K116" s="233">
        <v>0</v>
      </c>
      <c r="L116" s="455">
        <f>J116+K116+J117+K117</f>
        <v>4000</v>
      </c>
      <c r="M116" s="233">
        <v>3200</v>
      </c>
      <c r="N116" s="233">
        <v>0</v>
      </c>
      <c r="O116" s="455">
        <f>M116+N116+M117+N117</f>
        <v>4000</v>
      </c>
      <c r="P116" s="453">
        <f>+O116*0.65</f>
        <v>2600</v>
      </c>
      <c r="Q116" s="453"/>
      <c r="R116" s="457">
        <f>+Q117+P116</f>
        <v>2600</v>
      </c>
      <c r="S116" s="459" t="s">
        <v>302</v>
      </c>
      <c r="T116" s="460"/>
    </row>
    <row r="117" spans="1:20" s="27" customFormat="1" ht="33.75">
      <c r="A117" s="52" t="s">
        <v>155</v>
      </c>
      <c r="B117" s="75"/>
      <c r="C117" s="15" t="s">
        <v>42</v>
      </c>
      <c r="D117" s="442"/>
      <c r="E117" s="444"/>
      <c r="F117" s="440"/>
      <c r="G117" s="452"/>
      <c r="H117" s="19">
        <v>38565</v>
      </c>
      <c r="I117" s="17" t="s">
        <v>176</v>
      </c>
      <c r="J117" s="233">
        <v>800</v>
      </c>
      <c r="K117" s="233">
        <v>0</v>
      </c>
      <c r="L117" s="456"/>
      <c r="M117" s="233">
        <v>800</v>
      </c>
      <c r="N117" s="233">
        <v>0</v>
      </c>
      <c r="O117" s="456"/>
      <c r="P117" s="454"/>
      <c r="Q117" s="454"/>
      <c r="R117" s="458"/>
      <c r="S117" s="461"/>
      <c r="T117" s="462"/>
    </row>
    <row r="118" spans="1:20" s="27" customFormat="1" ht="22.5" customHeight="1">
      <c r="A118" s="52" t="s">
        <v>308</v>
      </c>
      <c r="B118" s="75"/>
      <c r="C118" s="15" t="s">
        <v>179</v>
      </c>
      <c r="D118" s="309" t="s">
        <v>355</v>
      </c>
      <c r="E118" s="310" t="s">
        <v>358</v>
      </c>
      <c r="F118" s="311"/>
      <c r="G118" s="312">
        <v>38828</v>
      </c>
      <c r="H118" s="316">
        <v>38828</v>
      </c>
      <c r="I118" s="317" t="s">
        <v>357</v>
      </c>
      <c r="J118" s="318">
        <f>1176+294</f>
        <v>1470</v>
      </c>
      <c r="K118" s="318"/>
      <c r="L118" s="308">
        <f aca="true" t="shared" si="42" ref="L118:L129">+K118+J118</f>
        <v>1470</v>
      </c>
      <c r="M118" s="233"/>
      <c r="N118" s="233"/>
      <c r="O118" s="308">
        <f>+N118+M118</f>
        <v>0</v>
      </c>
      <c r="P118" s="313">
        <f>+M118*0.65</f>
        <v>0</v>
      </c>
      <c r="Q118" s="313"/>
      <c r="R118" s="314">
        <f>+Q118+P118</f>
        <v>0</v>
      </c>
      <c r="S118" s="387" t="s">
        <v>449</v>
      </c>
      <c r="T118" s="388"/>
    </row>
    <row r="119" spans="1:20" s="27" customFormat="1" ht="22.5" customHeight="1">
      <c r="A119" s="53" t="s">
        <v>308</v>
      </c>
      <c r="B119" s="8"/>
      <c r="C119" s="15" t="s">
        <v>78</v>
      </c>
      <c r="D119" s="309" t="s">
        <v>452</v>
      </c>
      <c r="E119" s="310" t="s">
        <v>316</v>
      </c>
      <c r="F119" s="311">
        <v>37</v>
      </c>
      <c r="G119" s="312">
        <v>38651</v>
      </c>
      <c r="H119" s="316">
        <v>38673</v>
      </c>
      <c r="I119" s="317" t="s">
        <v>435</v>
      </c>
      <c r="J119" s="318">
        <v>198.17</v>
      </c>
      <c r="K119" s="318">
        <v>39.63</v>
      </c>
      <c r="L119" s="308">
        <v>237.8</v>
      </c>
      <c r="M119" s="233"/>
      <c r="N119" s="233"/>
      <c r="O119" s="308"/>
      <c r="P119" s="313"/>
      <c r="Q119" s="313"/>
      <c r="R119" s="314"/>
      <c r="S119" s="387" t="s">
        <v>457</v>
      </c>
      <c r="T119" s="388"/>
    </row>
    <row r="120" spans="1:20" s="27" customFormat="1" ht="22.5" customHeight="1">
      <c r="A120" s="53" t="s">
        <v>308</v>
      </c>
      <c r="B120" s="8"/>
      <c r="C120" s="15" t="s">
        <v>78</v>
      </c>
      <c r="D120" s="309" t="s">
        <v>453</v>
      </c>
      <c r="E120" s="310" t="s">
        <v>454</v>
      </c>
      <c r="F120" s="311"/>
      <c r="G120" s="312"/>
      <c r="H120" s="316">
        <v>38678</v>
      </c>
      <c r="I120" s="317" t="s">
        <v>82</v>
      </c>
      <c r="J120" s="318"/>
      <c r="K120" s="318"/>
      <c r="L120" s="308">
        <v>1200</v>
      </c>
      <c r="M120" s="233"/>
      <c r="N120" s="233"/>
      <c r="O120" s="308"/>
      <c r="P120" s="313"/>
      <c r="Q120" s="313"/>
      <c r="R120" s="314"/>
      <c r="S120" s="387" t="s">
        <v>458</v>
      </c>
      <c r="T120" s="388"/>
    </row>
    <row r="121" spans="1:20" s="27" customFormat="1" ht="22.5" customHeight="1">
      <c r="A121" s="53" t="s">
        <v>308</v>
      </c>
      <c r="B121" s="8"/>
      <c r="C121" s="15" t="s">
        <v>78</v>
      </c>
      <c r="D121" s="309" t="s">
        <v>453</v>
      </c>
      <c r="E121" s="310" t="s">
        <v>455</v>
      </c>
      <c r="F121" s="311"/>
      <c r="G121" s="312"/>
      <c r="H121" s="316">
        <v>38678</v>
      </c>
      <c r="I121" s="317" t="s">
        <v>82</v>
      </c>
      <c r="J121" s="318"/>
      <c r="K121" s="318"/>
      <c r="L121" s="308">
        <v>1200</v>
      </c>
      <c r="M121" s="233"/>
      <c r="N121" s="233"/>
      <c r="O121" s="308"/>
      <c r="P121" s="313"/>
      <c r="Q121" s="313"/>
      <c r="R121" s="314"/>
      <c r="S121" s="387" t="s">
        <v>458</v>
      </c>
      <c r="T121" s="388"/>
    </row>
    <row r="122" spans="1:20" s="27" customFormat="1" ht="22.5" customHeight="1">
      <c r="A122" s="53" t="s">
        <v>308</v>
      </c>
      <c r="B122" s="8"/>
      <c r="C122" s="15" t="s">
        <v>78</v>
      </c>
      <c r="D122" s="309" t="s">
        <v>453</v>
      </c>
      <c r="E122" s="310" t="s">
        <v>456</v>
      </c>
      <c r="F122" s="311"/>
      <c r="G122" s="312"/>
      <c r="H122" s="316">
        <v>38678</v>
      </c>
      <c r="I122" s="317" t="s">
        <v>82</v>
      </c>
      <c r="J122" s="318"/>
      <c r="K122" s="318"/>
      <c r="L122" s="308">
        <v>1200</v>
      </c>
      <c r="M122" s="233"/>
      <c r="N122" s="233"/>
      <c r="O122" s="308"/>
      <c r="P122" s="313"/>
      <c r="Q122" s="313"/>
      <c r="R122" s="314"/>
      <c r="S122" s="387" t="s">
        <v>458</v>
      </c>
      <c r="T122" s="388"/>
    </row>
    <row r="123" spans="1:20" s="27" customFormat="1" ht="22.5" customHeight="1">
      <c r="A123" s="53" t="s">
        <v>415</v>
      </c>
      <c r="B123" s="75"/>
      <c r="C123" s="15" t="s">
        <v>179</v>
      </c>
      <c r="D123" s="309" t="s">
        <v>355</v>
      </c>
      <c r="E123" s="310" t="s">
        <v>356</v>
      </c>
      <c r="F123" s="311"/>
      <c r="G123" s="312">
        <v>38828</v>
      </c>
      <c r="H123" s="316">
        <v>38828</v>
      </c>
      <c r="I123" s="317" t="s">
        <v>357</v>
      </c>
      <c r="J123" s="318">
        <f>336+84</f>
        <v>420</v>
      </c>
      <c r="K123" s="318"/>
      <c r="L123" s="308">
        <f t="shared" si="42"/>
        <v>420</v>
      </c>
      <c r="M123" s="233">
        <f>2*180</f>
        <v>360</v>
      </c>
      <c r="N123" s="233"/>
      <c r="O123" s="308">
        <f aca="true" t="shared" si="43" ref="O123:O129">+N123+M123</f>
        <v>360</v>
      </c>
      <c r="P123" s="313">
        <f aca="true" t="shared" si="44" ref="P123:P129">+M123*0.65</f>
        <v>234</v>
      </c>
      <c r="Q123" s="313"/>
      <c r="R123" s="314">
        <f aca="true" t="shared" si="45" ref="R123:R130">+Q123+P123</f>
        <v>234</v>
      </c>
      <c r="S123" s="387"/>
      <c r="T123" s="388"/>
    </row>
    <row r="124" spans="1:20" s="27" customFormat="1" ht="36" customHeight="1">
      <c r="A124" s="53" t="s">
        <v>415</v>
      </c>
      <c r="B124" s="75"/>
      <c r="C124" s="15" t="s">
        <v>179</v>
      </c>
      <c r="D124" s="309" t="s">
        <v>355</v>
      </c>
      <c r="E124" s="310" t="s">
        <v>359</v>
      </c>
      <c r="F124" s="311"/>
      <c r="G124" s="312">
        <v>38828</v>
      </c>
      <c r="H124" s="316">
        <v>38828</v>
      </c>
      <c r="I124" s="317" t="s">
        <v>357</v>
      </c>
      <c r="J124" s="318">
        <f>336+84</f>
        <v>420</v>
      </c>
      <c r="K124" s="318"/>
      <c r="L124" s="308">
        <f t="shared" si="42"/>
        <v>420</v>
      </c>
      <c r="M124" s="233">
        <v>180</v>
      </c>
      <c r="N124" s="233"/>
      <c r="O124" s="308">
        <f t="shared" si="43"/>
        <v>180</v>
      </c>
      <c r="P124" s="313">
        <f t="shared" si="44"/>
        <v>117</v>
      </c>
      <c r="Q124" s="313"/>
      <c r="R124" s="314">
        <f t="shared" si="45"/>
        <v>117</v>
      </c>
      <c r="S124" s="387" t="s">
        <v>448</v>
      </c>
      <c r="T124" s="388"/>
    </row>
    <row r="125" spans="1:20" s="27" customFormat="1" ht="22.5" customHeight="1">
      <c r="A125" s="53" t="s">
        <v>415</v>
      </c>
      <c r="B125" s="75"/>
      <c r="C125" s="15" t="s">
        <v>179</v>
      </c>
      <c r="D125" s="309" t="s">
        <v>355</v>
      </c>
      <c r="E125" s="310" t="s">
        <v>360</v>
      </c>
      <c r="F125" s="311"/>
      <c r="G125" s="312">
        <v>38828</v>
      </c>
      <c r="H125" s="316">
        <v>38828</v>
      </c>
      <c r="I125" s="317" t="s">
        <v>357</v>
      </c>
      <c r="J125" s="318">
        <f>336+84</f>
        <v>420</v>
      </c>
      <c r="K125" s="318"/>
      <c r="L125" s="308">
        <f t="shared" si="42"/>
        <v>420</v>
      </c>
      <c r="M125" s="233">
        <f>2*180</f>
        <v>360</v>
      </c>
      <c r="N125" s="233"/>
      <c r="O125" s="308">
        <f t="shared" si="43"/>
        <v>360</v>
      </c>
      <c r="P125" s="313">
        <f t="shared" si="44"/>
        <v>234</v>
      </c>
      <c r="Q125" s="313"/>
      <c r="R125" s="314">
        <f t="shared" si="45"/>
        <v>234</v>
      </c>
      <c r="S125" s="387"/>
      <c r="T125" s="388"/>
    </row>
    <row r="126" spans="1:20" s="27" customFormat="1" ht="22.5" customHeight="1">
      <c r="A126" s="53" t="s">
        <v>415</v>
      </c>
      <c r="B126" s="75"/>
      <c r="C126" s="15" t="s">
        <v>179</v>
      </c>
      <c r="D126" s="309" t="s">
        <v>355</v>
      </c>
      <c r="E126" s="310" t="s">
        <v>361</v>
      </c>
      <c r="F126" s="311" t="s">
        <v>362</v>
      </c>
      <c r="G126" s="312">
        <v>38834</v>
      </c>
      <c r="H126" s="316">
        <v>38834</v>
      </c>
      <c r="I126" s="317" t="s">
        <v>357</v>
      </c>
      <c r="J126" s="318">
        <f>1225+240.2</f>
        <v>1465.2</v>
      </c>
      <c r="K126" s="318">
        <v>245</v>
      </c>
      <c r="L126" s="308">
        <f t="shared" si="42"/>
        <v>1710.2</v>
      </c>
      <c r="M126" s="233">
        <f>350*2</f>
        <v>700</v>
      </c>
      <c r="N126" s="233"/>
      <c r="O126" s="308">
        <f t="shared" si="43"/>
        <v>700</v>
      </c>
      <c r="P126" s="313">
        <f t="shared" si="44"/>
        <v>455</v>
      </c>
      <c r="Q126" s="313"/>
      <c r="R126" s="314">
        <f t="shared" si="45"/>
        <v>455</v>
      </c>
      <c r="S126" s="387"/>
      <c r="T126" s="388"/>
    </row>
    <row r="127" spans="1:20" s="27" customFormat="1" ht="22.5" customHeight="1">
      <c r="A127" s="53" t="s">
        <v>415</v>
      </c>
      <c r="B127" s="8"/>
      <c r="C127" s="15" t="s">
        <v>49</v>
      </c>
      <c r="D127" s="309" t="s">
        <v>355</v>
      </c>
      <c r="E127" s="310" t="s">
        <v>360</v>
      </c>
      <c r="F127" s="311"/>
      <c r="G127" s="312"/>
      <c r="H127" s="316"/>
      <c r="I127" s="317"/>
      <c r="J127" s="318">
        <v>560</v>
      </c>
      <c r="K127" s="318"/>
      <c r="L127" s="308">
        <f t="shared" si="42"/>
        <v>560</v>
      </c>
      <c r="M127" s="233">
        <f>3*180</f>
        <v>540</v>
      </c>
      <c r="N127" s="233"/>
      <c r="O127" s="308">
        <f t="shared" si="43"/>
        <v>540</v>
      </c>
      <c r="P127" s="77">
        <f t="shared" si="44"/>
        <v>351</v>
      </c>
      <c r="Q127" s="77"/>
      <c r="R127" s="223">
        <f t="shared" si="45"/>
        <v>351</v>
      </c>
      <c r="S127" s="387" t="s">
        <v>447</v>
      </c>
      <c r="T127" s="388"/>
    </row>
    <row r="128" spans="1:20" s="27" customFormat="1" ht="22.5">
      <c r="A128" s="53" t="s">
        <v>415</v>
      </c>
      <c r="B128" s="8"/>
      <c r="C128" s="15" t="s">
        <v>49</v>
      </c>
      <c r="D128" s="309" t="s">
        <v>355</v>
      </c>
      <c r="E128" s="310" t="s">
        <v>356</v>
      </c>
      <c r="F128" s="311"/>
      <c r="G128" s="312"/>
      <c r="H128" s="316"/>
      <c r="I128" s="317"/>
      <c r="J128" s="318">
        <v>560</v>
      </c>
      <c r="K128" s="318"/>
      <c r="L128" s="308">
        <f t="shared" si="42"/>
        <v>560</v>
      </c>
      <c r="M128" s="233">
        <f>180*3</f>
        <v>540</v>
      </c>
      <c r="N128" s="233"/>
      <c r="O128" s="308">
        <f t="shared" si="43"/>
        <v>540</v>
      </c>
      <c r="P128" s="77">
        <f t="shared" si="44"/>
        <v>351</v>
      </c>
      <c r="Q128" s="77"/>
      <c r="R128" s="223">
        <f t="shared" si="45"/>
        <v>351</v>
      </c>
      <c r="S128" s="387" t="s">
        <v>447</v>
      </c>
      <c r="T128" s="388"/>
    </row>
    <row r="129" spans="1:20" s="27" customFormat="1" ht="22.5" customHeight="1">
      <c r="A129" s="53" t="s">
        <v>415</v>
      </c>
      <c r="B129" s="8"/>
      <c r="C129" s="15" t="s">
        <v>49</v>
      </c>
      <c r="D129" s="309" t="s">
        <v>355</v>
      </c>
      <c r="E129" s="310" t="s">
        <v>359</v>
      </c>
      <c r="F129" s="311"/>
      <c r="G129" s="312"/>
      <c r="H129" s="316"/>
      <c r="I129" s="317"/>
      <c r="J129" s="318">
        <v>490</v>
      </c>
      <c r="K129" s="318"/>
      <c r="L129" s="308">
        <f t="shared" si="42"/>
        <v>490</v>
      </c>
      <c r="M129" s="233">
        <v>490</v>
      </c>
      <c r="N129" s="233"/>
      <c r="O129" s="308">
        <f t="shared" si="43"/>
        <v>490</v>
      </c>
      <c r="P129" s="77">
        <f t="shared" si="44"/>
        <v>318.5</v>
      </c>
      <c r="Q129" s="77"/>
      <c r="R129" s="223">
        <f t="shared" si="45"/>
        <v>318.5</v>
      </c>
      <c r="S129" s="387" t="s">
        <v>447</v>
      </c>
      <c r="T129" s="388"/>
    </row>
    <row r="130" spans="1:20" s="27" customFormat="1" ht="22.5">
      <c r="A130" s="53" t="s">
        <v>415</v>
      </c>
      <c r="B130" s="8"/>
      <c r="C130" s="15" t="s">
        <v>157</v>
      </c>
      <c r="D130" s="309" t="s">
        <v>417</v>
      </c>
      <c r="E130" s="310" t="s">
        <v>418</v>
      </c>
      <c r="F130" s="311" t="s">
        <v>419</v>
      </c>
      <c r="G130" s="312">
        <v>38964</v>
      </c>
      <c r="H130" s="316">
        <v>38972</v>
      </c>
      <c r="I130" s="317" t="s">
        <v>186</v>
      </c>
      <c r="J130" s="318">
        <v>4958.22</v>
      </c>
      <c r="K130" s="318">
        <v>991.64</v>
      </c>
      <c r="L130" s="308">
        <f>+K130+J130</f>
        <v>5949.860000000001</v>
      </c>
      <c r="M130" s="318">
        <v>4958.22</v>
      </c>
      <c r="N130" s="318">
        <v>991.64</v>
      </c>
      <c r="O130" s="308">
        <f>+N130+M130</f>
        <v>5949.860000000001</v>
      </c>
      <c r="P130" s="77">
        <f aca="true" t="shared" si="46" ref="P130:Q132">+M130*0.65</f>
        <v>3222.8430000000003</v>
      </c>
      <c r="Q130" s="77">
        <f t="shared" si="46"/>
        <v>644.566</v>
      </c>
      <c r="R130" s="223">
        <f t="shared" si="45"/>
        <v>3867.4090000000006</v>
      </c>
      <c r="S130" s="387"/>
      <c r="T130" s="388"/>
    </row>
    <row r="131" spans="1:20" s="27" customFormat="1" ht="22.5">
      <c r="A131" s="53" t="s">
        <v>415</v>
      </c>
      <c r="B131" s="8"/>
      <c r="C131" s="15" t="s">
        <v>179</v>
      </c>
      <c r="D131" s="309" t="s">
        <v>417</v>
      </c>
      <c r="E131" s="310" t="s">
        <v>418</v>
      </c>
      <c r="F131" s="311" t="s">
        <v>421</v>
      </c>
      <c r="G131" s="312">
        <v>38964</v>
      </c>
      <c r="H131" s="316">
        <v>39007</v>
      </c>
      <c r="I131" s="317" t="s">
        <v>186</v>
      </c>
      <c r="J131" s="318" t="s">
        <v>422</v>
      </c>
      <c r="K131" s="318">
        <v>991.64</v>
      </c>
      <c r="L131" s="308">
        <v>5949.86</v>
      </c>
      <c r="M131" s="318">
        <v>4958.22</v>
      </c>
      <c r="N131" s="318">
        <v>991.64</v>
      </c>
      <c r="O131" s="308">
        <f>+N131+M131</f>
        <v>5949.860000000001</v>
      </c>
      <c r="P131" s="77">
        <f t="shared" si="46"/>
        <v>3222.8430000000003</v>
      </c>
      <c r="Q131" s="77">
        <f t="shared" si="46"/>
        <v>644.566</v>
      </c>
      <c r="R131" s="223">
        <f>+Q131+P131</f>
        <v>3867.4090000000006</v>
      </c>
      <c r="S131" s="387"/>
      <c r="T131" s="388"/>
    </row>
    <row r="132" spans="1:20" s="27" customFormat="1" ht="33.75">
      <c r="A132" s="53" t="s">
        <v>415</v>
      </c>
      <c r="B132" s="8"/>
      <c r="C132" s="15" t="s">
        <v>177</v>
      </c>
      <c r="D132" s="309"/>
      <c r="E132" s="310" t="s">
        <v>425</v>
      </c>
      <c r="F132" s="311">
        <v>11</v>
      </c>
      <c r="G132" s="312">
        <v>38964</v>
      </c>
      <c r="H132" s="316">
        <v>38973</v>
      </c>
      <c r="I132" s="317" t="s">
        <v>426</v>
      </c>
      <c r="J132" s="318">
        <v>4958.22</v>
      </c>
      <c r="K132" s="318">
        <v>991.64</v>
      </c>
      <c r="L132" s="308">
        <v>5949.86</v>
      </c>
      <c r="M132" s="318">
        <v>4958.22</v>
      </c>
      <c r="N132" s="318">
        <v>991.64</v>
      </c>
      <c r="O132" s="308">
        <f>+N132+M132</f>
        <v>5949.860000000001</v>
      </c>
      <c r="P132" s="77">
        <f t="shared" si="46"/>
        <v>3222.8430000000003</v>
      </c>
      <c r="Q132" s="77">
        <f t="shared" si="46"/>
        <v>644.566</v>
      </c>
      <c r="R132" s="223">
        <f>+Q132+P132</f>
        <v>3867.4090000000006</v>
      </c>
      <c r="S132" s="387"/>
      <c r="T132" s="388"/>
    </row>
    <row r="133" spans="1:20" s="27" customFormat="1" ht="33.75">
      <c r="A133" s="53" t="s">
        <v>415</v>
      </c>
      <c r="B133" s="8"/>
      <c r="C133" s="15" t="s">
        <v>177</v>
      </c>
      <c r="D133" s="309"/>
      <c r="E133" s="310" t="s">
        <v>427</v>
      </c>
      <c r="F133" s="311">
        <v>51</v>
      </c>
      <c r="G133" s="312">
        <v>38991</v>
      </c>
      <c r="H133" s="316">
        <v>39017</v>
      </c>
      <c r="I133" s="317" t="s">
        <v>428</v>
      </c>
      <c r="J133" s="318">
        <v>2922.35</v>
      </c>
      <c r="K133" s="318">
        <v>557.7</v>
      </c>
      <c r="L133" s="308">
        <v>3480.05</v>
      </c>
      <c r="M133" s="233"/>
      <c r="N133" s="233"/>
      <c r="O133" s="308"/>
      <c r="P133" s="313"/>
      <c r="Q133" s="313"/>
      <c r="R133" s="314"/>
      <c r="S133" s="387"/>
      <c r="T133" s="388"/>
    </row>
    <row r="134" spans="1:20" s="27" customFormat="1" ht="11.25">
      <c r="A134" s="53" t="s">
        <v>415</v>
      </c>
      <c r="B134" s="8"/>
      <c r="C134" s="15" t="s">
        <v>78</v>
      </c>
      <c r="D134" s="309" t="s">
        <v>433</v>
      </c>
      <c r="E134" s="310" t="s">
        <v>434</v>
      </c>
      <c r="F134" s="311">
        <v>10</v>
      </c>
      <c r="G134" s="312">
        <v>38964</v>
      </c>
      <c r="H134" s="316">
        <v>38980</v>
      </c>
      <c r="I134" s="317" t="s">
        <v>435</v>
      </c>
      <c r="J134" s="318">
        <v>4958.22</v>
      </c>
      <c r="K134" s="318">
        <v>991.64</v>
      </c>
      <c r="L134" s="308">
        <v>5952.44</v>
      </c>
      <c r="M134" s="318">
        <v>4958.22</v>
      </c>
      <c r="N134" s="318">
        <v>991.64</v>
      </c>
      <c r="O134" s="308">
        <f>+N134+M134</f>
        <v>5949.860000000001</v>
      </c>
      <c r="P134" s="77">
        <f>+M134*0.65</f>
        <v>3222.8430000000003</v>
      </c>
      <c r="Q134" s="77">
        <f>+N134*0.65</f>
        <v>644.566</v>
      </c>
      <c r="R134" s="223">
        <f>+Q134+P134</f>
        <v>3867.4090000000006</v>
      </c>
      <c r="S134" s="387"/>
      <c r="T134" s="388"/>
    </row>
    <row r="135" spans="1:21" s="27" customFormat="1" ht="22.5">
      <c r="A135" s="52" t="s">
        <v>415</v>
      </c>
      <c r="B135" s="75"/>
      <c r="C135" s="15" t="s">
        <v>66</v>
      </c>
      <c r="D135" s="72" t="s">
        <v>68</v>
      </c>
      <c r="E135" s="72" t="s">
        <v>72</v>
      </c>
      <c r="F135" s="72" t="s">
        <v>73</v>
      </c>
      <c r="G135" s="73">
        <v>38398</v>
      </c>
      <c r="H135" s="73">
        <v>38425</v>
      </c>
      <c r="I135" s="165" t="s">
        <v>71</v>
      </c>
      <c r="J135" s="74">
        <v>5000</v>
      </c>
      <c r="K135" s="76">
        <v>0</v>
      </c>
      <c r="L135" s="199">
        <f>SUM(J135:K135)</f>
        <v>5000</v>
      </c>
      <c r="M135" s="88">
        <v>5000</v>
      </c>
      <c r="N135" s="88">
        <v>0</v>
      </c>
      <c r="O135" s="199">
        <f>SUM(M135:N135)</f>
        <v>5000</v>
      </c>
      <c r="P135" s="77">
        <f>O135*0.65</f>
        <v>3250</v>
      </c>
      <c r="Q135" s="77">
        <f>N135*0.65</f>
        <v>0</v>
      </c>
      <c r="R135" s="223">
        <f>SUM(P135:Q135)</f>
        <v>3250</v>
      </c>
      <c r="S135" s="421"/>
      <c r="T135" s="422"/>
      <c r="U135" s="27" t="s">
        <v>123</v>
      </c>
    </row>
    <row r="136" spans="1:20" s="27" customFormat="1" ht="157.5">
      <c r="A136" s="52" t="s">
        <v>461</v>
      </c>
      <c r="B136" s="75"/>
      <c r="C136" s="15" t="s">
        <v>49</v>
      </c>
      <c r="D136" s="356" t="s">
        <v>476</v>
      </c>
      <c r="E136" s="356" t="s">
        <v>477</v>
      </c>
      <c r="F136" s="356" t="s">
        <v>478</v>
      </c>
      <c r="G136" s="357">
        <v>38964</v>
      </c>
      <c r="H136" s="357">
        <v>39121</v>
      </c>
      <c r="I136" s="358" t="s">
        <v>479</v>
      </c>
      <c r="J136" s="359">
        <v>4958.22</v>
      </c>
      <c r="K136" s="76">
        <v>991.6440000000001</v>
      </c>
      <c r="L136" s="199">
        <v>5949.8640000000005</v>
      </c>
      <c r="M136" s="88"/>
      <c r="N136" s="88"/>
      <c r="O136" s="199"/>
      <c r="P136" s="77"/>
      <c r="Q136" s="77"/>
      <c r="R136" s="223"/>
      <c r="S136" s="419" t="s">
        <v>480</v>
      </c>
      <c r="T136" s="420"/>
    </row>
    <row r="137" spans="1:20" s="27" customFormat="1" ht="11.25">
      <c r="A137" s="52" t="s">
        <v>488</v>
      </c>
      <c r="B137" s="8"/>
      <c r="C137" s="105" t="s">
        <v>78</v>
      </c>
      <c r="D137" s="356" t="s">
        <v>489</v>
      </c>
      <c r="E137" s="356" t="s">
        <v>490</v>
      </c>
      <c r="F137" s="356">
        <v>131</v>
      </c>
      <c r="G137" s="357">
        <v>39188</v>
      </c>
      <c r="H137" s="357">
        <v>39216</v>
      </c>
      <c r="I137" s="358" t="s">
        <v>435</v>
      </c>
      <c r="J137" s="359">
        <v>7000</v>
      </c>
      <c r="K137" s="76">
        <v>1400</v>
      </c>
      <c r="L137" s="199">
        <v>8400</v>
      </c>
      <c r="M137" s="364">
        <v>2333.28</v>
      </c>
      <c r="N137" s="88">
        <v>466.66</v>
      </c>
      <c r="O137" s="199">
        <f>+N137+M137</f>
        <v>2799.94</v>
      </c>
      <c r="P137" s="77">
        <f>+M137*0.65</f>
        <v>1516.6320000000003</v>
      </c>
      <c r="Q137" s="77">
        <f>N137*0.65</f>
        <v>303.329</v>
      </c>
      <c r="R137" s="223">
        <f>SUM(P137:Q137)</f>
        <v>1819.9610000000002</v>
      </c>
      <c r="S137" s="387" t="s">
        <v>605</v>
      </c>
      <c r="T137" s="388"/>
    </row>
    <row r="138" spans="1:20" s="27" customFormat="1" ht="22.5">
      <c r="A138" s="52" t="s">
        <v>488</v>
      </c>
      <c r="B138" s="8"/>
      <c r="C138" s="15" t="s">
        <v>157</v>
      </c>
      <c r="D138" s="356"/>
      <c r="E138" s="356" t="s">
        <v>498</v>
      </c>
      <c r="F138" s="356"/>
      <c r="G138" s="357"/>
      <c r="H138" s="357">
        <v>39261</v>
      </c>
      <c r="I138" s="358" t="s">
        <v>499</v>
      </c>
      <c r="J138" s="359">
        <v>2000</v>
      </c>
      <c r="K138" s="76"/>
      <c r="L138" s="199">
        <v>1830.34</v>
      </c>
      <c r="M138" s="364"/>
      <c r="N138" s="88"/>
      <c r="O138" s="199"/>
      <c r="P138" s="77"/>
      <c r="Q138" s="77"/>
      <c r="R138" s="223"/>
      <c r="S138" s="351"/>
      <c r="T138" s="352"/>
    </row>
    <row r="139" spans="1:20" s="27" customFormat="1" ht="67.5">
      <c r="A139" s="52" t="s">
        <v>488</v>
      </c>
      <c r="B139" s="8"/>
      <c r="C139" s="15" t="s">
        <v>179</v>
      </c>
      <c r="D139" s="356" t="s">
        <v>501</v>
      </c>
      <c r="E139" s="356" t="s">
        <v>490</v>
      </c>
      <c r="F139" s="356" t="s">
        <v>502</v>
      </c>
      <c r="G139" s="357">
        <v>39188</v>
      </c>
      <c r="H139" s="357">
        <v>39262</v>
      </c>
      <c r="I139" s="358" t="s">
        <v>503</v>
      </c>
      <c r="J139" s="359">
        <v>7000</v>
      </c>
      <c r="K139" s="76">
        <v>1400</v>
      </c>
      <c r="L139" s="199">
        <v>8400</v>
      </c>
      <c r="M139" s="364">
        <v>2333.28</v>
      </c>
      <c r="N139" s="88">
        <f>+M139*0.2</f>
        <v>466.65600000000006</v>
      </c>
      <c r="O139" s="199">
        <f>+N139+M139</f>
        <v>2799.936</v>
      </c>
      <c r="P139" s="77">
        <f>+M139*0.65</f>
        <v>1516.6320000000003</v>
      </c>
      <c r="Q139" s="77">
        <f>N139*0.65</f>
        <v>303.32640000000004</v>
      </c>
      <c r="R139" s="223">
        <f>SUM(P139:Q139)</f>
        <v>1819.9584000000004</v>
      </c>
      <c r="S139" s="351"/>
      <c r="T139" s="352"/>
    </row>
    <row r="140" spans="1:20" s="27" customFormat="1" ht="22.5">
      <c r="A140" s="52" t="s">
        <v>488</v>
      </c>
      <c r="B140" s="8"/>
      <c r="C140" s="15" t="s">
        <v>177</v>
      </c>
      <c r="D140" s="356"/>
      <c r="E140" s="356" t="s">
        <v>509</v>
      </c>
      <c r="F140" s="356">
        <v>130</v>
      </c>
      <c r="G140" s="357">
        <v>39188</v>
      </c>
      <c r="H140" s="357">
        <v>39246</v>
      </c>
      <c r="I140" s="358" t="s">
        <v>510</v>
      </c>
      <c r="J140" s="359">
        <v>2333.28</v>
      </c>
      <c r="K140" s="76">
        <v>466.65600000000006</v>
      </c>
      <c r="L140" s="199">
        <v>2799.936</v>
      </c>
      <c r="M140" s="359">
        <v>2333.28</v>
      </c>
      <c r="N140" s="76">
        <v>466.65600000000006</v>
      </c>
      <c r="O140" s="199">
        <f>+N140+M140</f>
        <v>2799.936</v>
      </c>
      <c r="P140" s="77">
        <f>+M140*0.65</f>
        <v>1516.6320000000003</v>
      </c>
      <c r="Q140" s="77">
        <f>N140*0.65</f>
        <v>303.32640000000004</v>
      </c>
      <c r="R140" s="223">
        <f>SUM(P140:Q140)</f>
        <v>1819.9584000000004</v>
      </c>
      <c r="S140" s="351"/>
      <c r="T140" s="352"/>
    </row>
    <row r="141" spans="1:20" s="27" customFormat="1" ht="33.75">
      <c r="A141" s="52" t="s">
        <v>488</v>
      </c>
      <c r="B141" s="8"/>
      <c r="C141" s="15" t="s">
        <v>177</v>
      </c>
      <c r="D141" s="356"/>
      <c r="E141" s="356" t="s">
        <v>511</v>
      </c>
      <c r="F141" s="356" t="s">
        <v>512</v>
      </c>
      <c r="G141" s="357">
        <v>39261</v>
      </c>
      <c r="H141" s="357">
        <v>39262</v>
      </c>
      <c r="I141" s="358" t="s">
        <v>510</v>
      </c>
      <c r="J141" s="359">
        <v>7320.26</v>
      </c>
      <c r="K141" s="76">
        <v>1429.74</v>
      </c>
      <c r="L141" s="199">
        <v>8750</v>
      </c>
      <c r="M141" s="364"/>
      <c r="N141" s="88"/>
      <c r="O141" s="199"/>
      <c r="P141" s="77"/>
      <c r="Q141" s="77"/>
      <c r="R141" s="223"/>
      <c r="S141" s="387" t="s">
        <v>609</v>
      </c>
      <c r="T141" s="388"/>
    </row>
    <row r="142" spans="1:20" s="27" customFormat="1" ht="33.75">
      <c r="A142" s="52" t="s">
        <v>488</v>
      </c>
      <c r="B142" s="8"/>
      <c r="C142" s="15" t="s">
        <v>177</v>
      </c>
      <c r="D142" s="356"/>
      <c r="E142" s="356" t="s">
        <v>513</v>
      </c>
      <c r="F142" s="356" t="s">
        <v>514</v>
      </c>
      <c r="G142" s="357">
        <v>39259</v>
      </c>
      <c r="H142" s="357">
        <v>39263</v>
      </c>
      <c r="I142" s="358" t="s">
        <v>510</v>
      </c>
      <c r="J142" s="359">
        <v>2570</v>
      </c>
      <c r="K142" s="76">
        <v>514</v>
      </c>
      <c r="L142" s="199">
        <v>3084</v>
      </c>
      <c r="M142" s="88">
        <f>350*1+5*300+4*180</f>
        <v>2570</v>
      </c>
      <c r="N142" s="88"/>
      <c r="O142" s="199">
        <f>+N142+M142</f>
        <v>2570</v>
      </c>
      <c r="P142" s="77">
        <f>+M142*0.65</f>
        <v>1670.5</v>
      </c>
      <c r="Q142" s="77">
        <f>N142*0.65</f>
        <v>0</v>
      </c>
      <c r="R142" s="223">
        <f>SUM(P142:Q142)</f>
        <v>1670.5</v>
      </c>
      <c r="S142" s="387" t="s">
        <v>447</v>
      </c>
      <c r="T142" s="388"/>
    </row>
    <row r="143" spans="1:20" s="27" customFormat="1" ht="22.5">
      <c r="A143" s="52" t="s">
        <v>488</v>
      </c>
      <c r="B143" s="8"/>
      <c r="C143" s="15" t="s">
        <v>42</v>
      </c>
      <c r="D143" s="356" t="s">
        <v>527</v>
      </c>
      <c r="E143" s="356" t="s">
        <v>528</v>
      </c>
      <c r="F143" s="356" t="s">
        <v>529</v>
      </c>
      <c r="G143" s="357">
        <v>39259</v>
      </c>
      <c r="H143" s="357">
        <v>39293</v>
      </c>
      <c r="I143" s="358" t="s">
        <v>186</v>
      </c>
      <c r="J143" s="359">
        <v>21270</v>
      </c>
      <c r="K143" s="76">
        <v>4254</v>
      </c>
      <c r="L143" s="199">
        <v>25524</v>
      </c>
      <c r="M143" s="359">
        <v>21270</v>
      </c>
      <c r="N143" s="88"/>
      <c r="O143" s="199">
        <f>+N143+M143</f>
        <v>21270</v>
      </c>
      <c r="P143" s="77">
        <f>+M143*0.65</f>
        <v>13825.5</v>
      </c>
      <c r="Q143" s="77">
        <f>N143*0.65</f>
        <v>0</v>
      </c>
      <c r="R143" s="223">
        <f>SUM(P143:Q143)</f>
        <v>13825.5</v>
      </c>
      <c r="S143" s="351"/>
      <c r="T143" s="352"/>
    </row>
    <row r="144" spans="1:20" s="27" customFormat="1" ht="22.5">
      <c r="A144" s="52" t="s">
        <v>488</v>
      </c>
      <c r="B144" s="8"/>
      <c r="C144" s="15" t="s">
        <v>42</v>
      </c>
      <c r="D144" s="356" t="s">
        <v>530</v>
      </c>
      <c r="E144" s="356" t="s">
        <v>531</v>
      </c>
      <c r="F144" s="356"/>
      <c r="G144" s="357">
        <v>39268</v>
      </c>
      <c r="H144" s="357">
        <v>39293</v>
      </c>
      <c r="I144" s="358" t="s">
        <v>186</v>
      </c>
      <c r="J144" s="359">
        <v>8000</v>
      </c>
      <c r="K144" s="76"/>
      <c r="L144" s="199">
        <v>8000</v>
      </c>
      <c r="M144" s="364"/>
      <c r="N144" s="88"/>
      <c r="O144" s="199"/>
      <c r="P144" s="77"/>
      <c r="Q144" s="77"/>
      <c r="R144" s="223"/>
      <c r="S144" s="387" t="s">
        <v>609</v>
      </c>
      <c r="T144" s="388"/>
    </row>
    <row r="145" spans="1:20" s="27" customFormat="1" ht="11.25">
      <c r="A145" s="52" t="s">
        <v>488</v>
      </c>
      <c r="B145" s="8"/>
      <c r="C145" s="105" t="s">
        <v>78</v>
      </c>
      <c r="D145" s="356" t="s">
        <v>533</v>
      </c>
      <c r="E145" s="356" t="s">
        <v>490</v>
      </c>
      <c r="F145" s="356">
        <v>199</v>
      </c>
      <c r="G145" s="357">
        <v>39275</v>
      </c>
      <c r="H145" s="357">
        <v>39330</v>
      </c>
      <c r="I145" s="358" t="s">
        <v>435</v>
      </c>
      <c r="J145" s="359">
        <v>2333.28</v>
      </c>
      <c r="K145" s="76">
        <v>466.66</v>
      </c>
      <c r="L145" s="199">
        <v>2799.94</v>
      </c>
      <c r="M145" s="359">
        <v>2333.28</v>
      </c>
      <c r="N145" s="76">
        <v>466.66</v>
      </c>
      <c r="O145" s="199">
        <f>+N145+M145</f>
        <v>2799.94</v>
      </c>
      <c r="P145" s="77">
        <f>+M145*0.65</f>
        <v>1516.6320000000003</v>
      </c>
      <c r="Q145" s="77">
        <f>N145*0.65</f>
        <v>303.329</v>
      </c>
      <c r="R145" s="223">
        <f>SUM(P145:Q145)</f>
        <v>1819.9610000000002</v>
      </c>
      <c r="S145" s="351"/>
      <c r="T145" s="352"/>
    </row>
    <row r="146" spans="1:20" s="27" customFormat="1" ht="22.5">
      <c r="A146" s="52" t="s">
        <v>488</v>
      </c>
      <c r="B146" s="8"/>
      <c r="C146" s="105" t="s">
        <v>78</v>
      </c>
      <c r="D146" s="356" t="s">
        <v>534</v>
      </c>
      <c r="E146" s="356" t="s">
        <v>535</v>
      </c>
      <c r="F146" s="356" t="s">
        <v>536</v>
      </c>
      <c r="G146" s="357">
        <v>39259</v>
      </c>
      <c r="H146" s="357">
        <v>39269</v>
      </c>
      <c r="I146" s="358" t="s">
        <v>435</v>
      </c>
      <c r="J146" s="359">
        <v>2570</v>
      </c>
      <c r="K146" s="76">
        <v>514</v>
      </c>
      <c r="L146" s="199">
        <v>3084</v>
      </c>
      <c r="M146" s="359">
        <v>2570</v>
      </c>
      <c r="N146" s="88"/>
      <c r="O146" s="199">
        <f>+N146+M146</f>
        <v>2570</v>
      </c>
      <c r="P146" s="77">
        <f>+M146*0.65</f>
        <v>1670.5</v>
      </c>
      <c r="Q146" s="77">
        <f>N146*0.65</f>
        <v>0</v>
      </c>
      <c r="R146" s="223">
        <f>SUM(P146:Q146)</f>
        <v>1670.5</v>
      </c>
      <c r="S146" s="351"/>
      <c r="T146" s="352"/>
    </row>
    <row r="147" spans="1:20" s="27" customFormat="1" ht="22.5">
      <c r="A147" s="52" t="s">
        <v>488</v>
      </c>
      <c r="B147" s="8"/>
      <c r="C147" s="15" t="s">
        <v>157</v>
      </c>
      <c r="D147" s="356" t="s">
        <v>537</v>
      </c>
      <c r="E147" s="356" t="s">
        <v>538</v>
      </c>
      <c r="F147" s="356">
        <v>128</v>
      </c>
      <c r="G147" s="357">
        <v>39188</v>
      </c>
      <c r="H147" s="357">
        <v>39290</v>
      </c>
      <c r="I147" s="358" t="s">
        <v>435</v>
      </c>
      <c r="J147" s="359"/>
      <c r="K147" s="76"/>
      <c r="L147" s="199">
        <v>2799.94</v>
      </c>
      <c r="M147" s="364">
        <v>2333.28</v>
      </c>
      <c r="N147" s="88">
        <f>+M147*0.2</f>
        <v>466.65600000000006</v>
      </c>
      <c r="O147" s="199">
        <f>+N147+M147</f>
        <v>2799.936</v>
      </c>
      <c r="P147" s="77">
        <f>+M147*0.65</f>
        <v>1516.6320000000003</v>
      </c>
      <c r="Q147" s="77">
        <f>N147*0.65</f>
        <v>303.32640000000004</v>
      </c>
      <c r="R147" s="223">
        <f>SUM(P147:Q147)</f>
        <v>1819.9584000000004</v>
      </c>
      <c r="S147" s="387" t="s">
        <v>621</v>
      </c>
      <c r="T147" s="388"/>
    </row>
    <row r="148" spans="1:20" s="27" customFormat="1" ht="22.5">
      <c r="A148" s="52" t="s">
        <v>488</v>
      </c>
      <c r="B148" s="8"/>
      <c r="C148" s="15" t="s">
        <v>157</v>
      </c>
      <c r="D148" s="356"/>
      <c r="E148" s="356" t="s">
        <v>539</v>
      </c>
      <c r="F148" s="356">
        <v>1241</v>
      </c>
      <c r="G148" s="357">
        <v>39259</v>
      </c>
      <c r="H148" s="357">
        <v>39280</v>
      </c>
      <c r="I148" s="358" t="s">
        <v>435</v>
      </c>
      <c r="J148" s="359">
        <v>2570</v>
      </c>
      <c r="K148" s="76">
        <v>514</v>
      </c>
      <c r="L148" s="199">
        <v>3084</v>
      </c>
      <c r="M148" s="364">
        <f>5*300+4*180+350</f>
        <v>2570</v>
      </c>
      <c r="N148" s="88"/>
      <c r="O148" s="199">
        <f>+N148+M148</f>
        <v>2570</v>
      </c>
      <c r="P148" s="77">
        <f>+M148*0.65</f>
        <v>1670.5</v>
      </c>
      <c r="Q148" s="77">
        <f>N148*0.65</f>
        <v>0</v>
      </c>
      <c r="R148" s="223">
        <f>SUM(P148:Q148)</f>
        <v>1670.5</v>
      </c>
      <c r="S148" s="351"/>
      <c r="T148" s="352"/>
    </row>
    <row r="149" spans="1:20" s="27" customFormat="1" ht="46.5" customHeight="1">
      <c r="A149" s="52" t="s">
        <v>488</v>
      </c>
      <c r="B149" s="8"/>
      <c r="C149" s="15" t="s">
        <v>157</v>
      </c>
      <c r="D149" s="356"/>
      <c r="E149" s="356" t="s">
        <v>540</v>
      </c>
      <c r="F149" s="356"/>
      <c r="G149" s="357">
        <v>39274</v>
      </c>
      <c r="H149" s="357">
        <v>39280</v>
      </c>
      <c r="I149" s="358" t="s">
        <v>541</v>
      </c>
      <c r="J149" s="359"/>
      <c r="K149" s="76"/>
      <c r="L149" s="199">
        <v>1000</v>
      </c>
      <c r="M149" s="364"/>
      <c r="N149" s="88"/>
      <c r="O149" s="199"/>
      <c r="P149" s="77"/>
      <c r="Q149" s="77"/>
      <c r="R149" s="223"/>
      <c r="S149" s="387" t="s">
        <v>615</v>
      </c>
      <c r="T149" s="388"/>
    </row>
    <row r="150" spans="1:20" s="27" customFormat="1" ht="11.25">
      <c r="A150" s="52" t="s">
        <v>488</v>
      </c>
      <c r="B150" s="8"/>
      <c r="C150" s="15" t="s">
        <v>157</v>
      </c>
      <c r="D150" s="356"/>
      <c r="E150" s="356" t="s">
        <v>538</v>
      </c>
      <c r="F150" s="356">
        <v>225</v>
      </c>
      <c r="G150" s="357">
        <v>39289</v>
      </c>
      <c r="H150" s="357">
        <v>39345</v>
      </c>
      <c r="I150" s="358" t="s">
        <v>542</v>
      </c>
      <c r="J150" s="359"/>
      <c r="K150" s="76"/>
      <c r="L150" s="199">
        <v>2799.94</v>
      </c>
      <c r="M150" s="364"/>
      <c r="N150" s="88"/>
      <c r="O150" s="199"/>
      <c r="P150" s="77"/>
      <c r="Q150" s="77"/>
      <c r="R150" s="223"/>
      <c r="S150" s="387" t="s">
        <v>609</v>
      </c>
      <c r="T150" s="388"/>
    </row>
    <row r="151" spans="1:20" s="27" customFormat="1" ht="22.5">
      <c r="A151" s="52" t="s">
        <v>488</v>
      </c>
      <c r="B151" s="8"/>
      <c r="C151" s="15" t="s">
        <v>157</v>
      </c>
      <c r="D151" s="356"/>
      <c r="E151" s="356" t="s">
        <v>540</v>
      </c>
      <c r="F151" s="356"/>
      <c r="G151" s="357">
        <v>39305</v>
      </c>
      <c r="H151" s="357">
        <v>39331</v>
      </c>
      <c r="I151" s="358" t="s">
        <v>543</v>
      </c>
      <c r="J151" s="359"/>
      <c r="K151" s="76"/>
      <c r="L151" s="199">
        <v>1000</v>
      </c>
      <c r="M151" s="364"/>
      <c r="N151" s="88"/>
      <c r="O151" s="199"/>
      <c r="P151" s="77"/>
      <c r="Q151" s="77"/>
      <c r="R151" s="223"/>
      <c r="S151" s="391" t="s">
        <v>615</v>
      </c>
      <c r="T151" s="392"/>
    </row>
    <row r="152" spans="1:20" s="27" customFormat="1" ht="22.5">
      <c r="A152" s="52" t="s">
        <v>488</v>
      </c>
      <c r="B152" s="8"/>
      <c r="C152" s="15" t="s">
        <v>157</v>
      </c>
      <c r="D152" s="356"/>
      <c r="E152" s="356" t="s">
        <v>540</v>
      </c>
      <c r="F152" s="356"/>
      <c r="G152" s="357">
        <v>39339</v>
      </c>
      <c r="H152" s="357">
        <v>39380</v>
      </c>
      <c r="I152" s="358" t="s">
        <v>544</v>
      </c>
      <c r="J152" s="359"/>
      <c r="K152" s="76"/>
      <c r="L152" s="199">
        <v>1000</v>
      </c>
      <c r="M152" s="364"/>
      <c r="N152" s="88"/>
      <c r="O152" s="199"/>
      <c r="P152" s="77"/>
      <c r="Q152" s="77"/>
      <c r="R152" s="223"/>
      <c r="S152" s="393"/>
      <c r="T152" s="394"/>
    </row>
    <row r="153" spans="1:20" s="27" customFormat="1" ht="22.5">
      <c r="A153" s="52" t="s">
        <v>488</v>
      </c>
      <c r="B153" s="8"/>
      <c r="C153" s="15" t="s">
        <v>157</v>
      </c>
      <c r="D153" s="356"/>
      <c r="E153" s="356" t="s">
        <v>540</v>
      </c>
      <c r="F153" s="356"/>
      <c r="G153" s="357">
        <v>39369</v>
      </c>
      <c r="H153" s="357">
        <v>39380</v>
      </c>
      <c r="I153" s="358" t="s">
        <v>545</v>
      </c>
      <c r="J153" s="359"/>
      <c r="K153" s="76"/>
      <c r="L153" s="199">
        <v>1000</v>
      </c>
      <c r="M153" s="364"/>
      <c r="N153" s="88"/>
      <c r="O153" s="199"/>
      <c r="P153" s="77"/>
      <c r="Q153" s="77"/>
      <c r="R153" s="223"/>
      <c r="S153" s="393"/>
      <c r="T153" s="394"/>
    </row>
    <row r="154" spans="1:20" s="27" customFormat="1" ht="22.5">
      <c r="A154" s="52" t="s">
        <v>488</v>
      </c>
      <c r="B154" s="8"/>
      <c r="C154" s="15" t="s">
        <v>157</v>
      </c>
      <c r="D154" s="356"/>
      <c r="E154" s="356" t="s">
        <v>540</v>
      </c>
      <c r="F154" s="356"/>
      <c r="G154" s="357">
        <v>39386</v>
      </c>
      <c r="H154" s="357">
        <v>39402</v>
      </c>
      <c r="I154" s="358" t="s">
        <v>546</v>
      </c>
      <c r="J154" s="359"/>
      <c r="K154" s="76"/>
      <c r="L154" s="199">
        <v>1000</v>
      </c>
      <c r="M154" s="364"/>
      <c r="N154" s="88"/>
      <c r="O154" s="199"/>
      <c r="P154" s="77"/>
      <c r="Q154" s="77"/>
      <c r="R154" s="223"/>
      <c r="S154" s="395"/>
      <c r="T154" s="396"/>
    </row>
    <row r="155" spans="1:20" s="27" customFormat="1" ht="67.5">
      <c r="A155" s="52" t="s">
        <v>488</v>
      </c>
      <c r="B155" s="8"/>
      <c r="C155" s="15" t="s">
        <v>179</v>
      </c>
      <c r="D155" s="356" t="s">
        <v>549</v>
      </c>
      <c r="E155" s="356" t="s">
        <v>490</v>
      </c>
      <c r="F155" s="356" t="s">
        <v>550</v>
      </c>
      <c r="G155" s="357">
        <v>39268</v>
      </c>
      <c r="H155" s="357">
        <v>39262</v>
      </c>
      <c r="I155" s="358" t="s">
        <v>503</v>
      </c>
      <c r="J155" s="359">
        <v>2333.28</v>
      </c>
      <c r="K155" s="76">
        <v>466.66</v>
      </c>
      <c r="L155" s="199">
        <v>2799.94</v>
      </c>
      <c r="M155" s="359">
        <v>2333.28</v>
      </c>
      <c r="N155" s="76">
        <v>466.66</v>
      </c>
      <c r="O155" s="199">
        <f aca="true" t="shared" si="47" ref="O155:O161">+N155+M155</f>
        <v>2799.94</v>
      </c>
      <c r="P155" s="77">
        <f aca="true" t="shared" si="48" ref="P155:P161">+M155*0.65</f>
        <v>1516.6320000000003</v>
      </c>
      <c r="Q155" s="77">
        <f aca="true" t="shared" si="49" ref="Q155:Q161">N155*0.65</f>
        <v>303.329</v>
      </c>
      <c r="R155" s="223">
        <f aca="true" t="shared" si="50" ref="R155:R162">SUM(P155:Q155)</f>
        <v>1819.9610000000002</v>
      </c>
      <c r="S155" s="351"/>
      <c r="T155" s="352"/>
    </row>
    <row r="156" spans="1:20" s="27" customFormat="1" ht="22.5">
      <c r="A156" s="52" t="s">
        <v>488</v>
      </c>
      <c r="B156" s="8"/>
      <c r="C156" s="15" t="s">
        <v>179</v>
      </c>
      <c r="D156" s="356" t="s">
        <v>551</v>
      </c>
      <c r="E156" s="356" t="s">
        <v>552</v>
      </c>
      <c r="F156" s="356" t="s">
        <v>553</v>
      </c>
      <c r="G156" s="357">
        <v>39259</v>
      </c>
      <c r="H156" s="357">
        <v>39337</v>
      </c>
      <c r="I156" s="358" t="s">
        <v>503</v>
      </c>
      <c r="J156" s="359">
        <v>2570</v>
      </c>
      <c r="K156" s="76">
        <v>514</v>
      </c>
      <c r="L156" s="199">
        <v>3084</v>
      </c>
      <c r="M156" s="359">
        <v>2570</v>
      </c>
      <c r="N156" s="88"/>
      <c r="O156" s="199">
        <f t="shared" si="47"/>
        <v>2570</v>
      </c>
      <c r="P156" s="77">
        <f t="shared" si="48"/>
        <v>1670.5</v>
      </c>
      <c r="Q156" s="77">
        <f t="shared" si="49"/>
        <v>0</v>
      </c>
      <c r="R156" s="223">
        <f t="shared" si="50"/>
        <v>1670.5</v>
      </c>
      <c r="S156" s="351"/>
      <c r="T156" s="352"/>
    </row>
    <row r="157" spans="1:20" s="27" customFormat="1" ht="33.75">
      <c r="A157" s="52" t="s">
        <v>488</v>
      </c>
      <c r="B157" s="8"/>
      <c r="C157" s="15" t="s">
        <v>177</v>
      </c>
      <c r="D157" s="356" t="s">
        <v>558</v>
      </c>
      <c r="E157" s="356" t="s">
        <v>509</v>
      </c>
      <c r="F157" s="356">
        <v>195</v>
      </c>
      <c r="G157" s="357">
        <v>39272</v>
      </c>
      <c r="H157" s="357">
        <v>39381</v>
      </c>
      <c r="I157" s="358" t="s">
        <v>510</v>
      </c>
      <c r="J157" s="359">
        <v>2333.28</v>
      </c>
      <c r="K157" s="76">
        <v>466.65600000000006</v>
      </c>
      <c r="L157" s="199">
        <v>2799.936</v>
      </c>
      <c r="M157" s="359">
        <v>2333.28</v>
      </c>
      <c r="N157" s="76">
        <v>466.65600000000006</v>
      </c>
      <c r="O157" s="199">
        <f t="shared" si="47"/>
        <v>2799.936</v>
      </c>
      <c r="P157" s="77">
        <f t="shared" si="48"/>
        <v>1516.6320000000003</v>
      </c>
      <c r="Q157" s="77">
        <f t="shared" si="49"/>
        <v>303.32640000000004</v>
      </c>
      <c r="R157" s="223">
        <f t="shared" si="50"/>
        <v>1819.9584000000004</v>
      </c>
      <c r="S157" s="387" t="s">
        <v>621</v>
      </c>
      <c r="T157" s="388"/>
    </row>
    <row r="158" spans="1:20" s="27" customFormat="1" ht="33.75">
      <c r="A158" s="52" t="s">
        <v>488</v>
      </c>
      <c r="B158" s="8"/>
      <c r="C158" s="15" t="s">
        <v>177</v>
      </c>
      <c r="D158" s="356" t="s">
        <v>559</v>
      </c>
      <c r="E158" s="356" t="s">
        <v>511</v>
      </c>
      <c r="F158" s="356" t="s">
        <v>560</v>
      </c>
      <c r="G158" s="357">
        <v>39356</v>
      </c>
      <c r="H158" s="357">
        <v>39381</v>
      </c>
      <c r="I158" s="358" t="s">
        <v>510</v>
      </c>
      <c r="J158" s="359">
        <v>7320.26</v>
      </c>
      <c r="K158" s="76">
        <v>1429.74</v>
      </c>
      <c r="L158" s="199">
        <v>8750</v>
      </c>
      <c r="M158" s="359">
        <v>7320.26</v>
      </c>
      <c r="N158" s="76">
        <v>1429.74</v>
      </c>
      <c r="O158" s="199">
        <f t="shared" si="47"/>
        <v>8750</v>
      </c>
      <c r="P158" s="77">
        <f t="shared" si="48"/>
        <v>4758.169</v>
      </c>
      <c r="Q158" s="77">
        <f t="shared" si="49"/>
        <v>929.331</v>
      </c>
      <c r="R158" s="223">
        <f t="shared" si="50"/>
        <v>5687.5</v>
      </c>
      <c r="S158" s="387" t="s">
        <v>621</v>
      </c>
      <c r="T158" s="388"/>
    </row>
    <row r="159" spans="1:20" s="27" customFormat="1" ht="146.25">
      <c r="A159" s="52" t="s">
        <v>488</v>
      </c>
      <c r="B159" s="8"/>
      <c r="C159" s="15" t="s">
        <v>49</v>
      </c>
      <c r="D159" s="356" t="s">
        <v>574</v>
      </c>
      <c r="E159" s="356" t="s">
        <v>575</v>
      </c>
      <c r="F159" s="356" t="s">
        <v>576</v>
      </c>
      <c r="G159" s="357">
        <v>39188</v>
      </c>
      <c r="H159" s="357">
        <v>39267</v>
      </c>
      <c r="I159" s="358" t="s">
        <v>479</v>
      </c>
      <c r="J159" s="359">
        <v>2333.28</v>
      </c>
      <c r="K159" s="76">
        <v>466.65600000000006</v>
      </c>
      <c r="L159" s="199">
        <v>2799.936</v>
      </c>
      <c r="M159" s="359">
        <v>2333.28</v>
      </c>
      <c r="N159" s="76">
        <v>466.65600000000006</v>
      </c>
      <c r="O159" s="199">
        <f t="shared" si="47"/>
        <v>2799.936</v>
      </c>
      <c r="P159" s="77">
        <f t="shared" si="48"/>
        <v>1516.6320000000003</v>
      </c>
      <c r="Q159" s="77">
        <f t="shared" si="49"/>
        <v>303.32640000000004</v>
      </c>
      <c r="R159" s="223">
        <f t="shared" si="50"/>
        <v>1819.9584000000004</v>
      </c>
      <c r="S159" s="351"/>
      <c r="T159" s="352"/>
    </row>
    <row r="160" spans="1:20" s="27" customFormat="1" ht="146.25">
      <c r="A160" s="52" t="s">
        <v>488</v>
      </c>
      <c r="B160" s="8"/>
      <c r="C160" s="15" t="s">
        <v>49</v>
      </c>
      <c r="D160" s="356" t="s">
        <v>577</v>
      </c>
      <c r="E160" s="356" t="s">
        <v>575</v>
      </c>
      <c r="F160" s="356" t="s">
        <v>578</v>
      </c>
      <c r="G160" s="357">
        <v>39289</v>
      </c>
      <c r="H160" s="357">
        <v>39372</v>
      </c>
      <c r="I160" s="358" t="s">
        <v>479</v>
      </c>
      <c r="J160" s="359">
        <v>2333.28</v>
      </c>
      <c r="K160" s="76">
        <v>466.65600000000006</v>
      </c>
      <c r="L160" s="199">
        <v>2799.936</v>
      </c>
      <c r="M160" s="359">
        <v>2333.28</v>
      </c>
      <c r="N160" s="76">
        <v>466.65600000000006</v>
      </c>
      <c r="O160" s="199">
        <f t="shared" si="47"/>
        <v>2799.936</v>
      </c>
      <c r="P160" s="77">
        <f t="shared" si="48"/>
        <v>1516.6320000000003</v>
      </c>
      <c r="Q160" s="77">
        <f t="shared" si="49"/>
        <v>303.32640000000004</v>
      </c>
      <c r="R160" s="223">
        <f t="shared" si="50"/>
        <v>1819.9584000000004</v>
      </c>
      <c r="S160" s="351"/>
      <c r="T160" s="352"/>
    </row>
    <row r="161" spans="1:20" s="27" customFormat="1" ht="22.5">
      <c r="A161" s="52" t="s">
        <v>488</v>
      </c>
      <c r="B161" s="8"/>
      <c r="C161" s="15" t="s">
        <v>49</v>
      </c>
      <c r="D161" s="356" t="s">
        <v>579</v>
      </c>
      <c r="E161" s="356" t="s">
        <v>580</v>
      </c>
      <c r="F161" s="356" t="s">
        <v>581</v>
      </c>
      <c r="G161" s="357">
        <v>39259</v>
      </c>
      <c r="H161" s="357">
        <v>39372</v>
      </c>
      <c r="I161" s="358" t="s">
        <v>479</v>
      </c>
      <c r="J161" s="359">
        <v>2570</v>
      </c>
      <c r="K161" s="76">
        <v>514</v>
      </c>
      <c r="L161" s="199">
        <v>3084</v>
      </c>
      <c r="M161" s="359">
        <v>2570</v>
      </c>
      <c r="N161" s="88"/>
      <c r="O161" s="199">
        <f t="shared" si="47"/>
        <v>2570</v>
      </c>
      <c r="P161" s="77">
        <f t="shared" si="48"/>
        <v>1670.5</v>
      </c>
      <c r="Q161" s="77">
        <f t="shared" si="49"/>
        <v>0</v>
      </c>
      <c r="R161" s="223">
        <f t="shared" si="50"/>
        <v>1670.5</v>
      </c>
      <c r="S161" s="387"/>
      <c r="T161" s="388"/>
    </row>
    <row r="162" spans="1:20" s="27" customFormat="1" ht="33.75">
      <c r="A162" s="52" t="s">
        <v>488</v>
      </c>
      <c r="B162" s="8"/>
      <c r="C162" s="15" t="s">
        <v>49</v>
      </c>
      <c r="D162" s="356" t="s">
        <v>582</v>
      </c>
      <c r="E162" s="356" t="s">
        <v>583</v>
      </c>
      <c r="F162" s="356" t="s">
        <v>584</v>
      </c>
      <c r="G162" s="357">
        <v>39354</v>
      </c>
      <c r="H162" s="357">
        <v>39372</v>
      </c>
      <c r="I162" s="358" t="s">
        <v>585</v>
      </c>
      <c r="J162" s="359">
        <v>1000</v>
      </c>
      <c r="K162" s="76">
        <v>200</v>
      </c>
      <c r="L162" s="199">
        <v>1200</v>
      </c>
      <c r="M162" s="359">
        <v>1000</v>
      </c>
      <c r="N162" s="76">
        <v>200</v>
      </c>
      <c r="O162" s="199">
        <v>1200</v>
      </c>
      <c r="P162" s="77">
        <f>+M162*0.65</f>
        <v>650</v>
      </c>
      <c r="Q162" s="77">
        <f>N162*0.65</f>
        <v>130</v>
      </c>
      <c r="R162" s="223">
        <f t="shared" si="50"/>
        <v>780</v>
      </c>
      <c r="S162" s="351"/>
      <c r="T162" s="352"/>
    </row>
    <row r="163" spans="1:20" s="27" customFormat="1" ht="22.5">
      <c r="A163" s="52" t="s">
        <v>488</v>
      </c>
      <c r="B163" s="8"/>
      <c r="C163" s="15" t="s">
        <v>42</v>
      </c>
      <c r="D163" s="356" t="s">
        <v>625</v>
      </c>
      <c r="E163" s="356" t="s">
        <v>626</v>
      </c>
      <c r="F163" s="356">
        <v>15</v>
      </c>
      <c r="G163" s="357">
        <v>39387</v>
      </c>
      <c r="H163" s="357">
        <v>39395</v>
      </c>
      <c r="I163" s="358" t="s">
        <v>186</v>
      </c>
      <c r="J163" s="359">
        <v>6240</v>
      </c>
      <c r="K163" s="76">
        <v>1248</v>
      </c>
      <c r="L163" s="199">
        <v>7488</v>
      </c>
      <c r="M163" s="359">
        <v>6240</v>
      </c>
      <c r="N163" s="76">
        <v>1248</v>
      </c>
      <c r="O163" s="199">
        <v>7488</v>
      </c>
      <c r="P163" s="77">
        <f>+M163*0.65</f>
        <v>4056</v>
      </c>
      <c r="Q163" s="77">
        <f>N163*0.65</f>
        <v>811.2</v>
      </c>
      <c r="R163" s="223">
        <f>SUM(P163:Q163)</f>
        <v>4867.2</v>
      </c>
      <c r="S163" s="406" t="s">
        <v>699</v>
      </c>
      <c r="T163" s="407"/>
    </row>
    <row r="164" spans="1:20" s="27" customFormat="1" ht="11.25">
      <c r="A164" s="52" t="s">
        <v>488</v>
      </c>
      <c r="B164" s="8"/>
      <c r="C164" s="105" t="s">
        <v>78</v>
      </c>
      <c r="D164" s="356" t="s">
        <v>533</v>
      </c>
      <c r="E164" s="356" t="s">
        <v>490</v>
      </c>
      <c r="F164" s="356">
        <v>292</v>
      </c>
      <c r="G164" s="357">
        <v>39381</v>
      </c>
      <c r="H164" s="357">
        <v>39421</v>
      </c>
      <c r="I164" s="358" t="s">
        <v>435</v>
      </c>
      <c r="J164" s="359">
        <v>2333.28</v>
      </c>
      <c r="K164" s="76">
        <v>466.66</v>
      </c>
      <c r="L164" s="199">
        <v>2799.94</v>
      </c>
      <c r="M164" s="359">
        <v>2333.28</v>
      </c>
      <c r="N164" s="76">
        <v>466.66</v>
      </c>
      <c r="O164" s="199">
        <f>+N164+M164</f>
        <v>2799.94</v>
      </c>
      <c r="P164" s="77">
        <f aca="true" t="shared" si="51" ref="P164:P181">+M164*0.65</f>
        <v>1516.6320000000003</v>
      </c>
      <c r="Q164" s="77">
        <f aca="true" t="shared" si="52" ref="Q164:Q181">N164*0.65</f>
        <v>303.329</v>
      </c>
      <c r="R164" s="223">
        <f aca="true" t="shared" si="53" ref="R164:R181">SUM(P164:Q164)</f>
        <v>1819.9610000000002</v>
      </c>
      <c r="S164" s="406" t="s">
        <v>699</v>
      </c>
      <c r="T164" s="407"/>
    </row>
    <row r="165" spans="1:20" s="27" customFormat="1" ht="11.25">
      <c r="A165" s="52" t="s">
        <v>488</v>
      </c>
      <c r="B165" s="8"/>
      <c r="C165" s="105" t="s">
        <v>78</v>
      </c>
      <c r="D165" s="356" t="s">
        <v>628</v>
      </c>
      <c r="E165" s="356" t="s">
        <v>434</v>
      </c>
      <c r="F165" s="356">
        <v>22</v>
      </c>
      <c r="G165" s="357">
        <v>39433</v>
      </c>
      <c r="H165" s="357">
        <v>39437</v>
      </c>
      <c r="I165" s="358" t="s">
        <v>435</v>
      </c>
      <c r="J165" s="359">
        <v>5074.88</v>
      </c>
      <c r="K165" s="76">
        <v>1014.98</v>
      </c>
      <c r="L165" s="199">
        <v>6089.86</v>
      </c>
      <c r="M165" s="359">
        <v>5074.88</v>
      </c>
      <c r="N165" s="76">
        <v>1014.98</v>
      </c>
      <c r="O165" s="199">
        <f aca="true" t="shared" si="54" ref="O165:O181">+N165+M165</f>
        <v>6089.860000000001</v>
      </c>
      <c r="P165" s="77">
        <f t="shared" si="51"/>
        <v>3298.672</v>
      </c>
      <c r="Q165" s="77">
        <f t="shared" si="52"/>
        <v>659.7370000000001</v>
      </c>
      <c r="R165" s="223">
        <f t="shared" si="53"/>
        <v>3958.409</v>
      </c>
      <c r="S165" s="406" t="s">
        <v>699</v>
      </c>
      <c r="T165" s="407"/>
    </row>
    <row r="166" spans="1:20" s="27" customFormat="1" ht="146.25">
      <c r="A166" s="52" t="s">
        <v>488</v>
      </c>
      <c r="B166" s="8"/>
      <c r="C166" s="15" t="s">
        <v>49</v>
      </c>
      <c r="D166" s="356" t="s">
        <v>577</v>
      </c>
      <c r="E166" s="356" t="s">
        <v>575</v>
      </c>
      <c r="F166" s="356" t="s">
        <v>641</v>
      </c>
      <c r="G166" s="357">
        <v>39381</v>
      </c>
      <c r="H166" s="357">
        <v>39427</v>
      </c>
      <c r="I166" s="358" t="s">
        <v>479</v>
      </c>
      <c r="J166" s="359">
        <v>2333.28</v>
      </c>
      <c r="K166" s="76">
        <v>466.65600000000006</v>
      </c>
      <c r="L166" s="199">
        <v>2799.936</v>
      </c>
      <c r="M166" s="359">
        <v>2333.28</v>
      </c>
      <c r="N166" s="76">
        <v>466.65600000000006</v>
      </c>
      <c r="O166" s="199">
        <f t="shared" si="54"/>
        <v>2799.936</v>
      </c>
      <c r="P166" s="77">
        <f t="shared" si="51"/>
        <v>1516.6320000000003</v>
      </c>
      <c r="Q166" s="77">
        <f t="shared" si="52"/>
        <v>303.32640000000004</v>
      </c>
      <c r="R166" s="223">
        <f t="shared" si="53"/>
        <v>1819.9584000000004</v>
      </c>
      <c r="S166" s="406" t="s">
        <v>699</v>
      </c>
      <c r="T166" s="407"/>
    </row>
    <row r="167" spans="1:20" s="27" customFormat="1" ht="67.5">
      <c r="A167" s="52" t="s">
        <v>488</v>
      </c>
      <c r="B167" s="8"/>
      <c r="C167" s="15" t="s">
        <v>49</v>
      </c>
      <c r="D167" s="356" t="s">
        <v>642</v>
      </c>
      <c r="E167" s="356" t="s">
        <v>643</v>
      </c>
      <c r="F167" s="356">
        <v>39083</v>
      </c>
      <c r="G167" s="357">
        <v>39407</v>
      </c>
      <c r="H167" s="357"/>
      <c r="I167" s="358" t="s">
        <v>585</v>
      </c>
      <c r="J167" s="359">
        <v>1944.43</v>
      </c>
      <c r="K167" s="76">
        <v>388.886</v>
      </c>
      <c r="L167" s="199">
        <v>2333.3160000000003</v>
      </c>
      <c r="M167" s="359">
        <v>1944.43</v>
      </c>
      <c r="N167" s="76">
        <v>388.886</v>
      </c>
      <c r="O167" s="199">
        <f t="shared" si="54"/>
        <v>2333.3160000000003</v>
      </c>
      <c r="P167" s="77">
        <f t="shared" si="51"/>
        <v>1263.8795</v>
      </c>
      <c r="Q167" s="77">
        <f t="shared" si="52"/>
        <v>252.77590000000004</v>
      </c>
      <c r="R167" s="223">
        <f t="shared" si="53"/>
        <v>1516.6554</v>
      </c>
      <c r="S167" s="406" t="s">
        <v>699</v>
      </c>
      <c r="T167" s="407"/>
    </row>
    <row r="168" spans="1:20" s="27" customFormat="1" ht="33.75">
      <c r="A168" s="52" t="s">
        <v>488</v>
      </c>
      <c r="B168" s="8"/>
      <c r="C168" s="15" t="s">
        <v>49</v>
      </c>
      <c r="D168" s="356" t="s">
        <v>582</v>
      </c>
      <c r="E168" s="356" t="s">
        <v>583</v>
      </c>
      <c r="F168" s="356" t="s">
        <v>644</v>
      </c>
      <c r="G168" s="357">
        <v>39379</v>
      </c>
      <c r="H168" s="357">
        <v>39413</v>
      </c>
      <c r="I168" s="358" t="s">
        <v>585</v>
      </c>
      <c r="J168" s="359">
        <v>1000</v>
      </c>
      <c r="K168" s="76">
        <v>200</v>
      </c>
      <c r="L168" s="199">
        <v>1200</v>
      </c>
      <c r="M168" s="359">
        <v>1000</v>
      </c>
      <c r="N168" s="76">
        <v>200</v>
      </c>
      <c r="O168" s="199">
        <f t="shared" si="54"/>
        <v>1200</v>
      </c>
      <c r="P168" s="77">
        <f t="shared" si="51"/>
        <v>650</v>
      </c>
      <c r="Q168" s="77">
        <f t="shared" si="52"/>
        <v>130</v>
      </c>
      <c r="R168" s="223">
        <f t="shared" si="53"/>
        <v>780</v>
      </c>
      <c r="S168" s="406" t="s">
        <v>699</v>
      </c>
      <c r="T168" s="407"/>
    </row>
    <row r="169" spans="1:20" s="27" customFormat="1" ht="33.75">
      <c r="A169" s="52" t="s">
        <v>488</v>
      </c>
      <c r="B169" s="8"/>
      <c r="C169" s="15" t="s">
        <v>49</v>
      </c>
      <c r="D169" s="356" t="s">
        <v>582</v>
      </c>
      <c r="E169" s="356" t="s">
        <v>583</v>
      </c>
      <c r="F169" s="356" t="s">
        <v>645</v>
      </c>
      <c r="G169" s="357">
        <v>39414</v>
      </c>
      <c r="H169" s="357">
        <v>39427</v>
      </c>
      <c r="I169" s="358" t="s">
        <v>585</v>
      </c>
      <c r="J169" s="359">
        <v>1000</v>
      </c>
      <c r="K169" s="76">
        <v>200</v>
      </c>
      <c r="L169" s="199">
        <v>1200</v>
      </c>
      <c r="M169" s="359">
        <v>1000</v>
      </c>
      <c r="N169" s="76">
        <v>200</v>
      </c>
      <c r="O169" s="199">
        <f t="shared" si="54"/>
        <v>1200</v>
      </c>
      <c r="P169" s="77">
        <f t="shared" si="51"/>
        <v>650</v>
      </c>
      <c r="Q169" s="77">
        <f t="shared" si="52"/>
        <v>130</v>
      </c>
      <c r="R169" s="223">
        <f t="shared" si="53"/>
        <v>780</v>
      </c>
      <c r="S169" s="406" t="s">
        <v>699</v>
      </c>
      <c r="T169" s="407"/>
    </row>
    <row r="170" spans="1:20" s="27" customFormat="1" ht="56.25">
      <c r="A170" s="52" t="s">
        <v>488</v>
      </c>
      <c r="B170" s="8"/>
      <c r="C170" s="15" t="s">
        <v>49</v>
      </c>
      <c r="D170" s="356" t="s">
        <v>646</v>
      </c>
      <c r="E170" s="356" t="s">
        <v>647</v>
      </c>
      <c r="F170" s="356" t="s">
        <v>648</v>
      </c>
      <c r="G170" s="357">
        <v>39437</v>
      </c>
      <c r="H170" s="357">
        <v>39444</v>
      </c>
      <c r="I170" s="358" t="s">
        <v>479</v>
      </c>
      <c r="J170" s="359">
        <v>2916.67</v>
      </c>
      <c r="K170" s="76">
        <v>583.3340000000001</v>
      </c>
      <c r="L170" s="199">
        <v>3500.004</v>
      </c>
      <c r="M170" s="359">
        <v>2916.67</v>
      </c>
      <c r="N170" s="76">
        <v>583.3340000000001</v>
      </c>
      <c r="O170" s="199">
        <f t="shared" si="54"/>
        <v>3500.004</v>
      </c>
      <c r="P170" s="77">
        <f t="shared" si="51"/>
        <v>1895.8355000000001</v>
      </c>
      <c r="Q170" s="77">
        <f t="shared" si="52"/>
        <v>379.16710000000006</v>
      </c>
      <c r="R170" s="223">
        <f t="shared" si="53"/>
        <v>2275.0026000000003</v>
      </c>
      <c r="S170" s="406" t="s">
        <v>699</v>
      </c>
      <c r="T170" s="407"/>
    </row>
    <row r="171" spans="1:20" s="27" customFormat="1" ht="33.75">
      <c r="A171" s="52" t="s">
        <v>488</v>
      </c>
      <c r="B171" s="8"/>
      <c r="C171" s="15" t="s">
        <v>49</v>
      </c>
      <c r="D171" s="356"/>
      <c r="E171" s="356" t="s">
        <v>647</v>
      </c>
      <c r="F171" s="356" t="s">
        <v>649</v>
      </c>
      <c r="G171" s="357">
        <v>39437</v>
      </c>
      <c r="H171" s="357">
        <v>39444</v>
      </c>
      <c r="I171" s="358" t="s">
        <v>479</v>
      </c>
      <c r="J171" s="359">
        <v>2916.67</v>
      </c>
      <c r="K171" s="76">
        <v>583.3340000000001</v>
      </c>
      <c r="L171" s="199">
        <v>3500.004</v>
      </c>
      <c r="M171" s="359">
        <v>2916.67</v>
      </c>
      <c r="N171" s="76">
        <v>583.3340000000001</v>
      </c>
      <c r="O171" s="199">
        <f t="shared" si="54"/>
        <v>3500.004</v>
      </c>
      <c r="P171" s="77">
        <f t="shared" si="51"/>
        <v>1895.8355000000001</v>
      </c>
      <c r="Q171" s="77">
        <f t="shared" si="52"/>
        <v>379.16710000000006</v>
      </c>
      <c r="R171" s="223">
        <f t="shared" si="53"/>
        <v>2275.0026000000003</v>
      </c>
      <c r="S171" s="406" t="s">
        <v>699</v>
      </c>
      <c r="T171" s="407"/>
    </row>
    <row r="172" spans="1:20" s="27" customFormat="1" ht="33.75">
      <c r="A172" s="52" t="s">
        <v>488</v>
      </c>
      <c r="B172" s="8"/>
      <c r="C172" s="9" t="s">
        <v>179</v>
      </c>
      <c r="D172" s="356" t="s">
        <v>656</v>
      </c>
      <c r="E172" s="356" t="s">
        <v>490</v>
      </c>
      <c r="F172" s="356" t="s">
        <v>657</v>
      </c>
      <c r="G172" s="357">
        <v>39381</v>
      </c>
      <c r="H172" s="357">
        <v>39408</v>
      </c>
      <c r="I172" s="358" t="s">
        <v>503</v>
      </c>
      <c r="J172" s="359">
        <v>2333.28</v>
      </c>
      <c r="K172" s="76">
        <v>466.65</v>
      </c>
      <c r="L172" s="199">
        <v>2799.93</v>
      </c>
      <c r="M172" s="359">
        <v>2333.28</v>
      </c>
      <c r="N172" s="76">
        <v>466.65</v>
      </c>
      <c r="O172" s="199">
        <f t="shared" si="54"/>
        <v>2799.9300000000003</v>
      </c>
      <c r="P172" s="77">
        <f t="shared" si="51"/>
        <v>1516.6320000000003</v>
      </c>
      <c r="Q172" s="77">
        <f t="shared" si="52"/>
        <v>303.3225</v>
      </c>
      <c r="R172" s="223">
        <f t="shared" si="53"/>
        <v>1819.9545000000003</v>
      </c>
      <c r="S172" s="406" t="s">
        <v>699</v>
      </c>
      <c r="T172" s="407"/>
    </row>
    <row r="173" spans="1:20" s="27" customFormat="1" ht="22.5">
      <c r="A173" s="52" t="s">
        <v>488</v>
      </c>
      <c r="B173" s="8"/>
      <c r="C173" s="9" t="s">
        <v>179</v>
      </c>
      <c r="D173" s="356" t="s">
        <v>658</v>
      </c>
      <c r="E173" s="356" t="s">
        <v>659</v>
      </c>
      <c r="F173" s="356">
        <v>25</v>
      </c>
      <c r="G173" s="357">
        <v>39433</v>
      </c>
      <c r="H173" s="357">
        <v>39435</v>
      </c>
      <c r="I173" s="358" t="s">
        <v>503</v>
      </c>
      <c r="J173" s="359">
        <v>933.31</v>
      </c>
      <c r="K173" s="76">
        <v>186.66</v>
      </c>
      <c r="L173" s="199">
        <v>1119.97</v>
      </c>
      <c r="M173" s="359">
        <v>933.31</v>
      </c>
      <c r="N173" s="76">
        <v>186.66</v>
      </c>
      <c r="O173" s="199">
        <f t="shared" si="54"/>
        <v>1119.97</v>
      </c>
      <c r="P173" s="77">
        <f t="shared" si="51"/>
        <v>606.6514999999999</v>
      </c>
      <c r="Q173" s="77">
        <f t="shared" si="52"/>
        <v>121.32900000000001</v>
      </c>
      <c r="R173" s="223">
        <f t="shared" si="53"/>
        <v>727.9804999999999</v>
      </c>
      <c r="S173" s="406" t="s">
        <v>699</v>
      </c>
      <c r="T173" s="407"/>
    </row>
    <row r="174" spans="1:20" s="27" customFormat="1" ht="33.75">
      <c r="A174" s="52" t="s">
        <v>488</v>
      </c>
      <c r="B174" s="8"/>
      <c r="C174" s="9" t="s">
        <v>179</v>
      </c>
      <c r="D174" s="356" t="s">
        <v>660</v>
      </c>
      <c r="E174" s="356" t="s">
        <v>659</v>
      </c>
      <c r="F174" s="356">
        <v>25</v>
      </c>
      <c r="G174" s="357">
        <v>39433</v>
      </c>
      <c r="H174" s="357">
        <v>39435</v>
      </c>
      <c r="I174" s="358" t="s">
        <v>503</v>
      </c>
      <c r="J174" s="359">
        <v>1866.62</v>
      </c>
      <c r="K174" s="76">
        <v>373.32399999999996</v>
      </c>
      <c r="L174" s="199">
        <v>2239.944</v>
      </c>
      <c r="M174" s="359">
        <v>1866.62</v>
      </c>
      <c r="N174" s="76">
        <v>373.32399999999996</v>
      </c>
      <c r="O174" s="199">
        <f t="shared" si="54"/>
        <v>2239.944</v>
      </c>
      <c r="P174" s="77">
        <f t="shared" si="51"/>
        <v>1213.3029999999999</v>
      </c>
      <c r="Q174" s="77">
        <f t="shared" si="52"/>
        <v>242.6606</v>
      </c>
      <c r="R174" s="223">
        <f t="shared" si="53"/>
        <v>1455.9635999999998</v>
      </c>
      <c r="S174" s="406" t="s">
        <v>699</v>
      </c>
      <c r="T174" s="407"/>
    </row>
    <row r="175" spans="1:20" s="27" customFormat="1" ht="33.75">
      <c r="A175" s="52" t="s">
        <v>488</v>
      </c>
      <c r="B175" s="8"/>
      <c r="C175" s="9" t="s">
        <v>179</v>
      </c>
      <c r="D175" s="356" t="s">
        <v>661</v>
      </c>
      <c r="E175" s="356" t="s">
        <v>659</v>
      </c>
      <c r="F175" s="356">
        <v>25</v>
      </c>
      <c r="G175" s="357">
        <v>39433</v>
      </c>
      <c r="H175" s="357">
        <v>39435</v>
      </c>
      <c r="I175" s="358" t="s">
        <v>503</v>
      </c>
      <c r="J175" s="359">
        <v>991.64</v>
      </c>
      <c r="K175" s="76">
        <v>198.328</v>
      </c>
      <c r="L175" s="199">
        <v>1189.968</v>
      </c>
      <c r="M175" s="359">
        <v>991.64</v>
      </c>
      <c r="N175" s="76">
        <v>198.328</v>
      </c>
      <c r="O175" s="199">
        <f t="shared" si="54"/>
        <v>1189.968</v>
      </c>
      <c r="P175" s="77">
        <f t="shared" si="51"/>
        <v>644.566</v>
      </c>
      <c r="Q175" s="77">
        <f t="shared" si="52"/>
        <v>128.91320000000002</v>
      </c>
      <c r="R175" s="223">
        <f t="shared" si="53"/>
        <v>773.4792</v>
      </c>
      <c r="S175" s="406" t="s">
        <v>699</v>
      </c>
      <c r="T175" s="407"/>
    </row>
    <row r="176" spans="1:20" s="27" customFormat="1" ht="45">
      <c r="A176" s="52" t="s">
        <v>488</v>
      </c>
      <c r="B176" s="8"/>
      <c r="C176" s="9" t="s">
        <v>179</v>
      </c>
      <c r="D176" s="356" t="s">
        <v>662</v>
      </c>
      <c r="E176" s="356" t="s">
        <v>659</v>
      </c>
      <c r="F176" s="356">
        <v>25</v>
      </c>
      <c r="G176" s="357">
        <v>39433</v>
      </c>
      <c r="H176" s="357">
        <v>39435</v>
      </c>
      <c r="I176" s="358" t="s">
        <v>503</v>
      </c>
      <c r="J176" s="359">
        <v>1283.3</v>
      </c>
      <c r="K176" s="76">
        <v>256.66</v>
      </c>
      <c r="L176" s="199">
        <v>1539.96</v>
      </c>
      <c r="M176" s="359">
        <v>1283.3</v>
      </c>
      <c r="N176" s="76">
        <v>256.66</v>
      </c>
      <c r="O176" s="199">
        <f t="shared" si="54"/>
        <v>1539.96</v>
      </c>
      <c r="P176" s="77">
        <f t="shared" si="51"/>
        <v>834.145</v>
      </c>
      <c r="Q176" s="77">
        <f t="shared" si="52"/>
        <v>166.82900000000004</v>
      </c>
      <c r="R176" s="223">
        <f t="shared" si="53"/>
        <v>1000.974</v>
      </c>
      <c r="S176" s="406" t="s">
        <v>699</v>
      </c>
      <c r="T176" s="407"/>
    </row>
    <row r="177" spans="1:20" s="27" customFormat="1" ht="33.75">
      <c r="A177" s="52" t="s">
        <v>488</v>
      </c>
      <c r="B177" s="8"/>
      <c r="C177" s="15" t="s">
        <v>177</v>
      </c>
      <c r="D177" s="356" t="s">
        <v>669</v>
      </c>
      <c r="E177" s="356" t="s">
        <v>509</v>
      </c>
      <c r="F177" s="356">
        <v>296</v>
      </c>
      <c r="G177" s="357">
        <v>39381</v>
      </c>
      <c r="H177" s="357">
        <v>39381</v>
      </c>
      <c r="I177" s="358" t="s">
        <v>510</v>
      </c>
      <c r="J177" s="359">
        <v>2333.28</v>
      </c>
      <c r="K177" s="76">
        <v>466.65600000000006</v>
      </c>
      <c r="L177" s="199">
        <v>2799.936</v>
      </c>
      <c r="M177" s="359">
        <v>2333.28</v>
      </c>
      <c r="N177" s="76">
        <v>466.65600000000006</v>
      </c>
      <c r="O177" s="199">
        <f t="shared" si="54"/>
        <v>2799.936</v>
      </c>
      <c r="P177" s="77">
        <f t="shared" si="51"/>
        <v>1516.6320000000003</v>
      </c>
      <c r="Q177" s="77">
        <f t="shared" si="52"/>
        <v>303.32640000000004</v>
      </c>
      <c r="R177" s="223">
        <f t="shared" si="53"/>
        <v>1819.9584000000004</v>
      </c>
      <c r="S177" s="406" t="s">
        <v>699</v>
      </c>
      <c r="T177" s="407"/>
    </row>
    <row r="178" spans="1:20" s="27" customFormat="1" ht="33.75">
      <c r="A178" s="52" t="s">
        <v>488</v>
      </c>
      <c r="B178" s="8"/>
      <c r="C178" s="15" t="s">
        <v>177</v>
      </c>
      <c r="D178" s="356" t="s">
        <v>672</v>
      </c>
      <c r="E178" s="356" t="s">
        <v>673</v>
      </c>
      <c r="F178" s="356" t="s">
        <v>674</v>
      </c>
      <c r="G178" s="357">
        <v>39454</v>
      </c>
      <c r="H178" s="357">
        <v>39468</v>
      </c>
      <c r="I178" s="358" t="s">
        <v>510</v>
      </c>
      <c r="J178" s="359">
        <v>7320.26</v>
      </c>
      <c r="K178" s="76">
        <v>1429.74</v>
      </c>
      <c r="L178" s="199">
        <v>8750</v>
      </c>
      <c r="M178" s="359">
        <v>7320.26</v>
      </c>
      <c r="N178" s="76">
        <v>1429.74</v>
      </c>
      <c r="O178" s="199">
        <f t="shared" si="54"/>
        <v>8750</v>
      </c>
      <c r="P178" s="77">
        <f t="shared" si="51"/>
        <v>4758.169</v>
      </c>
      <c r="Q178" s="77">
        <f t="shared" si="52"/>
        <v>929.331</v>
      </c>
      <c r="R178" s="223">
        <f t="shared" si="53"/>
        <v>5687.5</v>
      </c>
      <c r="S178" s="406" t="s">
        <v>699</v>
      </c>
      <c r="T178" s="407"/>
    </row>
    <row r="179" spans="1:20" s="27" customFormat="1" ht="67.5">
      <c r="A179" s="52" t="s">
        <v>488</v>
      </c>
      <c r="B179" s="8"/>
      <c r="C179" s="15" t="s">
        <v>49</v>
      </c>
      <c r="D179" s="356" t="s">
        <v>642</v>
      </c>
      <c r="E179" s="356" t="s">
        <v>643</v>
      </c>
      <c r="F179" s="356" t="s">
        <v>682</v>
      </c>
      <c r="G179" s="357">
        <v>39532</v>
      </c>
      <c r="H179" s="357">
        <v>39545</v>
      </c>
      <c r="I179" s="358" t="s">
        <v>585</v>
      </c>
      <c r="J179" s="359">
        <v>2243.56</v>
      </c>
      <c r="K179" s="76"/>
      <c r="L179" s="199">
        <v>2243.56</v>
      </c>
      <c r="M179" s="359">
        <v>2243.56</v>
      </c>
      <c r="N179" s="76"/>
      <c r="O179" s="199">
        <f t="shared" si="54"/>
        <v>2243.56</v>
      </c>
      <c r="P179" s="77">
        <f t="shared" si="51"/>
        <v>1458.314</v>
      </c>
      <c r="Q179" s="77">
        <f t="shared" si="52"/>
        <v>0</v>
      </c>
      <c r="R179" s="223">
        <f t="shared" si="53"/>
        <v>1458.314</v>
      </c>
      <c r="S179" s="406" t="s">
        <v>699</v>
      </c>
      <c r="T179" s="407"/>
    </row>
    <row r="180" spans="1:20" s="27" customFormat="1" ht="56.25">
      <c r="A180" s="52" t="s">
        <v>488</v>
      </c>
      <c r="B180" s="8"/>
      <c r="C180" s="15" t="s">
        <v>49</v>
      </c>
      <c r="D180" s="356" t="s">
        <v>646</v>
      </c>
      <c r="E180" s="356" t="s">
        <v>647</v>
      </c>
      <c r="F180" s="356"/>
      <c r="G180" s="357"/>
      <c r="H180" s="357"/>
      <c r="I180" s="358"/>
      <c r="J180" s="359">
        <v>2916.67</v>
      </c>
      <c r="K180" s="76">
        <v>583.3340000000001</v>
      </c>
      <c r="L180" s="199">
        <v>3500.004</v>
      </c>
      <c r="M180" s="359"/>
      <c r="N180" s="76"/>
      <c r="O180" s="199">
        <f t="shared" si="54"/>
        <v>0</v>
      </c>
      <c r="P180" s="77">
        <f t="shared" si="51"/>
        <v>0</v>
      </c>
      <c r="Q180" s="77">
        <f t="shared" si="52"/>
        <v>0</v>
      </c>
      <c r="R180" s="223">
        <f t="shared" si="53"/>
        <v>0</v>
      </c>
      <c r="S180" s="406"/>
      <c r="T180" s="407"/>
    </row>
    <row r="181" spans="1:20" s="27" customFormat="1" ht="33.75">
      <c r="A181" s="52" t="s">
        <v>488</v>
      </c>
      <c r="B181" s="8"/>
      <c r="C181" s="15" t="s">
        <v>177</v>
      </c>
      <c r="D181" s="356" t="s">
        <v>672</v>
      </c>
      <c r="E181" s="356" t="s">
        <v>673</v>
      </c>
      <c r="F181" s="356" t="s">
        <v>688</v>
      </c>
      <c r="G181" s="357">
        <v>39538</v>
      </c>
      <c r="H181" s="357">
        <v>39538</v>
      </c>
      <c r="I181" s="358" t="s">
        <v>510</v>
      </c>
      <c r="J181" s="359">
        <v>7320.26</v>
      </c>
      <c r="K181" s="76">
        <v>1429.74</v>
      </c>
      <c r="L181" s="199">
        <v>8750</v>
      </c>
      <c r="M181" s="359">
        <v>7320.26</v>
      </c>
      <c r="N181" s="76">
        <v>1429.74</v>
      </c>
      <c r="O181" s="199">
        <f t="shared" si="54"/>
        <v>8750</v>
      </c>
      <c r="P181" s="77">
        <f t="shared" si="51"/>
        <v>4758.169</v>
      </c>
      <c r="Q181" s="77">
        <f t="shared" si="52"/>
        <v>929.331</v>
      </c>
      <c r="R181" s="223">
        <f t="shared" si="53"/>
        <v>5687.5</v>
      </c>
      <c r="S181" s="406" t="s">
        <v>699</v>
      </c>
      <c r="T181" s="407"/>
    </row>
    <row r="182" spans="1:20" s="27" customFormat="1" ht="22.5">
      <c r="A182" s="52" t="s">
        <v>488</v>
      </c>
      <c r="B182" s="8"/>
      <c r="C182" s="15" t="s">
        <v>157</v>
      </c>
      <c r="D182" s="356" t="s">
        <v>704</v>
      </c>
      <c r="E182" s="356" t="s">
        <v>705</v>
      </c>
      <c r="F182" s="356"/>
      <c r="G182" s="357">
        <v>39568</v>
      </c>
      <c r="H182" s="357">
        <v>39568</v>
      </c>
      <c r="I182" s="358" t="s">
        <v>655</v>
      </c>
      <c r="J182" s="359">
        <v>1151.28</v>
      </c>
      <c r="K182" s="76"/>
      <c r="L182" s="199">
        <v>1151.28</v>
      </c>
      <c r="M182" s="359">
        <v>1151.28</v>
      </c>
      <c r="N182" s="76"/>
      <c r="O182" s="199">
        <f>+N182+M182</f>
        <v>1151.28</v>
      </c>
      <c r="P182" s="77">
        <f>+M182*0.65</f>
        <v>748.332</v>
      </c>
      <c r="Q182" s="77">
        <f>N182*0.65</f>
        <v>0</v>
      </c>
      <c r="R182" s="223">
        <f>SUM(P182:Q182)</f>
        <v>748.332</v>
      </c>
      <c r="S182" s="406" t="s">
        <v>699</v>
      </c>
      <c r="T182" s="407"/>
    </row>
    <row r="183" spans="1:20" s="27" customFormat="1" ht="22.5">
      <c r="A183" s="52" t="s">
        <v>488</v>
      </c>
      <c r="B183" s="8"/>
      <c r="C183" s="15" t="s">
        <v>42</v>
      </c>
      <c r="D183" s="356" t="s">
        <v>716</v>
      </c>
      <c r="E183" s="356" t="s">
        <v>626</v>
      </c>
      <c r="F183" s="356">
        <v>2</v>
      </c>
      <c r="G183" s="357">
        <v>39454</v>
      </c>
      <c r="H183" s="357">
        <v>39546</v>
      </c>
      <c r="I183" s="358" t="s">
        <v>717</v>
      </c>
      <c r="J183" s="359">
        <v>3120</v>
      </c>
      <c r="K183" s="76">
        <v>624</v>
      </c>
      <c r="L183" s="199">
        <v>3744</v>
      </c>
      <c r="M183" s="359">
        <v>3120</v>
      </c>
      <c r="N183" s="76">
        <v>624</v>
      </c>
      <c r="O183" s="199">
        <v>3744</v>
      </c>
      <c r="P183" s="77">
        <f>+M183*0.65</f>
        <v>2028</v>
      </c>
      <c r="Q183" s="77">
        <f>N183*0.65</f>
        <v>405.6</v>
      </c>
      <c r="R183" s="223">
        <f>SUM(P183:Q183)</f>
        <v>2433.6</v>
      </c>
      <c r="S183" s="406" t="s">
        <v>699</v>
      </c>
      <c r="T183" s="407"/>
    </row>
    <row r="184" spans="1:20" s="27" customFormat="1" ht="22.5">
      <c r="A184" s="52" t="s">
        <v>488</v>
      </c>
      <c r="B184" s="8"/>
      <c r="C184" s="15" t="s">
        <v>42</v>
      </c>
      <c r="D184" s="356" t="s">
        <v>716</v>
      </c>
      <c r="E184" s="356" t="s">
        <v>626</v>
      </c>
      <c r="F184" s="356">
        <v>6</v>
      </c>
      <c r="G184" s="357">
        <v>39538</v>
      </c>
      <c r="H184" s="357">
        <v>39546</v>
      </c>
      <c r="I184" s="358" t="s">
        <v>717</v>
      </c>
      <c r="J184" s="359">
        <v>3120</v>
      </c>
      <c r="K184" s="76">
        <v>624</v>
      </c>
      <c r="L184" s="199">
        <v>3744</v>
      </c>
      <c r="M184" s="359">
        <v>3120</v>
      </c>
      <c r="N184" s="76">
        <v>624</v>
      </c>
      <c r="O184" s="199">
        <v>3744</v>
      </c>
      <c r="P184" s="77">
        <f>+M184*0.65</f>
        <v>2028</v>
      </c>
      <c r="Q184" s="77">
        <f>N184*0.65</f>
        <v>405.6</v>
      </c>
      <c r="R184" s="223">
        <f>SUM(P184:Q184)</f>
        <v>2433.6</v>
      </c>
      <c r="S184" s="406" t="s">
        <v>699</v>
      </c>
      <c r="T184" s="407"/>
    </row>
    <row r="185" spans="1:20" s="27" customFormat="1" ht="67.5">
      <c r="A185" s="52" t="s">
        <v>488</v>
      </c>
      <c r="B185" s="8"/>
      <c r="C185" s="15" t="s">
        <v>49</v>
      </c>
      <c r="D185" s="356" t="s">
        <v>642</v>
      </c>
      <c r="E185" s="356" t="s">
        <v>643</v>
      </c>
      <c r="F185" s="356"/>
      <c r="G185" s="357">
        <v>39532</v>
      </c>
      <c r="H185" s="357">
        <v>39582</v>
      </c>
      <c r="I185" s="358" t="s">
        <v>585</v>
      </c>
      <c r="J185" s="359">
        <v>2333.3024</v>
      </c>
      <c r="K185" s="76"/>
      <c r="L185" s="199">
        <v>2333.3024</v>
      </c>
      <c r="M185" s="359">
        <v>2333.3024</v>
      </c>
      <c r="N185" s="76"/>
      <c r="O185" s="199">
        <f aca="true" t="shared" si="55" ref="O185:O190">+N185+M185</f>
        <v>2333.3024</v>
      </c>
      <c r="P185" s="77">
        <f aca="true" t="shared" si="56" ref="P185:P190">+M185*0.65</f>
        <v>1516.6465600000001</v>
      </c>
      <c r="Q185" s="77">
        <f aca="true" t="shared" si="57" ref="Q185:Q190">N185*0.65</f>
        <v>0</v>
      </c>
      <c r="R185" s="223">
        <f aca="true" t="shared" si="58" ref="R185:R190">SUM(P185:Q185)</f>
        <v>1516.6465600000001</v>
      </c>
      <c r="S185" s="406" t="s">
        <v>699</v>
      </c>
      <c r="T185" s="407"/>
    </row>
    <row r="186" spans="1:20" s="27" customFormat="1" ht="56.25">
      <c r="A186" s="52" t="s">
        <v>488</v>
      </c>
      <c r="B186" s="8"/>
      <c r="C186" s="15" t="s">
        <v>49</v>
      </c>
      <c r="D186" s="356" t="s">
        <v>646</v>
      </c>
      <c r="E186" s="356" t="s">
        <v>647</v>
      </c>
      <c r="F186" s="356" t="s">
        <v>718</v>
      </c>
      <c r="G186" s="357">
        <v>39575</v>
      </c>
      <c r="H186" s="357">
        <v>39582</v>
      </c>
      <c r="I186" s="358" t="s">
        <v>479</v>
      </c>
      <c r="J186" s="359">
        <v>2916.67</v>
      </c>
      <c r="K186" s="76">
        <v>583.3340000000001</v>
      </c>
      <c r="L186" s="199">
        <v>3500.004</v>
      </c>
      <c r="M186" s="359">
        <v>2916.67</v>
      </c>
      <c r="N186" s="76">
        <v>583.3340000000001</v>
      </c>
      <c r="O186" s="199">
        <f t="shared" si="55"/>
        <v>3500.004</v>
      </c>
      <c r="P186" s="77">
        <f t="shared" si="56"/>
        <v>1895.8355000000001</v>
      </c>
      <c r="Q186" s="77">
        <f t="shared" si="57"/>
        <v>379.16710000000006</v>
      </c>
      <c r="R186" s="223">
        <f t="shared" si="58"/>
        <v>2275.0026000000003</v>
      </c>
      <c r="S186" s="406" t="s">
        <v>699</v>
      </c>
      <c r="T186" s="407"/>
    </row>
    <row r="187" spans="1:20" s="27" customFormat="1" ht="146.25">
      <c r="A187" s="52" t="s">
        <v>488</v>
      </c>
      <c r="B187" s="8"/>
      <c r="C187" s="15" t="s">
        <v>49</v>
      </c>
      <c r="D187" s="356" t="s">
        <v>577</v>
      </c>
      <c r="E187" s="356" t="s">
        <v>490</v>
      </c>
      <c r="F187" s="356" t="s">
        <v>719</v>
      </c>
      <c r="G187" s="357" t="s">
        <v>720</v>
      </c>
      <c r="H187" s="357">
        <v>39582</v>
      </c>
      <c r="I187" s="358" t="s">
        <v>479</v>
      </c>
      <c r="J187" s="359">
        <v>10500</v>
      </c>
      <c r="K187" s="76">
        <v>2100</v>
      </c>
      <c r="L187" s="199">
        <v>12600</v>
      </c>
      <c r="M187" s="359">
        <v>10500</v>
      </c>
      <c r="N187" s="76">
        <v>2100</v>
      </c>
      <c r="O187" s="199">
        <f t="shared" si="55"/>
        <v>12600</v>
      </c>
      <c r="P187" s="77">
        <f t="shared" si="56"/>
        <v>6825</v>
      </c>
      <c r="Q187" s="77">
        <f t="shared" si="57"/>
        <v>1365</v>
      </c>
      <c r="R187" s="223">
        <f t="shared" si="58"/>
        <v>8190</v>
      </c>
      <c r="S187" s="406" t="s">
        <v>699</v>
      </c>
      <c r="T187" s="407"/>
    </row>
    <row r="188" spans="1:20" s="27" customFormat="1" ht="33.75">
      <c r="A188" s="52" t="s">
        <v>488</v>
      </c>
      <c r="B188" s="8"/>
      <c r="C188" s="15" t="s">
        <v>49</v>
      </c>
      <c r="D188" s="356" t="s">
        <v>582</v>
      </c>
      <c r="E188" s="356" t="s">
        <v>583</v>
      </c>
      <c r="F188" s="356" t="s">
        <v>721</v>
      </c>
      <c r="G188" s="357" t="s">
        <v>722</v>
      </c>
      <c r="H188" s="357">
        <v>39582</v>
      </c>
      <c r="I188" s="358" t="s">
        <v>585</v>
      </c>
      <c r="J188" s="359">
        <v>1000</v>
      </c>
      <c r="K188" s="76">
        <v>200</v>
      </c>
      <c r="L188" s="199">
        <v>1200</v>
      </c>
      <c r="M188" s="359">
        <v>1000</v>
      </c>
      <c r="N188" s="76">
        <v>200</v>
      </c>
      <c r="O188" s="199">
        <f t="shared" si="55"/>
        <v>1200</v>
      </c>
      <c r="P188" s="77">
        <f t="shared" si="56"/>
        <v>650</v>
      </c>
      <c r="Q188" s="77">
        <f t="shared" si="57"/>
        <v>130</v>
      </c>
      <c r="R188" s="223">
        <f t="shared" si="58"/>
        <v>780</v>
      </c>
      <c r="S188" s="406" t="s">
        <v>699</v>
      </c>
      <c r="T188" s="407"/>
    </row>
    <row r="189" spans="1:20" s="27" customFormat="1" ht="22.5">
      <c r="A189" s="52" t="s">
        <v>488</v>
      </c>
      <c r="B189" s="8"/>
      <c r="C189" s="15" t="s">
        <v>49</v>
      </c>
      <c r="D189" s="356" t="s">
        <v>723</v>
      </c>
      <c r="E189" s="356" t="s">
        <v>477</v>
      </c>
      <c r="F189" s="356" t="s">
        <v>724</v>
      </c>
      <c r="G189" s="357" t="s">
        <v>725</v>
      </c>
      <c r="H189" s="357">
        <v>39582</v>
      </c>
      <c r="I189" s="358" t="s">
        <v>479</v>
      </c>
      <c r="J189" s="359">
        <v>5074.88</v>
      </c>
      <c r="K189" s="76">
        <v>1014.9760000000001</v>
      </c>
      <c r="L189" s="199">
        <v>6089.856</v>
      </c>
      <c r="M189" s="359">
        <v>5074.88</v>
      </c>
      <c r="N189" s="76">
        <v>1014.9760000000001</v>
      </c>
      <c r="O189" s="199">
        <f t="shared" si="55"/>
        <v>6089.856</v>
      </c>
      <c r="P189" s="77">
        <f t="shared" si="56"/>
        <v>3298.672</v>
      </c>
      <c r="Q189" s="77">
        <f t="shared" si="57"/>
        <v>659.7344</v>
      </c>
      <c r="R189" s="223">
        <f t="shared" si="58"/>
        <v>3958.4064</v>
      </c>
      <c r="S189" s="406" t="s">
        <v>699</v>
      </c>
      <c r="T189" s="407"/>
    </row>
    <row r="190" spans="1:20" s="27" customFormat="1" ht="45">
      <c r="A190" s="52" t="s">
        <v>488</v>
      </c>
      <c r="B190" s="8"/>
      <c r="C190" s="15" t="s">
        <v>49</v>
      </c>
      <c r="D190" s="356" t="s">
        <v>726</v>
      </c>
      <c r="E190" s="356" t="s">
        <v>727</v>
      </c>
      <c r="F190" s="356" t="s">
        <v>728</v>
      </c>
      <c r="G190" s="357" t="s">
        <v>729</v>
      </c>
      <c r="H190" s="357">
        <v>39582</v>
      </c>
      <c r="I190" s="358" t="s">
        <v>479</v>
      </c>
      <c r="J190" s="359">
        <v>5100</v>
      </c>
      <c r="K190" s="76"/>
      <c r="L190" s="199">
        <v>5100</v>
      </c>
      <c r="M190" s="359">
        <v>5100</v>
      </c>
      <c r="N190" s="76"/>
      <c r="O190" s="199">
        <f t="shared" si="55"/>
        <v>5100</v>
      </c>
      <c r="P190" s="77">
        <f t="shared" si="56"/>
        <v>3315</v>
      </c>
      <c r="Q190" s="77">
        <f t="shared" si="57"/>
        <v>0</v>
      </c>
      <c r="R190" s="223">
        <f t="shared" si="58"/>
        <v>3315</v>
      </c>
      <c r="S190" s="406" t="s">
        <v>699</v>
      </c>
      <c r="T190" s="407"/>
    </row>
    <row r="191" spans="1:20" s="27" customFormat="1" ht="11.25">
      <c r="A191" s="52"/>
      <c r="B191" s="8"/>
      <c r="C191" s="15"/>
      <c r="D191" s="356"/>
      <c r="E191" s="356"/>
      <c r="F191" s="356"/>
      <c r="G191" s="357"/>
      <c r="H191" s="357"/>
      <c r="I191" s="358"/>
      <c r="J191" s="359"/>
      <c r="K191" s="76"/>
      <c r="L191" s="199"/>
      <c r="M191" s="359"/>
      <c r="N191" s="76"/>
      <c r="O191" s="199"/>
      <c r="P191" s="77"/>
      <c r="Q191" s="77"/>
      <c r="R191" s="223"/>
      <c r="S191" s="385"/>
      <c r="T191" s="386"/>
    </row>
    <row r="192" spans="1:20" s="27" customFormat="1" ht="11.25">
      <c r="A192" s="52"/>
      <c r="B192" s="8"/>
      <c r="C192" s="15"/>
      <c r="D192" s="356"/>
      <c r="E192" s="356"/>
      <c r="F192" s="356"/>
      <c r="G192" s="357"/>
      <c r="H192" s="357"/>
      <c r="I192" s="358"/>
      <c r="J192" s="359"/>
      <c r="K192" s="76"/>
      <c r="L192" s="199"/>
      <c r="M192" s="359"/>
      <c r="N192" s="76"/>
      <c r="O192" s="199"/>
      <c r="P192" s="77"/>
      <c r="Q192" s="77"/>
      <c r="R192" s="223"/>
      <c r="S192" s="385"/>
      <c r="T192" s="386"/>
    </row>
    <row r="193" spans="1:20" ht="11.25">
      <c r="A193" s="7"/>
      <c r="B193" s="7"/>
      <c r="C193" s="7"/>
      <c r="D193" s="32"/>
      <c r="E193" s="38"/>
      <c r="F193" s="32"/>
      <c r="G193" s="32"/>
      <c r="H193" s="38"/>
      <c r="I193" s="38"/>
      <c r="J193" s="32"/>
      <c r="K193" s="32"/>
      <c r="L193" s="192"/>
      <c r="M193" s="7"/>
      <c r="N193" s="7"/>
      <c r="O193" s="192"/>
      <c r="P193" s="7"/>
      <c r="Q193" s="7"/>
      <c r="R193" s="192"/>
      <c r="S193" s="7"/>
      <c r="T193" s="7"/>
    </row>
    <row r="194" ht="11.25">
      <c r="S194" s="27"/>
    </row>
    <row r="195" spans="1:20" ht="11.25">
      <c r="A195" s="426" t="s">
        <v>1</v>
      </c>
      <c r="B195" s="427"/>
      <c r="C195" s="427"/>
      <c r="D195" s="427"/>
      <c r="E195" s="427"/>
      <c r="F195" s="427"/>
      <c r="G195" s="427"/>
      <c r="H195" s="427"/>
      <c r="I195" s="427"/>
      <c r="J195" s="427"/>
      <c r="K195" s="427"/>
      <c r="L195" s="428"/>
      <c r="M195" s="113" t="s">
        <v>124</v>
      </c>
      <c r="N195" s="26" t="s">
        <v>119</v>
      </c>
      <c r="O195" s="215" t="s">
        <v>125</v>
      </c>
      <c r="P195" s="26" t="s">
        <v>126</v>
      </c>
      <c r="Q195" s="26" t="s">
        <v>127</v>
      </c>
      <c r="R195" s="215" t="s">
        <v>121</v>
      </c>
      <c r="S195" s="139" t="s">
        <v>25</v>
      </c>
      <c r="T195" s="140" t="s">
        <v>26</v>
      </c>
    </row>
    <row r="196" spans="1:21" ht="11.25">
      <c r="A196" s="432"/>
      <c r="B196" s="433"/>
      <c r="C196" s="436"/>
      <c r="D196" s="437"/>
      <c r="E196" s="437"/>
      <c r="F196" s="437"/>
      <c r="G196" s="437"/>
      <c r="H196" s="437"/>
      <c r="I196" s="437"/>
      <c r="J196" s="437"/>
      <c r="K196" s="438"/>
      <c r="L196" s="189" t="s">
        <v>12</v>
      </c>
      <c r="M196" s="3">
        <v>0</v>
      </c>
      <c r="N196" s="3"/>
      <c r="O196" s="216"/>
      <c r="P196" s="3">
        <f>M196*0.65</f>
        <v>0</v>
      </c>
      <c r="Q196" s="100"/>
      <c r="R196" s="219"/>
      <c r="S196" s="141"/>
      <c r="T196" s="141"/>
      <c r="U196" s="27"/>
    </row>
    <row r="197" spans="1:21" ht="11.25">
      <c r="A197" s="432"/>
      <c r="B197" s="433"/>
      <c r="C197" s="41"/>
      <c r="D197" s="155"/>
      <c r="E197" s="155"/>
      <c r="F197" s="40"/>
      <c r="G197" s="40"/>
      <c r="H197" s="40"/>
      <c r="I197" s="169"/>
      <c r="J197" s="40"/>
      <c r="K197" s="13"/>
      <c r="L197" s="190" t="s">
        <v>28</v>
      </c>
      <c r="M197" s="13"/>
      <c r="N197" s="13"/>
      <c r="O197" s="217"/>
      <c r="P197" s="13"/>
      <c r="Q197" s="103"/>
      <c r="R197" s="224"/>
      <c r="S197" s="142">
        <f>R197*0.375</f>
        <v>0</v>
      </c>
      <c r="T197" s="142">
        <f>R197-S197</f>
        <v>0</v>
      </c>
      <c r="U197" s="27"/>
    </row>
    <row r="198" spans="1:21" ht="11.25">
      <c r="A198" s="432"/>
      <c r="B198" s="433"/>
      <c r="C198" s="41"/>
      <c r="D198" s="155"/>
      <c r="E198" s="155"/>
      <c r="F198" s="40"/>
      <c r="G198" s="40"/>
      <c r="H198" s="40"/>
      <c r="I198" s="169"/>
      <c r="J198" s="40"/>
      <c r="K198" s="42"/>
      <c r="L198" s="197" t="s">
        <v>29</v>
      </c>
      <c r="M198" s="4">
        <v>0</v>
      </c>
      <c r="N198" s="4"/>
      <c r="O198" s="213"/>
      <c r="P198" s="4">
        <v>0</v>
      </c>
      <c r="Q198" s="102"/>
      <c r="R198" s="222"/>
      <c r="S198" s="142">
        <f>R198*0.375</f>
        <v>0</v>
      </c>
      <c r="T198" s="142">
        <f>R198-S198</f>
        <v>0</v>
      </c>
      <c r="U198" s="27"/>
    </row>
    <row r="199" spans="1:21" ht="11.25">
      <c r="A199" s="432"/>
      <c r="B199" s="433"/>
      <c r="C199" s="41"/>
      <c r="D199" s="155"/>
      <c r="E199" s="155"/>
      <c r="F199" s="40"/>
      <c r="G199" s="40"/>
      <c r="H199" s="40"/>
      <c r="I199" s="169"/>
      <c r="J199" s="40"/>
      <c r="K199" s="42"/>
      <c r="L199" s="197" t="s">
        <v>364</v>
      </c>
      <c r="M199" s="4"/>
      <c r="N199" s="4"/>
      <c r="O199" s="213"/>
      <c r="P199" s="4">
        <v>0</v>
      </c>
      <c r="Q199" s="102"/>
      <c r="R199" s="222"/>
      <c r="S199" s="142">
        <f>R199*0.375</f>
        <v>0</v>
      </c>
      <c r="T199" s="142">
        <f>R199-S199</f>
        <v>0</v>
      </c>
      <c r="U199" s="27"/>
    </row>
    <row r="200" spans="1:21" ht="11.25">
      <c r="A200" s="432"/>
      <c r="B200" s="433"/>
      <c r="C200" s="41"/>
      <c r="D200" s="155"/>
      <c r="E200" s="155"/>
      <c r="F200" s="40"/>
      <c r="G200" s="40"/>
      <c r="H200" s="40"/>
      <c r="I200" s="169"/>
      <c r="J200" s="40"/>
      <c r="K200" s="42"/>
      <c r="L200" s="197" t="s">
        <v>451</v>
      </c>
      <c r="M200" s="4"/>
      <c r="N200" s="4"/>
      <c r="O200" s="213"/>
      <c r="P200" s="4">
        <v>0</v>
      </c>
      <c r="Q200" s="102"/>
      <c r="R200" s="222"/>
      <c r="S200" s="142">
        <f>R200*0.375</f>
        <v>0</v>
      </c>
      <c r="T200" s="142">
        <f>R200-S200</f>
        <v>0</v>
      </c>
      <c r="U200" s="27"/>
    </row>
    <row r="201" spans="1:21" ht="11.25">
      <c r="A201" s="432"/>
      <c r="B201" s="433"/>
      <c r="C201" s="41"/>
      <c r="D201" s="155"/>
      <c r="E201" s="155"/>
      <c r="F201" s="40"/>
      <c r="G201" s="40"/>
      <c r="H201" s="40"/>
      <c r="I201" s="169"/>
      <c r="J201" s="40"/>
      <c r="K201" s="42"/>
      <c r="L201" s="197" t="s">
        <v>484</v>
      </c>
      <c r="M201" s="4"/>
      <c r="N201" s="4"/>
      <c r="O201" s="213">
        <f>+N201+M201</f>
        <v>0</v>
      </c>
      <c r="P201" s="4"/>
      <c r="Q201" s="4"/>
      <c r="R201" s="213">
        <f>+Q201+P201</f>
        <v>0</v>
      </c>
      <c r="S201" s="142">
        <f>R201*0.375</f>
        <v>0</v>
      </c>
      <c r="T201" s="142">
        <f>R201-S201</f>
        <v>0</v>
      </c>
      <c r="U201" s="27"/>
    </row>
    <row r="202" spans="1:21" ht="11.25">
      <c r="A202" s="432"/>
      <c r="B202" s="433"/>
      <c r="C202" s="41"/>
      <c r="D202" s="155"/>
      <c r="E202" s="155"/>
      <c r="F202" s="40"/>
      <c r="G202" s="40"/>
      <c r="H202" s="40"/>
      <c r="I202" s="169"/>
      <c r="J202" s="40"/>
      <c r="K202" s="42"/>
      <c r="L202" s="197" t="s">
        <v>487</v>
      </c>
      <c r="M202" s="4"/>
      <c r="N202" s="4"/>
      <c r="O202" s="213"/>
      <c r="P202" s="4"/>
      <c r="Q202" s="361"/>
      <c r="R202" s="362"/>
      <c r="S202" s="360"/>
      <c r="T202" s="360"/>
      <c r="U202" s="27"/>
    </row>
    <row r="203" spans="1:21" ht="11.25">
      <c r="A203" s="434"/>
      <c r="B203" s="435"/>
      <c r="C203" s="448"/>
      <c r="D203" s="449"/>
      <c r="E203" s="449"/>
      <c r="F203" s="449"/>
      <c r="G203" s="449"/>
      <c r="H203" s="449"/>
      <c r="I203" s="449"/>
      <c r="J203" s="449"/>
      <c r="K203" s="450"/>
      <c r="L203" s="191" t="s">
        <v>13</v>
      </c>
      <c r="M203" s="6">
        <f>M196-M197-M198</f>
        <v>0</v>
      </c>
      <c r="N203" s="6"/>
      <c r="O203" s="214"/>
      <c r="P203" s="14">
        <f>P196-P197</f>
        <v>0</v>
      </c>
      <c r="Q203" s="46"/>
      <c r="R203" s="225"/>
      <c r="S203" s="145"/>
      <c r="T203" s="144"/>
      <c r="U203" s="27"/>
    </row>
    <row r="204" spans="1:20" ht="33.75">
      <c r="A204" s="7" t="s">
        <v>14</v>
      </c>
      <c r="B204" s="7" t="s">
        <v>11</v>
      </c>
      <c r="C204" s="32" t="s">
        <v>24</v>
      </c>
      <c r="D204" s="32" t="s">
        <v>20</v>
      </c>
      <c r="E204" s="38" t="s">
        <v>2</v>
      </c>
      <c r="F204" s="32" t="s">
        <v>19</v>
      </c>
      <c r="G204" s="32" t="s">
        <v>18</v>
      </c>
      <c r="H204" s="38" t="s">
        <v>17</v>
      </c>
      <c r="I204" s="38" t="s">
        <v>16</v>
      </c>
      <c r="J204" s="32" t="s">
        <v>3</v>
      </c>
      <c r="K204" s="32" t="s">
        <v>4</v>
      </c>
      <c r="L204" s="192" t="s">
        <v>5</v>
      </c>
      <c r="M204" s="7" t="s">
        <v>21</v>
      </c>
      <c r="N204" s="7" t="s">
        <v>119</v>
      </c>
      <c r="O204" s="192" t="s">
        <v>122</v>
      </c>
      <c r="P204" s="7" t="s">
        <v>22</v>
      </c>
      <c r="Q204" s="25" t="s">
        <v>120</v>
      </c>
      <c r="R204" s="204" t="s">
        <v>121</v>
      </c>
      <c r="S204" s="464" t="s">
        <v>27</v>
      </c>
      <c r="T204" s="464"/>
    </row>
    <row r="205" spans="1:20" ht="22.5">
      <c r="A205" s="52" t="s">
        <v>461</v>
      </c>
      <c r="B205" s="8"/>
      <c r="C205" s="15" t="s">
        <v>42</v>
      </c>
      <c r="D205" s="15" t="s">
        <v>463</v>
      </c>
      <c r="E205" s="15" t="s">
        <v>464</v>
      </c>
      <c r="F205" s="9" t="s">
        <v>465</v>
      </c>
      <c r="G205" s="10">
        <v>39126</v>
      </c>
      <c r="H205" s="11">
        <v>39132</v>
      </c>
      <c r="I205" s="19" t="s">
        <v>186</v>
      </c>
      <c r="J205" s="12">
        <v>159</v>
      </c>
      <c r="K205" s="12">
        <v>31.8</v>
      </c>
      <c r="L205" s="194">
        <v>190.8</v>
      </c>
      <c r="M205" s="12"/>
      <c r="N205" s="12"/>
      <c r="O205" s="194"/>
      <c r="P205" s="77">
        <f aca="true" t="shared" si="59" ref="P205:Q207">+M205*0.65</f>
        <v>0</v>
      </c>
      <c r="Q205" s="77">
        <f t="shared" si="59"/>
        <v>0</v>
      </c>
      <c r="R205" s="223">
        <f>+Q205+P205</f>
        <v>0</v>
      </c>
      <c r="S205" s="417" t="s">
        <v>485</v>
      </c>
      <c r="T205" s="417"/>
    </row>
    <row r="206" spans="1:20" ht="22.5">
      <c r="A206" s="52" t="s">
        <v>461</v>
      </c>
      <c r="B206" s="8"/>
      <c r="C206" s="15" t="s">
        <v>42</v>
      </c>
      <c r="D206" s="15" t="s">
        <v>466</v>
      </c>
      <c r="E206" s="15" t="s">
        <v>464</v>
      </c>
      <c r="F206" s="9" t="s">
        <v>465</v>
      </c>
      <c r="G206" s="10">
        <v>39126</v>
      </c>
      <c r="H206" s="11">
        <v>39132</v>
      </c>
      <c r="I206" s="19" t="s">
        <v>186</v>
      </c>
      <c r="J206" s="12">
        <v>39</v>
      </c>
      <c r="K206" s="12">
        <v>7.8</v>
      </c>
      <c r="L206" s="194">
        <v>46.8</v>
      </c>
      <c r="M206" s="12"/>
      <c r="N206" s="12"/>
      <c r="O206" s="194"/>
      <c r="P206" s="77">
        <f t="shared" si="59"/>
        <v>0</v>
      </c>
      <c r="Q206" s="77">
        <f t="shared" si="59"/>
        <v>0</v>
      </c>
      <c r="R206" s="223">
        <f>+Q206+P206</f>
        <v>0</v>
      </c>
      <c r="S206" s="417" t="s">
        <v>485</v>
      </c>
      <c r="T206" s="417"/>
    </row>
    <row r="207" spans="1:20" ht="22.5">
      <c r="A207" s="52" t="s">
        <v>461</v>
      </c>
      <c r="B207" s="8"/>
      <c r="C207" s="15" t="s">
        <v>42</v>
      </c>
      <c r="D207" s="15" t="s">
        <v>467</v>
      </c>
      <c r="E207" s="15" t="s">
        <v>464</v>
      </c>
      <c r="F207" s="9" t="s">
        <v>465</v>
      </c>
      <c r="G207" s="10">
        <v>39126</v>
      </c>
      <c r="H207" s="11">
        <v>39132</v>
      </c>
      <c r="I207" s="19" t="s">
        <v>186</v>
      </c>
      <c r="J207" s="12">
        <v>150</v>
      </c>
      <c r="K207" s="12">
        <v>30</v>
      </c>
      <c r="L207" s="194">
        <v>180</v>
      </c>
      <c r="M207" s="12"/>
      <c r="N207" s="12"/>
      <c r="O207" s="194"/>
      <c r="P207" s="77">
        <f t="shared" si="59"/>
        <v>0</v>
      </c>
      <c r="Q207" s="77">
        <f t="shared" si="59"/>
        <v>0</v>
      </c>
      <c r="R207" s="223">
        <f>+Q207+P207</f>
        <v>0</v>
      </c>
      <c r="S207" s="417" t="s">
        <v>485</v>
      </c>
      <c r="T207" s="417"/>
    </row>
    <row r="208" spans="1:20" ht="11.25">
      <c r="A208" s="54"/>
      <c r="B208" s="8"/>
      <c r="C208" s="9"/>
      <c r="D208" s="15"/>
      <c r="E208" s="15"/>
      <c r="F208" s="9"/>
      <c r="G208" s="10"/>
      <c r="H208" s="11"/>
      <c r="I208" s="19"/>
      <c r="J208" s="12"/>
      <c r="K208" s="12"/>
      <c r="L208" s="194"/>
      <c r="M208" s="12"/>
      <c r="N208" s="12"/>
      <c r="O208" s="194"/>
      <c r="P208" s="12"/>
      <c r="Q208" s="12"/>
      <c r="R208" s="194"/>
      <c r="S208" s="417"/>
      <c r="T208" s="417"/>
    </row>
    <row r="209" ht="11.25">
      <c r="S209" s="27"/>
    </row>
    <row r="210" spans="1:20" ht="11.25">
      <c r="A210" s="426" t="s">
        <v>8</v>
      </c>
      <c r="B210" s="427"/>
      <c r="C210" s="427"/>
      <c r="D210" s="427"/>
      <c r="E210" s="427"/>
      <c r="F210" s="427"/>
      <c r="G210" s="427"/>
      <c r="H210" s="427"/>
      <c r="I210" s="427"/>
      <c r="J210" s="427"/>
      <c r="K210" s="427"/>
      <c r="L210" s="428"/>
      <c r="M210" s="113" t="s">
        <v>124</v>
      </c>
      <c r="N210" s="26" t="s">
        <v>119</v>
      </c>
      <c r="O210" s="215" t="s">
        <v>125</v>
      </c>
      <c r="P210" s="26" t="s">
        <v>126</v>
      </c>
      <c r="Q210" s="26" t="s">
        <v>127</v>
      </c>
      <c r="R210" s="215" t="s">
        <v>121</v>
      </c>
      <c r="S210" s="139" t="s">
        <v>25</v>
      </c>
      <c r="T210" s="140" t="s">
        <v>26</v>
      </c>
    </row>
    <row r="211" spans="1:21" ht="11.25">
      <c r="A211" s="432"/>
      <c r="B211" s="433"/>
      <c r="C211" s="436"/>
      <c r="D211" s="437"/>
      <c r="E211" s="437"/>
      <c r="F211" s="437"/>
      <c r="G211" s="437"/>
      <c r="H211" s="437"/>
      <c r="I211" s="437"/>
      <c r="J211" s="437"/>
      <c r="K211" s="438"/>
      <c r="L211" s="200" t="s">
        <v>12</v>
      </c>
      <c r="M211" s="3">
        <v>95203.8</v>
      </c>
      <c r="N211" s="3"/>
      <c r="O211" s="216"/>
      <c r="P211" s="3">
        <f>M211*0.65</f>
        <v>61882.47</v>
      </c>
      <c r="Q211" s="3"/>
      <c r="R211" s="219"/>
      <c r="S211" s="141"/>
      <c r="T211" s="141"/>
      <c r="U211" s="27"/>
    </row>
    <row r="212" spans="1:21" ht="11.25">
      <c r="A212" s="432"/>
      <c r="B212" s="433"/>
      <c r="C212" s="41"/>
      <c r="D212" s="155"/>
      <c r="E212" s="155"/>
      <c r="F212" s="40"/>
      <c r="G212" s="40"/>
      <c r="H212" s="40"/>
      <c r="I212" s="169"/>
      <c r="J212" s="40" t="s">
        <v>732</v>
      </c>
      <c r="K212" s="4">
        <f>+M211+(M211*0.2)</f>
        <v>114244.56</v>
      </c>
      <c r="L212" s="190" t="s">
        <v>28</v>
      </c>
      <c r="M212" s="4"/>
      <c r="N212" s="4"/>
      <c r="O212" s="213"/>
      <c r="P212" s="4"/>
      <c r="Q212" s="102"/>
      <c r="R212" s="222"/>
      <c r="S212" s="142">
        <f aca="true" t="shared" si="60" ref="S212:S217">R212*0.375</f>
        <v>0</v>
      </c>
      <c r="T212" s="142">
        <f aca="true" t="shared" si="61" ref="T212:T217">R212-S212</f>
        <v>0</v>
      </c>
      <c r="U212" s="27"/>
    </row>
    <row r="213" spans="1:21" ht="11.25">
      <c r="A213" s="432"/>
      <c r="B213" s="433"/>
      <c r="C213" s="41"/>
      <c r="D213" s="155"/>
      <c r="E213" s="155"/>
      <c r="F213" s="40"/>
      <c r="G213" s="40"/>
      <c r="H213" s="40"/>
      <c r="I213" s="169"/>
      <c r="J213" s="40"/>
      <c r="K213" s="42"/>
      <c r="L213" s="197" t="s">
        <v>29</v>
      </c>
      <c r="M213" s="4">
        <v>0</v>
      </c>
      <c r="N213" s="4"/>
      <c r="O213" s="213"/>
      <c r="P213" s="4">
        <v>0</v>
      </c>
      <c r="Q213" s="102"/>
      <c r="R213" s="222"/>
      <c r="S213" s="142">
        <f t="shared" si="60"/>
        <v>0</v>
      </c>
      <c r="T213" s="142">
        <f t="shared" si="61"/>
        <v>0</v>
      </c>
      <c r="U213" s="27"/>
    </row>
    <row r="214" spans="1:21" ht="11.25">
      <c r="A214" s="432"/>
      <c r="B214" s="433"/>
      <c r="C214" s="41"/>
      <c r="D214" s="155"/>
      <c r="E214" s="155"/>
      <c r="F214" s="40"/>
      <c r="G214" s="40"/>
      <c r="H214" s="40"/>
      <c r="I214" s="169"/>
      <c r="J214" s="40"/>
      <c r="K214" s="42">
        <f>+M217-K212</f>
        <v>0</v>
      </c>
      <c r="L214" s="197" t="s">
        <v>364</v>
      </c>
      <c r="M214" s="4"/>
      <c r="N214" s="4"/>
      <c r="O214" s="213"/>
      <c r="P214" s="4"/>
      <c r="Q214" s="102"/>
      <c r="R214" s="222"/>
      <c r="S214" s="142">
        <f t="shared" si="60"/>
        <v>0</v>
      </c>
      <c r="T214" s="142">
        <f t="shared" si="61"/>
        <v>0</v>
      </c>
      <c r="U214" s="27"/>
    </row>
    <row r="215" spans="1:21" ht="11.25">
      <c r="A215" s="432"/>
      <c r="B215" s="433"/>
      <c r="C215" s="41"/>
      <c r="D215" s="155"/>
      <c r="E215" s="155"/>
      <c r="F215" s="40"/>
      <c r="G215" s="40"/>
      <c r="H215" s="40"/>
      <c r="I215" s="169"/>
      <c r="J215" s="40"/>
      <c r="K215" s="42"/>
      <c r="L215" s="197" t="s">
        <v>451</v>
      </c>
      <c r="M215" s="4"/>
      <c r="N215" s="4"/>
      <c r="O215" s="213"/>
      <c r="P215" s="4"/>
      <c r="Q215" s="102"/>
      <c r="R215" s="222"/>
      <c r="S215" s="142">
        <f t="shared" si="60"/>
        <v>0</v>
      </c>
      <c r="T215" s="142">
        <f t="shared" si="61"/>
        <v>0</v>
      </c>
      <c r="U215" s="27"/>
    </row>
    <row r="216" spans="1:21" ht="11.25">
      <c r="A216" s="432"/>
      <c r="B216" s="433"/>
      <c r="C216" s="41"/>
      <c r="D216" s="155"/>
      <c r="E216" s="155"/>
      <c r="F216" s="40"/>
      <c r="G216" s="40"/>
      <c r="H216" s="40"/>
      <c r="I216" s="169"/>
      <c r="J216" s="40"/>
      <c r="K216" s="42"/>
      <c r="L216" s="197" t="s">
        <v>484</v>
      </c>
      <c r="M216" s="4">
        <f>SUM(M205:M207)</f>
        <v>0</v>
      </c>
      <c r="N216" s="4">
        <f>SUM(N205:N207)</f>
        <v>0</v>
      </c>
      <c r="O216" s="213">
        <f>+N216+M216</f>
        <v>0</v>
      </c>
      <c r="P216" s="4">
        <f>SUM(P205:P207)</f>
        <v>0</v>
      </c>
      <c r="Q216" s="4">
        <f>SUM(Q205:Q207)</f>
        <v>0</v>
      </c>
      <c r="R216" s="213">
        <f>+Q216+P216</f>
        <v>0</v>
      </c>
      <c r="S216" s="142">
        <f t="shared" si="60"/>
        <v>0</v>
      </c>
      <c r="T216" s="142">
        <f t="shared" si="61"/>
        <v>0</v>
      </c>
      <c r="U216" s="27"/>
    </row>
    <row r="217" spans="1:21" ht="11.25">
      <c r="A217" s="432"/>
      <c r="B217" s="433"/>
      <c r="C217" s="41"/>
      <c r="D217" s="155"/>
      <c r="E217" s="155"/>
      <c r="F217" s="40"/>
      <c r="G217" s="40"/>
      <c r="H217" s="40"/>
      <c r="I217" s="169"/>
      <c r="J217" s="40"/>
      <c r="K217" s="42"/>
      <c r="L217" s="197" t="s">
        <v>487</v>
      </c>
      <c r="M217" s="4">
        <f>SUM(M220:M240)</f>
        <v>114244.56000000001</v>
      </c>
      <c r="N217" s="4">
        <f>SUM(N220:N240)</f>
        <v>20328.884000000005</v>
      </c>
      <c r="O217" s="213">
        <f>+N217+M217</f>
        <v>134573.44400000002</v>
      </c>
      <c r="P217" s="4">
        <f>SUM(P220:P240)</f>
        <v>74258.96400000002</v>
      </c>
      <c r="Q217" s="4">
        <f>SUM(Q220:Q240)</f>
        <v>13213.7746</v>
      </c>
      <c r="R217" s="213">
        <f>+Q217+P217</f>
        <v>87472.73860000003</v>
      </c>
      <c r="S217" s="142">
        <f t="shared" si="60"/>
        <v>32802.27697500001</v>
      </c>
      <c r="T217" s="142">
        <f t="shared" si="61"/>
        <v>54670.46162500002</v>
      </c>
      <c r="U217" s="27"/>
    </row>
    <row r="218" spans="1:21" ht="11.25">
      <c r="A218" s="434"/>
      <c r="B218" s="435"/>
      <c r="C218" s="448"/>
      <c r="D218" s="449"/>
      <c r="E218" s="449"/>
      <c r="F218" s="449"/>
      <c r="G218" s="449"/>
      <c r="H218" s="449"/>
      <c r="I218" s="449"/>
      <c r="J218" s="449"/>
      <c r="K218" s="450"/>
      <c r="L218" s="191" t="s">
        <v>13</v>
      </c>
      <c r="M218" s="6">
        <f>M211-M212-M213-M214-M215-M216-M217</f>
        <v>-19040.76000000001</v>
      </c>
      <c r="N218" s="6"/>
      <c r="O218" s="214"/>
      <c r="P218" s="6">
        <f>P211-P212-P213-P214-P215-P216-P217</f>
        <v>-12376.49400000002</v>
      </c>
      <c r="Q218" s="6"/>
      <c r="R218" s="214"/>
      <c r="S218" s="144"/>
      <c r="T218" s="144"/>
      <c r="U218" s="27"/>
    </row>
    <row r="219" spans="1:20" ht="33.75">
      <c r="A219" s="7" t="s">
        <v>14</v>
      </c>
      <c r="B219" s="7" t="s">
        <v>11</v>
      </c>
      <c r="C219" s="32" t="s">
        <v>24</v>
      </c>
      <c r="D219" s="32" t="s">
        <v>20</v>
      </c>
      <c r="E219" s="38" t="s">
        <v>2</v>
      </c>
      <c r="F219" s="32" t="s">
        <v>19</v>
      </c>
      <c r="G219" s="32" t="s">
        <v>18</v>
      </c>
      <c r="H219" s="38" t="s">
        <v>17</v>
      </c>
      <c r="I219" s="38" t="s">
        <v>16</v>
      </c>
      <c r="J219" s="32" t="s">
        <v>3</v>
      </c>
      <c r="K219" s="32" t="s">
        <v>4</v>
      </c>
      <c r="L219" s="192" t="s">
        <v>5</v>
      </c>
      <c r="M219" s="7" t="s">
        <v>21</v>
      </c>
      <c r="N219" s="7" t="s">
        <v>119</v>
      </c>
      <c r="O219" s="192" t="s">
        <v>122</v>
      </c>
      <c r="P219" s="7" t="s">
        <v>22</v>
      </c>
      <c r="Q219" s="25" t="s">
        <v>120</v>
      </c>
      <c r="R219" s="204" t="s">
        <v>121</v>
      </c>
      <c r="S219" s="464" t="s">
        <v>27</v>
      </c>
      <c r="T219" s="464"/>
    </row>
    <row r="220" spans="1:20" s="365" customFormat="1" ht="35.25" customHeight="1">
      <c r="A220" s="52" t="s">
        <v>488</v>
      </c>
      <c r="B220" s="8"/>
      <c r="C220" s="105" t="s">
        <v>78</v>
      </c>
      <c r="D220" s="368" t="s">
        <v>489</v>
      </c>
      <c r="E220" s="369" t="s">
        <v>490</v>
      </c>
      <c r="F220" s="370">
        <v>131</v>
      </c>
      <c r="G220" s="371">
        <v>39188</v>
      </c>
      <c r="H220" s="372">
        <v>39216</v>
      </c>
      <c r="I220" s="372" t="s">
        <v>435</v>
      </c>
      <c r="J220" s="373">
        <v>7000</v>
      </c>
      <c r="K220" s="373">
        <v>1400</v>
      </c>
      <c r="L220" s="374">
        <v>8400</v>
      </c>
      <c r="M220" s="373">
        <v>4666.72</v>
      </c>
      <c r="N220" s="373">
        <v>933.34</v>
      </c>
      <c r="O220" s="375">
        <f>+N220+M220</f>
        <v>5600.06</v>
      </c>
      <c r="P220" s="373">
        <f aca="true" t="shared" si="62" ref="P220:P229">+M220*0.65</f>
        <v>3033.3680000000004</v>
      </c>
      <c r="Q220" s="373">
        <f aca="true" t="shared" si="63" ref="Q220:Q229">+N220*0.65</f>
        <v>606.671</v>
      </c>
      <c r="R220" s="375">
        <f aca="true" t="shared" si="64" ref="R220:R229">+Q220+P220</f>
        <v>3640.0390000000007</v>
      </c>
      <c r="S220" s="387" t="s">
        <v>605</v>
      </c>
      <c r="T220" s="388"/>
    </row>
    <row r="221" spans="1:20" s="365" customFormat="1" ht="35.25" customHeight="1">
      <c r="A221" s="52" t="s">
        <v>488</v>
      </c>
      <c r="B221" s="8"/>
      <c r="C221" s="105" t="s">
        <v>78</v>
      </c>
      <c r="D221" s="368" t="s">
        <v>489</v>
      </c>
      <c r="E221" s="369" t="s">
        <v>490</v>
      </c>
      <c r="F221" s="370">
        <v>199</v>
      </c>
      <c r="G221" s="371">
        <v>39275</v>
      </c>
      <c r="H221" s="372">
        <v>39330</v>
      </c>
      <c r="I221" s="372" t="s">
        <v>435</v>
      </c>
      <c r="J221" s="373">
        <v>4666.72</v>
      </c>
      <c r="K221" s="373">
        <v>933.34</v>
      </c>
      <c r="L221" s="374">
        <v>5600.06</v>
      </c>
      <c r="M221" s="373">
        <v>4666.72</v>
      </c>
      <c r="N221" s="373">
        <v>933.34</v>
      </c>
      <c r="O221" s="375">
        <f>+N221+M221</f>
        <v>5600.06</v>
      </c>
      <c r="P221" s="373">
        <f t="shared" si="62"/>
        <v>3033.3680000000004</v>
      </c>
      <c r="Q221" s="373">
        <f t="shared" si="63"/>
        <v>606.671</v>
      </c>
      <c r="R221" s="375">
        <f t="shared" si="64"/>
        <v>3640.0390000000007</v>
      </c>
      <c r="S221" s="366"/>
      <c r="T221" s="367"/>
    </row>
    <row r="222" spans="1:20" s="365" customFormat="1" ht="35.25" customHeight="1">
      <c r="A222" s="52" t="s">
        <v>488</v>
      </c>
      <c r="B222" s="8"/>
      <c r="C222" s="15" t="s">
        <v>157</v>
      </c>
      <c r="D222" s="368" t="s">
        <v>547</v>
      </c>
      <c r="E222" s="369" t="s">
        <v>538</v>
      </c>
      <c r="F222" s="370">
        <v>128</v>
      </c>
      <c r="G222" s="371">
        <v>39188</v>
      </c>
      <c r="H222" s="372">
        <v>39290</v>
      </c>
      <c r="I222" s="372" t="s">
        <v>435</v>
      </c>
      <c r="J222" s="373">
        <v>4666.72</v>
      </c>
      <c r="K222" s="373">
        <v>933.34</v>
      </c>
      <c r="L222" s="374">
        <v>5600.06</v>
      </c>
      <c r="M222" s="373">
        <v>4666.72</v>
      </c>
      <c r="N222" s="373">
        <v>933.34</v>
      </c>
      <c r="O222" s="375">
        <f>+N222+M222</f>
        <v>5600.06</v>
      </c>
      <c r="P222" s="373">
        <f t="shared" si="62"/>
        <v>3033.3680000000004</v>
      </c>
      <c r="Q222" s="373">
        <f t="shared" si="63"/>
        <v>606.671</v>
      </c>
      <c r="R222" s="375">
        <f t="shared" si="64"/>
        <v>3640.0390000000007</v>
      </c>
      <c r="S222" s="387" t="s">
        <v>621</v>
      </c>
      <c r="T222" s="388"/>
    </row>
    <row r="223" spans="1:20" s="365" customFormat="1" ht="35.25" customHeight="1">
      <c r="A223" s="52" t="s">
        <v>488</v>
      </c>
      <c r="B223" s="8"/>
      <c r="C223" s="15" t="s">
        <v>157</v>
      </c>
      <c r="D223" s="368"/>
      <c r="E223" s="369" t="s">
        <v>538</v>
      </c>
      <c r="F223" s="370">
        <v>225</v>
      </c>
      <c r="G223" s="371">
        <v>39289</v>
      </c>
      <c r="H223" s="372">
        <v>39345</v>
      </c>
      <c r="I223" s="372" t="s">
        <v>435</v>
      </c>
      <c r="J223" s="373">
        <v>4666.72</v>
      </c>
      <c r="K223" s="373">
        <v>933.34</v>
      </c>
      <c r="L223" s="374">
        <v>5600.06</v>
      </c>
      <c r="M223" s="373">
        <v>4666.72</v>
      </c>
      <c r="N223" s="373">
        <v>933.34</v>
      </c>
      <c r="O223" s="375">
        <f>+N223+M223</f>
        <v>5600.06</v>
      </c>
      <c r="P223" s="373">
        <f t="shared" si="62"/>
        <v>3033.3680000000004</v>
      </c>
      <c r="Q223" s="373">
        <f t="shared" si="63"/>
        <v>606.671</v>
      </c>
      <c r="R223" s="375">
        <f t="shared" si="64"/>
        <v>3640.0390000000007</v>
      </c>
      <c r="S223" s="387" t="s">
        <v>621</v>
      </c>
      <c r="T223" s="388"/>
    </row>
    <row r="224" spans="1:20" s="365" customFormat="1" ht="72.75" customHeight="1">
      <c r="A224" s="52" t="s">
        <v>488</v>
      </c>
      <c r="B224" s="8"/>
      <c r="C224" s="15" t="s">
        <v>179</v>
      </c>
      <c r="D224" s="368" t="s">
        <v>549</v>
      </c>
      <c r="E224" s="369" t="s">
        <v>490</v>
      </c>
      <c r="F224" s="370" t="s">
        <v>550</v>
      </c>
      <c r="G224" s="371">
        <v>39268</v>
      </c>
      <c r="H224" s="372">
        <v>39262</v>
      </c>
      <c r="I224" s="372" t="s">
        <v>503</v>
      </c>
      <c r="J224" s="373">
        <v>4666.72</v>
      </c>
      <c r="K224" s="373">
        <v>933.34</v>
      </c>
      <c r="L224" s="374">
        <v>5600.06</v>
      </c>
      <c r="M224" s="373">
        <v>4666.72</v>
      </c>
      <c r="N224" s="373">
        <v>933.34</v>
      </c>
      <c r="O224" s="374">
        <v>5600.06</v>
      </c>
      <c r="P224" s="373">
        <f t="shared" si="62"/>
        <v>3033.3680000000004</v>
      </c>
      <c r="Q224" s="373">
        <f t="shared" si="63"/>
        <v>606.671</v>
      </c>
      <c r="R224" s="375">
        <f t="shared" si="64"/>
        <v>3640.0390000000007</v>
      </c>
      <c r="S224" s="366"/>
      <c r="T224" s="367"/>
    </row>
    <row r="225" spans="1:20" s="365" customFormat="1" ht="72" customHeight="1">
      <c r="A225" s="52" t="s">
        <v>488</v>
      </c>
      <c r="B225" s="8"/>
      <c r="C225" s="15" t="s">
        <v>179</v>
      </c>
      <c r="D225" s="368" t="s">
        <v>549</v>
      </c>
      <c r="E225" s="369" t="s">
        <v>490</v>
      </c>
      <c r="F225" s="370" t="s">
        <v>502</v>
      </c>
      <c r="G225" s="371">
        <v>39188</v>
      </c>
      <c r="H225" s="372">
        <v>39262</v>
      </c>
      <c r="I225" s="372" t="s">
        <v>503</v>
      </c>
      <c r="J225" s="373">
        <v>4666.72</v>
      </c>
      <c r="K225" s="373">
        <v>933.34</v>
      </c>
      <c r="L225" s="374">
        <v>5600.06</v>
      </c>
      <c r="M225" s="373">
        <v>4666.72</v>
      </c>
      <c r="N225" s="373">
        <f>+M225*0.2</f>
        <v>933.344</v>
      </c>
      <c r="O225" s="375">
        <f aca="true" t="shared" si="65" ref="O225:O230">+N225+M225</f>
        <v>5600.064</v>
      </c>
      <c r="P225" s="373">
        <f t="shared" si="62"/>
        <v>3033.3680000000004</v>
      </c>
      <c r="Q225" s="373">
        <f t="shared" si="63"/>
        <v>606.6736000000001</v>
      </c>
      <c r="R225" s="375">
        <f t="shared" si="64"/>
        <v>3640.0416000000005</v>
      </c>
      <c r="S225" s="366"/>
      <c r="T225" s="367"/>
    </row>
    <row r="226" spans="1:20" s="365" customFormat="1" ht="35.25" customHeight="1">
      <c r="A226" s="52" t="s">
        <v>488</v>
      </c>
      <c r="B226" s="8"/>
      <c r="C226" s="15" t="s">
        <v>177</v>
      </c>
      <c r="D226" s="368" t="s">
        <v>561</v>
      </c>
      <c r="E226" s="369" t="s">
        <v>517</v>
      </c>
      <c r="F226" s="370">
        <v>195</v>
      </c>
      <c r="G226" s="371">
        <v>39272</v>
      </c>
      <c r="H226" s="372">
        <v>39381</v>
      </c>
      <c r="I226" s="372" t="s">
        <v>47</v>
      </c>
      <c r="J226" s="373">
        <v>4666.72</v>
      </c>
      <c r="K226" s="373">
        <v>933.344</v>
      </c>
      <c r="L226" s="374">
        <v>5600.064</v>
      </c>
      <c r="M226" s="373">
        <v>4666.72</v>
      </c>
      <c r="N226" s="373">
        <v>933.344</v>
      </c>
      <c r="O226" s="375">
        <f t="shared" si="65"/>
        <v>5600.064</v>
      </c>
      <c r="P226" s="373">
        <f t="shared" si="62"/>
        <v>3033.3680000000004</v>
      </c>
      <c r="Q226" s="373">
        <f t="shared" si="63"/>
        <v>606.6736000000001</v>
      </c>
      <c r="R226" s="375">
        <f t="shared" si="64"/>
        <v>3640.0416000000005</v>
      </c>
      <c r="S226" s="387" t="s">
        <v>621</v>
      </c>
      <c r="T226" s="388"/>
    </row>
    <row r="227" spans="1:20" s="365" customFormat="1" ht="35.25" customHeight="1">
      <c r="A227" s="52" t="s">
        <v>488</v>
      </c>
      <c r="B227" s="8"/>
      <c r="C227" s="15" t="s">
        <v>177</v>
      </c>
      <c r="D227" s="368" t="s">
        <v>561</v>
      </c>
      <c r="E227" s="369" t="s">
        <v>517</v>
      </c>
      <c r="F227" s="370">
        <v>130</v>
      </c>
      <c r="G227" s="371">
        <v>39188</v>
      </c>
      <c r="H227" s="372">
        <v>39246</v>
      </c>
      <c r="I227" s="372" t="s">
        <v>47</v>
      </c>
      <c r="J227" s="373">
        <v>4666.72</v>
      </c>
      <c r="K227" s="373">
        <v>933.344</v>
      </c>
      <c r="L227" s="374">
        <v>5600.064</v>
      </c>
      <c r="M227" s="373">
        <v>4666.72</v>
      </c>
      <c r="N227" s="373">
        <v>933.344</v>
      </c>
      <c r="O227" s="375">
        <f t="shared" si="65"/>
        <v>5600.064</v>
      </c>
      <c r="P227" s="373">
        <f t="shared" si="62"/>
        <v>3033.3680000000004</v>
      </c>
      <c r="Q227" s="373">
        <f t="shared" si="63"/>
        <v>606.6736000000001</v>
      </c>
      <c r="R227" s="375">
        <f t="shared" si="64"/>
        <v>3640.0416000000005</v>
      </c>
      <c r="S227" s="366"/>
      <c r="T227" s="367"/>
    </row>
    <row r="228" spans="1:20" s="365" customFormat="1" ht="35.25" customHeight="1">
      <c r="A228" s="52" t="s">
        <v>488</v>
      </c>
      <c r="B228" s="8"/>
      <c r="C228" s="15" t="s">
        <v>49</v>
      </c>
      <c r="D228" s="368" t="s">
        <v>586</v>
      </c>
      <c r="E228" s="369" t="s">
        <v>490</v>
      </c>
      <c r="F228" s="370">
        <v>129</v>
      </c>
      <c r="G228" s="371">
        <v>39188</v>
      </c>
      <c r="H228" s="372">
        <v>39267</v>
      </c>
      <c r="I228" s="372" t="s">
        <v>479</v>
      </c>
      <c r="J228" s="373">
        <v>4666.72</v>
      </c>
      <c r="K228" s="373">
        <v>933.344</v>
      </c>
      <c r="L228" s="374">
        <v>5600.064</v>
      </c>
      <c r="M228" s="373">
        <v>4666.72</v>
      </c>
      <c r="N228" s="373">
        <v>933.344</v>
      </c>
      <c r="O228" s="375">
        <f t="shared" si="65"/>
        <v>5600.064</v>
      </c>
      <c r="P228" s="373">
        <f t="shared" si="62"/>
        <v>3033.3680000000004</v>
      </c>
      <c r="Q228" s="373">
        <f t="shared" si="63"/>
        <v>606.6736000000001</v>
      </c>
      <c r="R228" s="375">
        <f t="shared" si="64"/>
        <v>3640.0416000000005</v>
      </c>
      <c r="S228" s="366"/>
      <c r="T228" s="367"/>
    </row>
    <row r="229" spans="1:20" s="365" customFormat="1" ht="35.25" customHeight="1">
      <c r="A229" s="52" t="s">
        <v>488</v>
      </c>
      <c r="B229" s="8"/>
      <c r="C229" s="15" t="s">
        <v>49</v>
      </c>
      <c r="D229" s="368" t="s">
        <v>587</v>
      </c>
      <c r="E229" s="369" t="s">
        <v>490</v>
      </c>
      <c r="F229" s="370">
        <v>224</v>
      </c>
      <c r="G229" s="371">
        <v>39289</v>
      </c>
      <c r="H229" s="372">
        <v>39372</v>
      </c>
      <c r="I229" s="372" t="s">
        <v>479</v>
      </c>
      <c r="J229" s="373">
        <v>4666.72</v>
      </c>
      <c r="K229" s="373">
        <v>933.344</v>
      </c>
      <c r="L229" s="374">
        <v>5600.064</v>
      </c>
      <c r="M229" s="373">
        <v>4666.72</v>
      </c>
      <c r="N229" s="373">
        <v>933.344</v>
      </c>
      <c r="O229" s="375">
        <f t="shared" si="65"/>
        <v>5600.064</v>
      </c>
      <c r="P229" s="373">
        <f t="shared" si="62"/>
        <v>3033.3680000000004</v>
      </c>
      <c r="Q229" s="373">
        <f t="shared" si="63"/>
        <v>606.6736000000001</v>
      </c>
      <c r="R229" s="375">
        <f t="shared" si="64"/>
        <v>3640.0416000000005</v>
      </c>
      <c r="S229" s="366"/>
      <c r="T229" s="367"/>
    </row>
    <row r="230" spans="1:20" s="365" customFormat="1" ht="35.25" customHeight="1">
      <c r="A230" s="52" t="s">
        <v>488</v>
      </c>
      <c r="B230" s="8"/>
      <c r="C230" s="105" t="s">
        <v>78</v>
      </c>
      <c r="D230" s="368" t="s">
        <v>489</v>
      </c>
      <c r="E230" s="369" t="s">
        <v>490</v>
      </c>
      <c r="F230" s="370">
        <v>292</v>
      </c>
      <c r="G230" s="371">
        <v>39381</v>
      </c>
      <c r="H230" s="372">
        <v>39421</v>
      </c>
      <c r="I230" s="372" t="s">
        <v>435</v>
      </c>
      <c r="J230" s="373">
        <v>8166.72</v>
      </c>
      <c r="K230" s="373">
        <v>1633.34</v>
      </c>
      <c r="L230" s="374">
        <v>9800.06</v>
      </c>
      <c r="M230" s="373">
        <v>8166.72</v>
      </c>
      <c r="N230" s="373">
        <v>1633.34</v>
      </c>
      <c r="O230" s="375">
        <f t="shared" si="65"/>
        <v>9800.06</v>
      </c>
      <c r="P230" s="373">
        <f aca="true" t="shared" si="66" ref="P230:P236">+M230*0.65</f>
        <v>5308.368</v>
      </c>
      <c r="Q230" s="373">
        <f aca="true" t="shared" si="67" ref="Q230:Q236">+N230*0.65</f>
        <v>1061.671</v>
      </c>
      <c r="R230" s="375">
        <f aca="true" t="shared" si="68" ref="R230:R236">+Q230+P230</f>
        <v>6370.039000000001</v>
      </c>
      <c r="S230" s="408" t="s">
        <v>699</v>
      </c>
      <c r="T230" s="409"/>
    </row>
    <row r="231" spans="1:20" s="365" customFormat="1" ht="35.25" customHeight="1">
      <c r="A231" s="52" t="s">
        <v>488</v>
      </c>
      <c r="B231" s="8"/>
      <c r="C231" s="15" t="s">
        <v>49</v>
      </c>
      <c r="D231" s="368" t="s">
        <v>587</v>
      </c>
      <c r="E231" s="369" t="s">
        <v>490</v>
      </c>
      <c r="F231" s="370">
        <v>295</v>
      </c>
      <c r="G231" s="371">
        <v>39381</v>
      </c>
      <c r="H231" s="372">
        <v>39427</v>
      </c>
      <c r="I231" s="372" t="s">
        <v>479</v>
      </c>
      <c r="J231" s="373">
        <v>8166.72</v>
      </c>
      <c r="K231" s="373">
        <v>1633.344</v>
      </c>
      <c r="L231" s="374">
        <v>9800.064</v>
      </c>
      <c r="M231" s="373">
        <v>8166.72</v>
      </c>
      <c r="N231" s="373">
        <v>1633.344</v>
      </c>
      <c r="O231" s="375">
        <f aca="true" t="shared" si="69" ref="O231:O236">+N231+M231</f>
        <v>9800.064</v>
      </c>
      <c r="P231" s="373">
        <f t="shared" si="66"/>
        <v>5308.368</v>
      </c>
      <c r="Q231" s="373">
        <f t="shared" si="67"/>
        <v>1061.6736</v>
      </c>
      <c r="R231" s="375">
        <f t="shared" si="68"/>
        <v>6370.0416000000005</v>
      </c>
      <c r="S231" s="408" t="s">
        <v>699</v>
      </c>
      <c r="T231" s="409"/>
    </row>
    <row r="232" spans="1:20" s="365" customFormat="1" ht="35.25" customHeight="1">
      <c r="A232" s="52" t="s">
        <v>488</v>
      </c>
      <c r="B232" s="8"/>
      <c r="C232" s="15" t="s">
        <v>157</v>
      </c>
      <c r="D232" s="368" t="s">
        <v>547</v>
      </c>
      <c r="E232" s="369" t="s">
        <v>538</v>
      </c>
      <c r="F232" s="370">
        <v>377</v>
      </c>
      <c r="G232" s="371">
        <v>39437</v>
      </c>
      <c r="H232" s="372">
        <v>39526</v>
      </c>
      <c r="I232" s="372" t="s">
        <v>435</v>
      </c>
      <c r="J232" s="373">
        <v>12600</v>
      </c>
      <c r="K232" s="373"/>
      <c r="L232" s="374">
        <v>12600</v>
      </c>
      <c r="M232" s="373">
        <v>12600</v>
      </c>
      <c r="N232" s="373"/>
      <c r="O232" s="375">
        <f t="shared" si="69"/>
        <v>12600</v>
      </c>
      <c r="P232" s="373">
        <f t="shared" si="66"/>
        <v>8190</v>
      </c>
      <c r="Q232" s="373">
        <f t="shared" si="67"/>
        <v>0</v>
      </c>
      <c r="R232" s="375">
        <f t="shared" si="68"/>
        <v>8190</v>
      </c>
      <c r="S232" s="408" t="s">
        <v>699</v>
      </c>
      <c r="T232" s="409"/>
    </row>
    <row r="233" spans="1:20" s="365" customFormat="1" ht="35.25" customHeight="1">
      <c r="A233" s="52" t="s">
        <v>488</v>
      </c>
      <c r="B233" s="8"/>
      <c r="C233" s="9" t="s">
        <v>179</v>
      </c>
      <c r="D233" s="368" t="s">
        <v>663</v>
      </c>
      <c r="E233" s="369" t="s">
        <v>490</v>
      </c>
      <c r="F233" s="370" t="s">
        <v>657</v>
      </c>
      <c r="G233" s="371">
        <v>39381</v>
      </c>
      <c r="H233" s="372">
        <v>39408</v>
      </c>
      <c r="I233" s="372" t="s">
        <v>503</v>
      </c>
      <c r="J233" s="373">
        <v>8166.72</v>
      </c>
      <c r="K233" s="373">
        <v>1633.34</v>
      </c>
      <c r="L233" s="374">
        <v>9800.06</v>
      </c>
      <c r="M233" s="373">
        <v>8166.72</v>
      </c>
      <c r="N233" s="373">
        <v>1633.34</v>
      </c>
      <c r="O233" s="375">
        <f t="shared" si="69"/>
        <v>9800.06</v>
      </c>
      <c r="P233" s="373">
        <f t="shared" si="66"/>
        <v>5308.368</v>
      </c>
      <c r="Q233" s="373">
        <f t="shared" si="67"/>
        <v>1061.671</v>
      </c>
      <c r="R233" s="375">
        <f t="shared" si="68"/>
        <v>6370.039000000001</v>
      </c>
      <c r="S233" s="408" t="s">
        <v>699</v>
      </c>
      <c r="T233" s="409"/>
    </row>
    <row r="234" spans="1:20" s="365" customFormat="1" ht="35.25" customHeight="1">
      <c r="A234" s="52" t="s">
        <v>488</v>
      </c>
      <c r="B234" s="8"/>
      <c r="C234" s="15" t="s">
        <v>177</v>
      </c>
      <c r="D234" s="368" t="s">
        <v>670</v>
      </c>
      <c r="E234" s="369" t="s">
        <v>517</v>
      </c>
      <c r="F234" s="370">
        <v>296</v>
      </c>
      <c r="G234" s="371">
        <v>39381</v>
      </c>
      <c r="H234" s="372">
        <v>39381</v>
      </c>
      <c r="I234" s="372" t="s">
        <v>47</v>
      </c>
      <c r="J234" s="373">
        <v>8166.72</v>
      </c>
      <c r="K234" s="373">
        <v>1633.344</v>
      </c>
      <c r="L234" s="374">
        <v>9800.064</v>
      </c>
      <c r="M234" s="373">
        <v>8166.72</v>
      </c>
      <c r="N234" s="373">
        <v>1633.344</v>
      </c>
      <c r="O234" s="375">
        <f t="shared" si="69"/>
        <v>9800.064</v>
      </c>
      <c r="P234" s="373">
        <f t="shared" si="66"/>
        <v>5308.368</v>
      </c>
      <c r="Q234" s="373">
        <f t="shared" si="67"/>
        <v>1061.6736</v>
      </c>
      <c r="R234" s="375">
        <f t="shared" si="68"/>
        <v>6370.0416000000005</v>
      </c>
      <c r="S234" s="408" t="s">
        <v>699</v>
      </c>
      <c r="T234" s="409"/>
    </row>
    <row r="235" spans="1:20" s="365" customFormat="1" ht="35.25" customHeight="1">
      <c r="A235" s="52" t="s">
        <v>488</v>
      </c>
      <c r="B235" s="8"/>
      <c r="C235" s="15" t="s">
        <v>177</v>
      </c>
      <c r="D235" s="368" t="s">
        <v>670</v>
      </c>
      <c r="E235" s="369" t="s">
        <v>517</v>
      </c>
      <c r="F235" s="370">
        <v>370</v>
      </c>
      <c r="G235" s="371">
        <v>39437</v>
      </c>
      <c r="H235" s="372">
        <v>39468</v>
      </c>
      <c r="I235" s="372" t="s">
        <v>47</v>
      </c>
      <c r="J235" s="373">
        <v>10500</v>
      </c>
      <c r="K235" s="373">
        <v>2100</v>
      </c>
      <c r="L235" s="374">
        <v>12600</v>
      </c>
      <c r="M235" s="373">
        <v>10500</v>
      </c>
      <c r="N235" s="373">
        <v>2100</v>
      </c>
      <c r="O235" s="375">
        <f t="shared" si="69"/>
        <v>12600</v>
      </c>
      <c r="P235" s="373">
        <f t="shared" si="66"/>
        <v>6825</v>
      </c>
      <c r="Q235" s="373">
        <f t="shared" si="67"/>
        <v>1365</v>
      </c>
      <c r="R235" s="375">
        <f t="shared" si="68"/>
        <v>8190</v>
      </c>
      <c r="S235" s="408" t="s">
        <v>699</v>
      </c>
      <c r="T235" s="409"/>
    </row>
    <row r="236" spans="1:20" s="365" customFormat="1" ht="35.25" customHeight="1">
      <c r="A236" s="52" t="s">
        <v>488</v>
      </c>
      <c r="B236" s="8"/>
      <c r="C236" s="15" t="s">
        <v>177</v>
      </c>
      <c r="D236" s="368" t="s">
        <v>689</v>
      </c>
      <c r="E236" s="369" t="s">
        <v>690</v>
      </c>
      <c r="F236" s="370">
        <v>47</v>
      </c>
      <c r="G236" s="371">
        <v>39538</v>
      </c>
      <c r="H236" s="372">
        <v>39538</v>
      </c>
      <c r="I236" s="372" t="s">
        <v>655</v>
      </c>
      <c r="J236" s="373">
        <v>1990</v>
      </c>
      <c r="K236" s="373">
        <v>398</v>
      </c>
      <c r="L236" s="374">
        <v>2388</v>
      </c>
      <c r="M236" s="373">
        <v>1990</v>
      </c>
      <c r="N236" s="373">
        <v>398</v>
      </c>
      <c r="O236" s="375">
        <f t="shared" si="69"/>
        <v>2388</v>
      </c>
      <c r="P236" s="373">
        <f t="shared" si="66"/>
        <v>1293.5</v>
      </c>
      <c r="Q236" s="373">
        <f t="shared" si="67"/>
        <v>258.7</v>
      </c>
      <c r="R236" s="375">
        <f t="shared" si="68"/>
        <v>1552.2</v>
      </c>
      <c r="S236" s="408" t="s">
        <v>699</v>
      </c>
      <c r="T236" s="409"/>
    </row>
    <row r="237" spans="1:20" s="365" customFormat="1" ht="35.25" customHeight="1">
      <c r="A237" s="52" t="s">
        <v>488</v>
      </c>
      <c r="B237" s="8"/>
      <c r="C237" s="105" t="s">
        <v>78</v>
      </c>
      <c r="D237" s="368" t="s">
        <v>489</v>
      </c>
      <c r="E237" s="369" t="s">
        <v>490</v>
      </c>
      <c r="F237" s="370">
        <v>380</v>
      </c>
      <c r="G237" s="371">
        <v>39447</v>
      </c>
      <c r="H237" s="372">
        <v>39545</v>
      </c>
      <c r="I237" s="372" t="s">
        <v>435</v>
      </c>
      <c r="J237" s="373">
        <v>10500</v>
      </c>
      <c r="K237" s="373">
        <v>2100</v>
      </c>
      <c r="L237" s="374">
        <v>12600</v>
      </c>
      <c r="M237" s="373">
        <f>10500-679.52</f>
        <v>9820.48</v>
      </c>
      <c r="N237" s="373">
        <f>+M237*0.2</f>
        <v>1964.096</v>
      </c>
      <c r="O237" s="374">
        <f>+N237+M237</f>
        <v>11784.576</v>
      </c>
      <c r="P237" s="373">
        <f aca="true" t="shared" si="70" ref="P237:Q240">+M237*0.65</f>
        <v>6383.312</v>
      </c>
      <c r="Q237" s="373">
        <f t="shared" si="70"/>
        <v>1276.6624</v>
      </c>
      <c r="R237" s="375">
        <f>+Q237+P237</f>
        <v>7659.9744</v>
      </c>
      <c r="S237" s="408" t="s">
        <v>734</v>
      </c>
      <c r="T237" s="409"/>
    </row>
    <row r="238" spans="1:20" s="365" customFormat="1" ht="35.25" customHeight="1">
      <c r="A238" s="52" t="s">
        <v>488</v>
      </c>
      <c r="B238" s="8"/>
      <c r="C238" s="15" t="s">
        <v>157</v>
      </c>
      <c r="D238" s="368"/>
      <c r="E238" s="369" t="s">
        <v>706</v>
      </c>
      <c r="F238" s="370" t="s">
        <v>707</v>
      </c>
      <c r="G238" s="371">
        <v>39507</v>
      </c>
      <c r="H238" s="372">
        <v>39568</v>
      </c>
      <c r="I238" s="372" t="s">
        <v>655</v>
      </c>
      <c r="J238" s="373">
        <v>11523.4</v>
      </c>
      <c r="K238" s="373"/>
      <c r="L238" s="374">
        <v>11523.36</v>
      </c>
      <c r="M238" s="373"/>
      <c r="N238" s="373"/>
      <c r="O238" s="374"/>
      <c r="P238" s="373">
        <f t="shared" si="70"/>
        <v>0</v>
      </c>
      <c r="Q238" s="373">
        <f t="shared" si="70"/>
        <v>0</v>
      </c>
      <c r="R238" s="375">
        <f>+Q238+P238</f>
        <v>0</v>
      </c>
      <c r="S238" s="408" t="s">
        <v>733</v>
      </c>
      <c r="T238" s="409"/>
    </row>
    <row r="239" spans="1:20" s="365" customFormat="1" ht="35.25" customHeight="1">
      <c r="A239" s="52" t="s">
        <v>488</v>
      </c>
      <c r="B239" s="8"/>
      <c r="C239" s="9" t="s">
        <v>179</v>
      </c>
      <c r="D239" s="368" t="s">
        <v>709</v>
      </c>
      <c r="E239" s="369" t="s">
        <v>490</v>
      </c>
      <c r="F239" s="370" t="s">
        <v>710</v>
      </c>
      <c r="G239" s="371">
        <v>39437</v>
      </c>
      <c r="H239" s="372">
        <v>39555</v>
      </c>
      <c r="I239" s="372" t="s">
        <v>503</v>
      </c>
      <c r="J239" s="373">
        <v>10500</v>
      </c>
      <c r="K239" s="373">
        <v>2100</v>
      </c>
      <c r="L239" s="374">
        <v>12600</v>
      </c>
      <c r="M239" s="373"/>
      <c r="N239" s="373"/>
      <c r="O239" s="374"/>
      <c r="P239" s="373">
        <f t="shared" si="70"/>
        <v>0</v>
      </c>
      <c r="Q239" s="373">
        <f t="shared" si="70"/>
        <v>0</v>
      </c>
      <c r="R239" s="375">
        <f>+Q239+P239</f>
        <v>0</v>
      </c>
      <c r="S239" s="408" t="s">
        <v>733</v>
      </c>
      <c r="T239" s="409"/>
    </row>
    <row r="240" spans="1:20" s="365" customFormat="1" ht="35.25" customHeight="1">
      <c r="A240" s="52" t="s">
        <v>488</v>
      </c>
      <c r="B240" s="8"/>
      <c r="C240" s="9" t="s">
        <v>179</v>
      </c>
      <c r="D240" s="368" t="s">
        <v>711</v>
      </c>
      <c r="E240" s="369" t="s">
        <v>712</v>
      </c>
      <c r="F240" s="370" t="s">
        <v>713</v>
      </c>
      <c r="G240" s="371">
        <v>39507</v>
      </c>
      <c r="H240" s="372">
        <v>39555</v>
      </c>
      <c r="I240" s="372" t="s">
        <v>503</v>
      </c>
      <c r="J240" s="373">
        <v>9602.8</v>
      </c>
      <c r="K240" s="373">
        <v>1920.56</v>
      </c>
      <c r="L240" s="374">
        <v>11523.36</v>
      </c>
      <c r="M240" s="373"/>
      <c r="N240" s="373"/>
      <c r="O240" s="374"/>
      <c r="P240" s="373">
        <f t="shared" si="70"/>
        <v>0</v>
      </c>
      <c r="Q240" s="373">
        <f t="shared" si="70"/>
        <v>0</v>
      </c>
      <c r="R240" s="375">
        <f>+Q240+P240</f>
        <v>0</v>
      </c>
      <c r="S240" s="408" t="s">
        <v>733</v>
      </c>
      <c r="T240" s="409"/>
    </row>
    <row r="241" spans="1:20" s="365" customFormat="1" ht="35.25" customHeight="1">
      <c r="A241" s="52"/>
      <c r="B241" s="8"/>
      <c r="C241" s="15"/>
      <c r="D241" s="368"/>
      <c r="E241" s="369"/>
      <c r="F241" s="370"/>
      <c r="G241" s="371"/>
      <c r="H241" s="372"/>
      <c r="I241" s="372"/>
      <c r="J241" s="373"/>
      <c r="K241" s="373"/>
      <c r="L241" s="374"/>
      <c r="M241" s="373"/>
      <c r="N241" s="373"/>
      <c r="O241" s="375"/>
      <c r="P241" s="373"/>
      <c r="Q241" s="373"/>
      <c r="R241" s="375"/>
      <c r="S241" s="383"/>
      <c r="T241" s="384"/>
    </row>
    <row r="242" spans="1:20" s="365" customFormat="1" ht="35.25" customHeight="1">
      <c r="A242" s="52"/>
      <c r="B242" s="8"/>
      <c r="C242" s="15"/>
      <c r="D242" s="368"/>
      <c r="E242" s="369"/>
      <c r="F242" s="370"/>
      <c r="G242" s="371"/>
      <c r="H242" s="372"/>
      <c r="I242" s="372"/>
      <c r="J242" s="373"/>
      <c r="K242" s="373"/>
      <c r="L242" s="374"/>
      <c r="M242" s="373"/>
      <c r="N242" s="373"/>
      <c r="O242" s="375"/>
      <c r="P242" s="373"/>
      <c r="Q242" s="373"/>
      <c r="R242" s="375"/>
      <c r="S242" s="383"/>
      <c r="T242" s="384"/>
    </row>
    <row r="243" spans="1:20" ht="11.25">
      <c r="A243" s="54"/>
      <c r="B243" s="8"/>
      <c r="C243" s="9"/>
      <c r="D243" s="15"/>
      <c r="E243" s="15"/>
      <c r="F243" s="9"/>
      <c r="G243" s="10"/>
      <c r="H243" s="11"/>
      <c r="I243" s="19"/>
      <c r="J243" s="12"/>
      <c r="K243" s="12"/>
      <c r="L243" s="194"/>
      <c r="M243" s="12"/>
      <c r="N243" s="12"/>
      <c r="O243" s="194"/>
      <c r="P243" s="12"/>
      <c r="Q243" s="12"/>
      <c r="R243" s="194"/>
      <c r="S243" s="417"/>
      <c r="T243" s="417"/>
    </row>
    <row r="244" ht="11.25">
      <c r="S244" s="27"/>
    </row>
    <row r="245" spans="1:20" ht="11.25">
      <c r="A245" s="426" t="s">
        <v>23</v>
      </c>
      <c r="B245" s="427"/>
      <c r="C245" s="427"/>
      <c r="D245" s="427"/>
      <c r="E245" s="427"/>
      <c r="F245" s="427"/>
      <c r="G245" s="427"/>
      <c r="H245" s="427"/>
      <c r="I245" s="427"/>
      <c r="J245" s="427"/>
      <c r="K245" s="427"/>
      <c r="L245" s="428"/>
      <c r="M245" s="113" t="s">
        <v>124</v>
      </c>
      <c r="N245" s="26" t="s">
        <v>119</v>
      </c>
      <c r="O245" s="215" t="s">
        <v>125</v>
      </c>
      <c r="P245" s="26" t="s">
        <v>126</v>
      </c>
      <c r="Q245" s="26" t="s">
        <v>127</v>
      </c>
      <c r="R245" s="215" t="s">
        <v>121</v>
      </c>
      <c r="S245" s="146" t="s">
        <v>25</v>
      </c>
      <c r="T245" s="147" t="s">
        <v>26</v>
      </c>
    </row>
    <row r="246" spans="1:21" ht="11.25">
      <c r="A246" s="432"/>
      <c r="B246" s="433"/>
      <c r="C246" s="467"/>
      <c r="D246" s="468"/>
      <c r="E246" s="468"/>
      <c r="F246" s="468"/>
      <c r="G246" s="468"/>
      <c r="H246" s="468"/>
      <c r="I246" s="468"/>
      <c r="J246" s="468"/>
      <c r="K246" s="469"/>
      <c r="L246" s="200" t="s">
        <v>12</v>
      </c>
      <c r="M246" s="3">
        <v>7073.34</v>
      </c>
      <c r="N246" s="3"/>
      <c r="O246" s="216"/>
      <c r="P246" s="3">
        <f>M246*0.65</f>
        <v>4597.671</v>
      </c>
      <c r="Q246" s="3"/>
      <c r="R246" s="216"/>
      <c r="S246" s="148"/>
      <c r="T246" s="148"/>
      <c r="U246" s="27"/>
    </row>
    <row r="247" spans="1:21" ht="11.25">
      <c r="A247" s="432"/>
      <c r="B247" s="433"/>
      <c r="C247" s="41"/>
      <c r="D247" s="155"/>
      <c r="E247" s="155"/>
      <c r="F247" s="40"/>
      <c r="G247" s="40"/>
      <c r="H247" s="40"/>
      <c r="I247" s="169"/>
      <c r="J247" s="40"/>
      <c r="K247" s="4"/>
      <c r="L247" s="190" t="s">
        <v>28</v>
      </c>
      <c r="M247" s="4"/>
      <c r="N247" s="4"/>
      <c r="O247" s="213"/>
      <c r="P247" s="4"/>
      <c r="Q247" s="4"/>
      <c r="R247" s="213"/>
      <c r="S247" s="142">
        <f>R247*0.375</f>
        <v>0</v>
      </c>
      <c r="T247" s="142">
        <f>R247-S247</f>
        <v>0</v>
      </c>
      <c r="U247" s="27"/>
    </row>
    <row r="248" spans="1:21" ht="11.25">
      <c r="A248" s="432"/>
      <c r="B248" s="433"/>
      <c r="C248" s="41"/>
      <c r="D248" s="155"/>
      <c r="E248" s="155"/>
      <c r="F248" s="40"/>
      <c r="G248" s="40"/>
      <c r="H248" s="40"/>
      <c r="I248" s="169"/>
      <c r="J248" s="40"/>
      <c r="K248" s="42"/>
      <c r="L248" s="190" t="s">
        <v>29</v>
      </c>
      <c r="M248" s="4">
        <f>SUM(M255:M257)</f>
        <v>1812.6000000000001</v>
      </c>
      <c r="N248" s="4">
        <f>SUM(N255:N257)</f>
        <v>362.52</v>
      </c>
      <c r="O248" s="213">
        <f>+N248+M248</f>
        <v>2175.12</v>
      </c>
      <c r="P248" s="4">
        <f>SUM(P255:P257)</f>
        <v>1178.19</v>
      </c>
      <c r="Q248" s="4">
        <f>SUM(Q255:Q257)</f>
        <v>235.63800000000003</v>
      </c>
      <c r="R248" s="213">
        <f>+Q248+P248</f>
        <v>1413.828</v>
      </c>
      <c r="S248" s="142">
        <f>R248*0.375</f>
        <v>530.1855</v>
      </c>
      <c r="T248" s="142">
        <f>R248-S248</f>
        <v>883.6424999999999</v>
      </c>
      <c r="U248" s="27"/>
    </row>
    <row r="249" spans="1:21" ht="11.25">
      <c r="A249" s="432"/>
      <c r="B249" s="433"/>
      <c r="C249" s="41"/>
      <c r="D249" s="155"/>
      <c r="E249" s="155"/>
      <c r="F249" s="40"/>
      <c r="G249" s="40"/>
      <c r="H249" s="40"/>
      <c r="I249" s="169"/>
      <c r="J249" s="40"/>
      <c r="K249" s="42"/>
      <c r="L249" s="190" t="s">
        <v>364</v>
      </c>
      <c r="M249" s="4">
        <f>+M258</f>
        <v>604.2</v>
      </c>
      <c r="N249" s="4">
        <f>+N258</f>
        <v>120.84</v>
      </c>
      <c r="O249" s="213">
        <f>+N249+M249</f>
        <v>725.0400000000001</v>
      </c>
      <c r="P249" s="4">
        <f>+P258</f>
        <v>392.73</v>
      </c>
      <c r="Q249" s="4">
        <f>+Q258</f>
        <v>78.546</v>
      </c>
      <c r="R249" s="213">
        <f>+Q249+P249</f>
        <v>471.276</v>
      </c>
      <c r="S249" s="142">
        <f>R249*0.375</f>
        <v>176.7285</v>
      </c>
      <c r="T249" s="142">
        <f>R249-S249</f>
        <v>294.5475</v>
      </c>
      <c r="U249" s="27"/>
    </row>
    <row r="250" spans="1:21" ht="11.25">
      <c r="A250" s="432"/>
      <c r="B250" s="433"/>
      <c r="C250" s="41"/>
      <c r="D250" s="155"/>
      <c r="E250" s="155"/>
      <c r="F250" s="40"/>
      <c r="G250" s="40"/>
      <c r="H250" s="40"/>
      <c r="I250" s="169"/>
      <c r="J250" s="40"/>
      <c r="K250" s="42"/>
      <c r="L250" s="190" t="s">
        <v>451</v>
      </c>
      <c r="M250" s="4"/>
      <c r="N250" s="4"/>
      <c r="O250" s="213"/>
      <c r="P250" s="4"/>
      <c r="Q250" s="4"/>
      <c r="R250" s="213"/>
      <c r="S250" s="142">
        <f>R250*0.375</f>
        <v>0</v>
      </c>
      <c r="T250" s="142">
        <f>R250-S250</f>
        <v>0</v>
      </c>
      <c r="U250" s="27"/>
    </row>
    <row r="251" spans="1:21" ht="11.25">
      <c r="A251" s="432"/>
      <c r="B251" s="433"/>
      <c r="C251" s="41"/>
      <c r="D251" s="155"/>
      <c r="E251" s="155"/>
      <c r="F251" s="40"/>
      <c r="G251" s="40"/>
      <c r="H251" s="40"/>
      <c r="I251" s="169"/>
      <c r="J251" s="40"/>
      <c r="K251" s="42"/>
      <c r="L251" s="190" t="s">
        <v>484</v>
      </c>
      <c r="M251" s="4"/>
      <c r="N251" s="4"/>
      <c r="O251" s="213"/>
      <c r="P251" s="4"/>
      <c r="Q251" s="4"/>
      <c r="R251" s="213"/>
      <c r="S251" s="360"/>
      <c r="T251" s="360"/>
      <c r="U251" s="27"/>
    </row>
    <row r="252" spans="1:21" ht="11.25">
      <c r="A252" s="432"/>
      <c r="B252" s="433"/>
      <c r="C252" s="41"/>
      <c r="D252" s="155"/>
      <c r="E252" s="155"/>
      <c r="F252" s="40"/>
      <c r="G252" s="40"/>
      <c r="H252" s="40"/>
      <c r="I252" s="169"/>
      <c r="J252" s="40"/>
      <c r="K252" s="42"/>
      <c r="L252" s="190" t="s">
        <v>487</v>
      </c>
      <c r="M252" s="4"/>
      <c r="N252" s="4"/>
      <c r="O252" s="213"/>
      <c r="P252" s="4"/>
      <c r="Q252" s="4"/>
      <c r="R252" s="213"/>
      <c r="S252" s="360"/>
      <c r="T252" s="360"/>
      <c r="U252" s="27"/>
    </row>
    <row r="253" spans="1:21" ht="11.25">
      <c r="A253" s="434"/>
      <c r="B253" s="435"/>
      <c r="C253" s="43"/>
      <c r="D253" s="156"/>
      <c r="E253" s="156"/>
      <c r="F253" s="44"/>
      <c r="G253" s="44"/>
      <c r="H253" s="44"/>
      <c r="I253" s="170"/>
      <c r="J253" s="44"/>
      <c r="K253" s="45"/>
      <c r="L253" s="191" t="s">
        <v>13</v>
      </c>
      <c r="M253" s="6">
        <f>M246-M247-M248-M249-M250</f>
        <v>4656.54</v>
      </c>
      <c r="N253" s="6"/>
      <c r="O253" s="214"/>
      <c r="P253" s="6">
        <f>P246-P247-P248-P249-P250</f>
        <v>3026.751</v>
      </c>
      <c r="Q253" s="6"/>
      <c r="R253" s="214"/>
      <c r="S253" s="144"/>
      <c r="T253" s="144"/>
      <c r="U253" s="27"/>
    </row>
    <row r="254" spans="1:20" ht="33.75">
      <c r="A254" s="7" t="s">
        <v>14</v>
      </c>
      <c r="B254" s="7" t="s">
        <v>11</v>
      </c>
      <c r="C254" s="32" t="s">
        <v>24</v>
      </c>
      <c r="D254" s="32" t="s">
        <v>20</v>
      </c>
      <c r="E254" s="38" t="s">
        <v>2</v>
      </c>
      <c r="F254" s="32" t="s">
        <v>19</v>
      </c>
      <c r="G254" s="32" t="s">
        <v>18</v>
      </c>
      <c r="H254" s="38" t="s">
        <v>17</v>
      </c>
      <c r="I254" s="38" t="s">
        <v>16</v>
      </c>
      <c r="J254" s="32" t="s">
        <v>3</v>
      </c>
      <c r="K254" s="32" t="s">
        <v>4</v>
      </c>
      <c r="L254" s="192" t="s">
        <v>5</v>
      </c>
      <c r="M254" s="7" t="s">
        <v>21</v>
      </c>
      <c r="N254" s="7" t="s">
        <v>119</v>
      </c>
      <c r="O254" s="192" t="s">
        <v>122</v>
      </c>
      <c r="P254" s="7" t="s">
        <v>22</v>
      </c>
      <c r="Q254" s="25" t="s">
        <v>120</v>
      </c>
      <c r="R254" s="204" t="s">
        <v>121</v>
      </c>
      <c r="S254" s="464" t="s">
        <v>27</v>
      </c>
      <c r="T254" s="464"/>
    </row>
    <row r="255" spans="1:20" ht="24.75" customHeight="1">
      <c r="A255" s="52" t="s">
        <v>155</v>
      </c>
      <c r="B255" s="8"/>
      <c r="C255" s="15" t="s">
        <v>108</v>
      </c>
      <c r="D255" s="304" t="s">
        <v>305</v>
      </c>
      <c r="E255" s="304" t="s">
        <v>306</v>
      </c>
      <c r="F255" s="305">
        <v>1778</v>
      </c>
      <c r="G255" s="16">
        <v>38502</v>
      </c>
      <c r="H255" s="19">
        <v>38525</v>
      </c>
      <c r="I255" s="304" t="s">
        <v>399</v>
      </c>
      <c r="J255" s="233">
        <v>604.2</v>
      </c>
      <c r="K255" s="233">
        <v>120.84</v>
      </c>
      <c r="L255" s="234">
        <f>+J255+K255</f>
        <v>725.0400000000001</v>
      </c>
      <c r="M255" s="233">
        <v>604.2</v>
      </c>
      <c r="N255" s="233">
        <v>120.84</v>
      </c>
      <c r="O255" s="194">
        <f>+N255+M255</f>
        <v>725.0400000000001</v>
      </c>
      <c r="P255" s="12">
        <f aca="true" t="shared" si="71" ref="P255:Q257">M255*0.65</f>
        <v>392.73</v>
      </c>
      <c r="Q255" s="12">
        <f t="shared" si="71"/>
        <v>78.546</v>
      </c>
      <c r="R255" s="194">
        <f>+Q255+P255</f>
        <v>471.276</v>
      </c>
      <c r="S255" s="417"/>
      <c r="T255" s="417"/>
    </row>
    <row r="256" spans="1:20" ht="33.75">
      <c r="A256" s="52" t="s">
        <v>155</v>
      </c>
      <c r="B256" s="8"/>
      <c r="C256" s="15" t="s">
        <v>108</v>
      </c>
      <c r="D256" s="304" t="s">
        <v>305</v>
      </c>
      <c r="E256" s="304" t="s">
        <v>306</v>
      </c>
      <c r="F256" s="305">
        <v>2676</v>
      </c>
      <c r="G256" s="16">
        <v>38596</v>
      </c>
      <c r="H256" s="19">
        <v>38621</v>
      </c>
      <c r="I256" s="304" t="s">
        <v>400</v>
      </c>
      <c r="J256" s="233">
        <v>604.2</v>
      </c>
      <c r="K256" s="233">
        <v>120.84</v>
      </c>
      <c r="L256" s="234">
        <f>+J256+K256</f>
        <v>725.0400000000001</v>
      </c>
      <c r="M256" s="233">
        <v>604.2</v>
      </c>
      <c r="N256" s="233">
        <v>120.84</v>
      </c>
      <c r="O256" s="194">
        <f>+N256+M256</f>
        <v>725.0400000000001</v>
      </c>
      <c r="P256" s="12">
        <f t="shared" si="71"/>
        <v>392.73</v>
      </c>
      <c r="Q256" s="12">
        <f t="shared" si="71"/>
        <v>78.546</v>
      </c>
      <c r="R256" s="194">
        <f>+Q256+P256</f>
        <v>471.276</v>
      </c>
      <c r="S256" s="417"/>
      <c r="T256" s="417"/>
    </row>
    <row r="257" spans="1:20" ht="33.75">
      <c r="A257" s="52" t="s">
        <v>155</v>
      </c>
      <c r="B257" s="8"/>
      <c r="C257" s="15" t="s">
        <v>108</v>
      </c>
      <c r="D257" s="304" t="s">
        <v>305</v>
      </c>
      <c r="E257" s="304" t="s">
        <v>306</v>
      </c>
      <c r="F257" s="305">
        <v>1080</v>
      </c>
      <c r="G257" s="16">
        <v>38441</v>
      </c>
      <c r="H257" s="19">
        <v>38454</v>
      </c>
      <c r="I257" s="304" t="s">
        <v>401</v>
      </c>
      <c r="J257" s="233">
        <v>604.2</v>
      </c>
      <c r="K257" s="233">
        <v>120.84</v>
      </c>
      <c r="L257" s="234">
        <f>+J257+K257</f>
        <v>725.0400000000001</v>
      </c>
      <c r="M257" s="233">
        <v>604.2</v>
      </c>
      <c r="N257" s="233">
        <v>120.84</v>
      </c>
      <c r="O257" s="194">
        <f>+N257+M257</f>
        <v>725.0400000000001</v>
      </c>
      <c r="P257" s="12">
        <f t="shared" si="71"/>
        <v>392.73</v>
      </c>
      <c r="Q257" s="12">
        <f t="shared" si="71"/>
        <v>78.546</v>
      </c>
      <c r="R257" s="194">
        <f>+Q257+P257</f>
        <v>471.276</v>
      </c>
      <c r="S257" s="417"/>
      <c r="T257" s="417"/>
    </row>
    <row r="258" spans="1:20" ht="33.75">
      <c r="A258" s="52" t="s">
        <v>308</v>
      </c>
      <c r="B258" s="8"/>
      <c r="C258" s="15" t="s">
        <v>108</v>
      </c>
      <c r="D258" s="157" t="s">
        <v>305</v>
      </c>
      <c r="E258" s="15" t="s">
        <v>306</v>
      </c>
      <c r="F258" s="21">
        <v>3872</v>
      </c>
      <c r="G258" s="22">
        <v>38687</v>
      </c>
      <c r="H258" s="18">
        <v>38757</v>
      </c>
      <c r="I258" s="19" t="s">
        <v>402</v>
      </c>
      <c r="J258" s="23">
        <v>604.2</v>
      </c>
      <c r="K258" s="24">
        <v>120.84</v>
      </c>
      <c r="L258" s="201">
        <v>725.04</v>
      </c>
      <c r="M258" s="233">
        <v>604.2</v>
      </c>
      <c r="N258" s="233">
        <v>120.84</v>
      </c>
      <c r="O258" s="194">
        <f>+N258+M258</f>
        <v>725.0400000000001</v>
      </c>
      <c r="P258" s="12">
        <f>M258*0.65</f>
        <v>392.73</v>
      </c>
      <c r="Q258" s="12">
        <f>N258*0.65</f>
        <v>78.546</v>
      </c>
      <c r="R258" s="194">
        <f>+Q258+P258</f>
        <v>471.276</v>
      </c>
      <c r="S258" s="417"/>
      <c r="T258" s="417"/>
    </row>
    <row r="259" spans="1:20" ht="11.25">
      <c r="A259" s="52"/>
      <c r="B259" s="8"/>
      <c r="C259" s="9"/>
      <c r="D259" s="15"/>
      <c r="E259" s="15"/>
      <c r="F259" s="8"/>
      <c r="G259" s="18"/>
      <c r="H259" s="18"/>
      <c r="I259" s="19"/>
      <c r="J259" s="20"/>
      <c r="K259" s="24"/>
      <c r="L259" s="201"/>
      <c r="M259" s="12"/>
      <c r="N259" s="12"/>
      <c r="O259" s="194"/>
      <c r="P259" s="12"/>
      <c r="Q259" s="12"/>
      <c r="R259" s="194"/>
      <c r="S259" s="417"/>
      <c r="T259" s="417"/>
    </row>
    <row r="260" ht="11.25">
      <c r="S260" s="27"/>
    </row>
    <row r="261" spans="1:20" ht="11.25">
      <c r="A261" s="426" t="s">
        <v>9</v>
      </c>
      <c r="B261" s="427"/>
      <c r="C261" s="427"/>
      <c r="D261" s="427"/>
      <c r="E261" s="427"/>
      <c r="F261" s="427"/>
      <c r="G261" s="427"/>
      <c r="H261" s="427"/>
      <c r="I261" s="427"/>
      <c r="J261" s="427"/>
      <c r="K261" s="427"/>
      <c r="L261" s="202"/>
      <c r="M261" s="113" t="s">
        <v>124</v>
      </c>
      <c r="N261" s="26" t="s">
        <v>119</v>
      </c>
      <c r="O261" s="215" t="s">
        <v>125</v>
      </c>
      <c r="P261" s="26" t="s">
        <v>126</v>
      </c>
      <c r="Q261" s="26" t="s">
        <v>127</v>
      </c>
      <c r="R261" s="215" t="s">
        <v>121</v>
      </c>
      <c r="S261" s="149" t="s">
        <v>25</v>
      </c>
      <c r="T261" s="149" t="s">
        <v>26</v>
      </c>
    </row>
    <row r="262" spans="1:21" ht="11.25">
      <c r="A262" s="432"/>
      <c r="B262" s="433"/>
      <c r="C262" s="467"/>
      <c r="D262" s="468"/>
      <c r="E262" s="468"/>
      <c r="F262" s="468"/>
      <c r="G262" s="468"/>
      <c r="H262" s="468"/>
      <c r="I262" s="468"/>
      <c r="J262" s="468"/>
      <c r="K262" s="469"/>
      <c r="L262" s="200" t="s">
        <v>12</v>
      </c>
      <c r="M262" s="3">
        <v>73805.1</v>
      </c>
      <c r="N262" s="3"/>
      <c r="O262" s="216"/>
      <c r="P262" s="3"/>
      <c r="Q262" s="3"/>
      <c r="R262" s="216"/>
      <c r="S262" s="141"/>
      <c r="T262" s="141"/>
      <c r="U262" s="27"/>
    </row>
    <row r="263" spans="1:21" ht="11.25">
      <c r="A263" s="432"/>
      <c r="B263" s="433"/>
      <c r="C263" s="41"/>
      <c r="D263" s="155"/>
      <c r="E263" s="155"/>
      <c r="F263" s="40"/>
      <c r="G263" s="40"/>
      <c r="H263" s="40"/>
      <c r="I263" s="169"/>
      <c r="J263" s="40"/>
      <c r="K263" s="4">
        <f>SUM(K279:K279)</f>
        <v>0</v>
      </c>
      <c r="L263" s="190" t="s">
        <v>28</v>
      </c>
      <c r="M263" s="4">
        <f>SUM(M279:M279)</f>
        <v>0</v>
      </c>
      <c r="N263" s="4"/>
      <c r="O263" s="213"/>
      <c r="P263" s="4">
        <f>SUM(P279:P279)</f>
        <v>0</v>
      </c>
      <c r="Q263" s="102"/>
      <c r="R263" s="222"/>
      <c r="S263" s="142">
        <f aca="true" t="shared" si="72" ref="S263:S268">R263*0.375</f>
        <v>0</v>
      </c>
      <c r="T263" s="142">
        <f aca="true" t="shared" si="73" ref="T263:T268">R263-S263</f>
        <v>0</v>
      </c>
      <c r="U263" s="27"/>
    </row>
    <row r="264" spans="1:21" ht="11.25">
      <c r="A264" s="432"/>
      <c r="B264" s="433"/>
      <c r="C264" s="41"/>
      <c r="D264" s="155"/>
      <c r="E264" s="155"/>
      <c r="F264" s="40"/>
      <c r="G264" s="40"/>
      <c r="H264" s="40"/>
      <c r="I264" s="169"/>
      <c r="J264" s="40"/>
      <c r="K264" s="42"/>
      <c r="L264" s="190" t="s">
        <v>29</v>
      </c>
      <c r="M264" s="4"/>
      <c r="N264" s="4"/>
      <c r="O264" s="213"/>
      <c r="P264" s="4"/>
      <c r="Q264" s="102"/>
      <c r="R264" s="222"/>
      <c r="S264" s="142">
        <f t="shared" si="72"/>
        <v>0</v>
      </c>
      <c r="T264" s="142">
        <f t="shared" si="73"/>
        <v>0</v>
      </c>
      <c r="U264" s="27"/>
    </row>
    <row r="265" spans="1:21" ht="11.25">
      <c r="A265" s="432"/>
      <c r="B265" s="433"/>
      <c r="C265" s="41"/>
      <c r="D265" s="155"/>
      <c r="E265" s="155"/>
      <c r="F265" s="40"/>
      <c r="G265" s="40"/>
      <c r="H265" s="40"/>
      <c r="I265" s="169"/>
      <c r="J265" s="40"/>
      <c r="K265" s="42"/>
      <c r="L265" s="190" t="s">
        <v>364</v>
      </c>
      <c r="M265" s="4"/>
      <c r="N265" s="4"/>
      <c r="O265" s="213"/>
      <c r="P265" s="4"/>
      <c r="Q265" s="102"/>
      <c r="R265" s="222"/>
      <c r="S265" s="142">
        <f t="shared" si="72"/>
        <v>0</v>
      </c>
      <c r="T265" s="142">
        <f t="shared" si="73"/>
        <v>0</v>
      </c>
      <c r="U265" s="27"/>
    </row>
    <row r="266" spans="1:21" ht="11.25">
      <c r="A266" s="432"/>
      <c r="B266" s="433"/>
      <c r="C266" s="41"/>
      <c r="D266" s="155"/>
      <c r="E266" s="155"/>
      <c r="F266" s="40"/>
      <c r="G266" s="40"/>
      <c r="H266" s="40"/>
      <c r="I266" s="169"/>
      <c r="J266" s="40"/>
      <c r="K266" s="42"/>
      <c r="L266" s="190" t="s">
        <v>451</v>
      </c>
      <c r="M266" s="4"/>
      <c r="N266" s="4"/>
      <c r="O266" s="213"/>
      <c r="P266" s="4"/>
      <c r="Q266" s="102"/>
      <c r="R266" s="222"/>
      <c r="S266" s="142">
        <f t="shared" si="72"/>
        <v>0</v>
      </c>
      <c r="T266" s="142">
        <f t="shared" si="73"/>
        <v>0</v>
      </c>
      <c r="U266" s="27"/>
    </row>
    <row r="267" spans="1:21" ht="11.25">
      <c r="A267" s="432"/>
      <c r="B267" s="433"/>
      <c r="C267" s="41"/>
      <c r="D267" s="155"/>
      <c r="E267" s="155"/>
      <c r="F267" s="40"/>
      <c r="G267" s="40"/>
      <c r="H267" s="40"/>
      <c r="I267" s="169"/>
      <c r="J267" s="40"/>
      <c r="K267" s="42"/>
      <c r="L267" s="190" t="s">
        <v>484</v>
      </c>
      <c r="M267" s="4">
        <f>+M271</f>
        <v>4220</v>
      </c>
      <c r="N267" s="4">
        <f>+N271</f>
        <v>844</v>
      </c>
      <c r="O267" s="213">
        <f>+N267+M267</f>
        <v>5064</v>
      </c>
      <c r="P267" s="4">
        <f>+P271</f>
        <v>2743</v>
      </c>
      <c r="Q267" s="4">
        <f>+Q271</f>
        <v>548.6</v>
      </c>
      <c r="R267" s="213">
        <f>+Q267+P267</f>
        <v>3291.6</v>
      </c>
      <c r="S267" s="142">
        <f t="shared" si="72"/>
        <v>1234.35</v>
      </c>
      <c r="T267" s="142">
        <f t="shared" si="73"/>
        <v>2057.25</v>
      </c>
      <c r="U267" s="27"/>
    </row>
    <row r="268" spans="1:21" ht="11.25">
      <c r="A268" s="432"/>
      <c r="B268" s="433"/>
      <c r="C268" s="41"/>
      <c r="D268" s="155"/>
      <c r="E268" s="155"/>
      <c r="F268" s="40"/>
      <c r="G268" s="40"/>
      <c r="H268" s="40"/>
      <c r="I268" s="169"/>
      <c r="J268" s="40"/>
      <c r="K268" s="42"/>
      <c r="L268" s="190" t="s">
        <v>487</v>
      </c>
      <c r="M268" s="4">
        <f>SUM(M272:M278)</f>
        <v>34766.399999999994</v>
      </c>
      <c r="N268" s="4">
        <f>SUM(N272:N278)</f>
        <v>6843.68</v>
      </c>
      <c r="O268" s="213">
        <f>+N268+M268</f>
        <v>41610.079999999994</v>
      </c>
      <c r="P268" s="4">
        <f>SUM(P272:P278)</f>
        <v>22598.16</v>
      </c>
      <c r="Q268" s="4">
        <f>SUM(Q272:Q278)</f>
        <v>4448.392</v>
      </c>
      <c r="R268" s="213">
        <f>+Q268+P268</f>
        <v>27046.552</v>
      </c>
      <c r="S268" s="142">
        <f t="shared" si="72"/>
        <v>10142.457</v>
      </c>
      <c r="T268" s="142">
        <f t="shared" si="73"/>
        <v>16904.095</v>
      </c>
      <c r="U268" s="27"/>
    </row>
    <row r="269" spans="1:21" ht="11.25">
      <c r="A269" s="434"/>
      <c r="B269" s="435"/>
      <c r="C269" s="448"/>
      <c r="D269" s="449"/>
      <c r="E269" s="449"/>
      <c r="F269" s="449"/>
      <c r="G269" s="449"/>
      <c r="H269" s="449"/>
      <c r="I269" s="449"/>
      <c r="J269" s="449"/>
      <c r="K269" s="450"/>
      <c r="L269" s="191" t="s">
        <v>13</v>
      </c>
      <c r="M269" s="6">
        <f>M262-M263-M264-M265-M266-M267-M268</f>
        <v>34818.70000000001</v>
      </c>
      <c r="N269" s="6"/>
      <c r="O269" s="214"/>
      <c r="P269" s="6"/>
      <c r="Q269" s="6"/>
      <c r="R269" s="214"/>
      <c r="S269" s="144"/>
      <c r="T269" s="144"/>
      <c r="U269" s="27"/>
    </row>
    <row r="270" spans="1:20" ht="33.75">
      <c r="A270" s="7" t="s">
        <v>14</v>
      </c>
      <c r="B270" s="7" t="s">
        <v>11</v>
      </c>
      <c r="C270" s="32" t="s">
        <v>24</v>
      </c>
      <c r="D270" s="32" t="s">
        <v>20</v>
      </c>
      <c r="E270" s="38" t="s">
        <v>2</v>
      </c>
      <c r="F270" s="32" t="s">
        <v>19</v>
      </c>
      <c r="G270" s="32" t="s">
        <v>18</v>
      </c>
      <c r="H270" s="38" t="s">
        <v>17</v>
      </c>
      <c r="I270" s="38" t="s">
        <v>16</v>
      </c>
      <c r="J270" s="32" t="s">
        <v>3</v>
      </c>
      <c r="K270" s="32" t="s">
        <v>4</v>
      </c>
      <c r="L270" s="192" t="s">
        <v>5</v>
      </c>
      <c r="M270" s="7" t="s">
        <v>21</v>
      </c>
      <c r="N270" s="7" t="s">
        <v>119</v>
      </c>
      <c r="O270" s="192" t="s">
        <v>122</v>
      </c>
      <c r="P270" s="7" t="s">
        <v>22</v>
      </c>
      <c r="Q270" s="25" t="s">
        <v>120</v>
      </c>
      <c r="R270" s="204" t="s">
        <v>121</v>
      </c>
      <c r="S270" s="464" t="s">
        <v>27</v>
      </c>
      <c r="T270" s="464"/>
    </row>
    <row r="271" spans="1:20" ht="36.75" customHeight="1">
      <c r="A271" s="52" t="s">
        <v>461</v>
      </c>
      <c r="B271" s="8"/>
      <c r="C271" s="15" t="s">
        <v>42</v>
      </c>
      <c r="D271" s="15" t="s">
        <v>468</v>
      </c>
      <c r="E271" s="15" t="s">
        <v>464</v>
      </c>
      <c r="F271" s="9" t="s">
        <v>465</v>
      </c>
      <c r="G271" s="10">
        <v>39126</v>
      </c>
      <c r="H271" s="11">
        <v>39132</v>
      </c>
      <c r="I271" s="19" t="s">
        <v>351</v>
      </c>
      <c r="J271" s="12">
        <v>4220</v>
      </c>
      <c r="K271" s="12">
        <v>844</v>
      </c>
      <c r="L271" s="194">
        <f>+K271+J271</f>
        <v>5064</v>
      </c>
      <c r="M271" s="12">
        <v>4220</v>
      </c>
      <c r="N271" s="12">
        <v>844</v>
      </c>
      <c r="O271" s="194">
        <f aca="true" t="shared" si="74" ref="O271:O278">+N271+M271</f>
        <v>5064</v>
      </c>
      <c r="P271" s="77">
        <f aca="true" t="shared" si="75" ref="P271:P279">+M271*0.65</f>
        <v>2743</v>
      </c>
      <c r="Q271" s="77">
        <f aca="true" t="shared" si="76" ref="Q271:Q279">+N271*0.65</f>
        <v>548.6</v>
      </c>
      <c r="R271" s="223">
        <f aca="true" t="shared" si="77" ref="R271:R279">+Q271+P271</f>
        <v>3291.6</v>
      </c>
      <c r="S271" s="417" t="s">
        <v>469</v>
      </c>
      <c r="T271" s="417"/>
    </row>
    <row r="272" spans="1:20" ht="36.75" customHeight="1">
      <c r="A272" s="52" t="s">
        <v>488</v>
      </c>
      <c r="B272" s="8"/>
      <c r="C272" s="15" t="s">
        <v>177</v>
      </c>
      <c r="D272" s="15" t="s">
        <v>515</v>
      </c>
      <c r="E272" s="15" t="s">
        <v>516</v>
      </c>
      <c r="F272" s="9">
        <v>85</v>
      </c>
      <c r="G272" s="10">
        <v>39205</v>
      </c>
      <c r="H272" s="11">
        <v>39217</v>
      </c>
      <c r="I272" s="19" t="s">
        <v>47</v>
      </c>
      <c r="J272" s="12">
        <v>960</v>
      </c>
      <c r="K272" s="12">
        <v>192</v>
      </c>
      <c r="L272" s="194">
        <v>1152</v>
      </c>
      <c r="M272" s="12">
        <v>960</v>
      </c>
      <c r="N272" s="12">
        <f>+M272*0.2</f>
        <v>192</v>
      </c>
      <c r="O272" s="194">
        <f t="shared" si="74"/>
        <v>1152</v>
      </c>
      <c r="P272" s="77">
        <f t="shared" si="75"/>
        <v>624</v>
      </c>
      <c r="Q272" s="77">
        <f t="shared" si="76"/>
        <v>124.80000000000001</v>
      </c>
      <c r="R272" s="223">
        <f t="shared" si="77"/>
        <v>748.8</v>
      </c>
      <c r="S272" s="150"/>
      <c r="T272" s="151"/>
    </row>
    <row r="273" spans="1:20" ht="36.75" customHeight="1">
      <c r="A273" s="52" t="s">
        <v>488</v>
      </c>
      <c r="B273" s="8"/>
      <c r="C273" s="15" t="s">
        <v>49</v>
      </c>
      <c r="D273" s="15" t="s">
        <v>600</v>
      </c>
      <c r="E273" s="15" t="s">
        <v>601</v>
      </c>
      <c r="F273" s="9" t="s">
        <v>602</v>
      </c>
      <c r="G273" s="10" t="s">
        <v>603</v>
      </c>
      <c r="H273" s="11">
        <v>39372</v>
      </c>
      <c r="I273" s="19" t="s">
        <v>585</v>
      </c>
      <c r="J273" s="12">
        <v>548</v>
      </c>
      <c r="K273" s="12"/>
      <c r="L273" s="194">
        <v>548</v>
      </c>
      <c r="M273" s="12">
        <v>548</v>
      </c>
      <c r="N273" s="12"/>
      <c r="O273" s="194">
        <f t="shared" si="74"/>
        <v>548</v>
      </c>
      <c r="P273" s="77">
        <f t="shared" si="75"/>
        <v>356.2</v>
      </c>
      <c r="Q273" s="77">
        <f t="shared" si="76"/>
        <v>0</v>
      </c>
      <c r="R273" s="223">
        <f t="shared" si="77"/>
        <v>356.2</v>
      </c>
      <c r="S273" s="410"/>
      <c r="T273" s="405"/>
    </row>
    <row r="274" spans="1:20" ht="36.75" customHeight="1">
      <c r="A274" s="52" t="s">
        <v>488</v>
      </c>
      <c r="B274" s="8"/>
      <c r="C274" s="105" t="s">
        <v>78</v>
      </c>
      <c r="D274" s="15" t="s">
        <v>679</v>
      </c>
      <c r="E274" s="15" t="s">
        <v>680</v>
      </c>
      <c r="F274" s="9" t="s">
        <v>681</v>
      </c>
      <c r="G274" s="10">
        <v>39506</v>
      </c>
      <c r="H274" s="11">
        <v>39520</v>
      </c>
      <c r="I274" s="19" t="s">
        <v>435</v>
      </c>
      <c r="J274" s="12">
        <v>9602.8</v>
      </c>
      <c r="K274" s="12">
        <v>1920.56</v>
      </c>
      <c r="L274" s="194">
        <v>11523.36</v>
      </c>
      <c r="M274" s="12">
        <v>9602.8</v>
      </c>
      <c r="N274" s="12">
        <v>1920.56</v>
      </c>
      <c r="O274" s="194">
        <f t="shared" si="74"/>
        <v>11523.359999999999</v>
      </c>
      <c r="P274" s="77">
        <f t="shared" si="75"/>
        <v>6241.82</v>
      </c>
      <c r="Q274" s="77">
        <f t="shared" si="76"/>
        <v>1248.364</v>
      </c>
      <c r="R274" s="223">
        <f t="shared" si="77"/>
        <v>7490.183999999999</v>
      </c>
      <c r="S274" s="408" t="s">
        <v>699</v>
      </c>
      <c r="T274" s="409"/>
    </row>
    <row r="275" spans="1:20" ht="36.75" customHeight="1">
      <c r="A275" s="52" t="s">
        <v>488</v>
      </c>
      <c r="B275" s="8"/>
      <c r="C275" s="15" t="s">
        <v>49</v>
      </c>
      <c r="D275" s="15" t="s">
        <v>683</v>
      </c>
      <c r="E275" s="15" t="s">
        <v>684</v>
      </c>
      <c r="F275" s="9" t="s">
        <v>685</v>
      </c>
      <c r="G275" s="10">
        <v>39493</v>
      </c>
      <c r="H275" s="11">
        <v>39545</v>
      </c>
      <c r="I275" s="19" t="s">
        <v>47</v>
      </c>
      <c r="J275" s="12">
        <v>9602.8</v>
      </c>
      <c r="K275" s="12">
        <v>1920.56</v>
      </c>
      <c r="L275" s="194">
        <v>11523.36</v>
      </c>
      <c r="M275" s="12">
        <v>9602.8</v>
      </c>
      <c r="N275" s="12">
        <v>1920.56</v>
      </c>
      <c r="O275" s="194">
        <f t="shared" si="74"/>
        <v>11523.359999999999</v>
      </c>
      <c r="P275" s="77">
        <f t="shared" si="75"/>
        <v>6241.82</v>
      </c>
      <c r="Q275" s="77">
        <f t="shared" si="76"/>
        <v>1248.364</v>
      </c>
      <c r="R275" s="223">
        <f t="shared" si="77"/>
        <v>7490.183999999999</v>
      </c>
      <c r="S275" s="408" t="s">
        <v>699</v>
      </c>
      <c r="T275" s="409"/>
    </row>
    <row r="276" spans="1:20" ht="36.75" customHeight="1">
      <c r="A276" s="52" t="s">
        <v>488</v>
      </c>
      <c r="B276" s="8"/>
      <c r="C276" s="15" t="s">
        <v>49</v>
      </c>
      <c r="D276" s="15" t="s">
        <v>686</v>
      </c>
      <c r="E276" s="15" t="s">
        <v>687</v>
      </c>
      <c r="F276" s="9">
        <v>18</v>
      </c>
      <c r="G276" s="10">
        <v>39538</v>
      </c>
      <c r="H276" s="11">
        <v>39545</v>
      </c>
      <c r="I276" s="19" t="s">
        <v>585</v>
      </c>
      <c r="J276" s="12">
        <v>1200</v>
      </c>
      <c r="K276" s="12">
        <v>240</v>
      </c>
      <c r="L276" s="194">
        <v>1440</v>
      </c>
      <c r="M276" s="12">
        <v>1200</v>
      </c>
      <c r="N276" s="12">
        <v>240</v>
      </c>
      <c r="O276" s="194">
        <f t="shared" si="74"/>
        <v>1440</v>
      </c>
      <c r="P276" s="77">
        <f t="shared" si="75"/>
        <v>780</v>
      </c>
      <c r="Q276" s="77">
        <f t="shared" si="76"/>
        <v>156</v>
      </c>
      <c r="R276" s="223">
        <f t="shared" si="77"/>
        <v>936</v>
      </c>
      <c r="S276" s="408" t="s">
        <v>699</v>
      </c>
      <c r="T276" s="409"/>
    </row>
    <row r="277" spans="1:20" ht="36.75" customHeight="1">
      <c r="A277" s="52" t="s">
        <v>488</v>
      </c>
      <c r="B277" s="8"/>
      <c r="C277" s="15" t="s">
        <v>177</v>
      </c>
      <c r="D277" s="15" t="s">
        <v>691</v>
      </c>
      <c r="E277" s="15" t="s">
        <v>692</v>
      </c>
      <c r="F277" s="9" t="s">
        <v>693</v>
      </c>
      <c r="G277" s="10">
        <v>39493</v>
      </c>
      <c r="H277" s="11">
        <v>39538</v>
      </c>
      <c r="I277" s="19" t="s">
        <v>655</v>
      </c>
      <c r="J277" s="12">
        <v>9602.8</v>
      </c>
      <c r="K277" s="12">
        <v>1920.56</v>
      </c>
      <c r="L277" s="194">
        <v>11523.36</v>
      </c>
      <c r="M277" s="12">
        <v>9602.8</v>
      </c>
      <c r="N277" s="12">
        <v>1920.56</v>
      </c>
      <c r="O277" s="194">
        <f t="shared" si="74"/>
        <v>11523.359999999999</v>
      </c>
      <c r="P277" s="77">
        <f t="shared" si="75"/>
        <v>6241.82</v>
      </c>
      <c r="Q277" s="77">
        <f t="shared" si="76"/>
        <v>1248.364</v>
      </c>
      <c r="R277" s="223">
        <f t="shared" si="77"/>
        <v>7490.183999999999</v>
      </c>
      <c r="S277" s="408" t="s">
        <v>699</v>
      </c>
      <c r="T277" s="409"/>
    </row>
    <row r="278" spans="1:20" ht="36.75" customHeight="1">
      <c r="A278" s="52" t="s">
        <v>488</v>
      </c>
      <c r="B278" s="8"/>
      <c r="C278" s="15" t="s">
        <v>177</v>
      </c>
      <c r="D278" s="15" t="s">
        <v>694</v>
      </c>
      <c r="E278" s="15" t="s">
        <v>690</v>
      </c>
      <c r="F278" s="9">
        <v>47</v>
      </c>
      <c r="G278" s="10">
        <v>39538</v>
      </c>
      <c r="H278" s="11">
        <v>39538</v>
      </c>
      <c r="I278" s="19" t="s">
        <v>655</v>
      </c>
      <c r="J278" s="12">
        <v>3250</v>
      </c>
      <c r="K278" s="12">
        <v>650</v>
      </c>
      <c r="L278" s="194">
        <v>3900</v>
      </c>
      <c r="M278" s="12">
        <v>3250</v>
      </c>
      <c r="N278" s="12">
        <v>650</v>
      </c>
      <c r="O278" s="194">
        <f t="shared" si="74"/>
        <v>3900</v>
      </c>
      <c r="P278" s="77">
        <f t="shared" si="75"/>
        <v>2112.5</v>
      </c>
      <c r="Q278" s="77">
        <f t="shared" si="76"/>
        <v>422.5</v>
      </c>
      <c r="R278" s="223">
        <f t="shared" si="77"/>
        <v>2535</v>
      </c>
      <c r="S278" s="408" t="s">
        <v>699</v>
      </c>
      <c r="T278" s="409"/>
    </row>
    <row r="279" spans="1:20" ht="11.25">
      <c r="A279" s="54"/>
      <c r="B279" s="8"/>
      <c r="C279" s="9"/>
      <c r="D279" s="15"/>
      <c r="E279" s="15"/>
      <c r="F279" s="9"/>
      <c r="G279" s="10"/>
      <c r="H279" s="11"/>
      <c r="I279" s="19"/>
      <c r="J279" s="12"/>
      <c r="K279" s="12"/>
      <c r="L279" s="194"/>
      <c r="M279" s="12"/>
      <c r="N279" s="12"/>
      <c r="O279" s="194"/>
      <c r="P279" s="77">
        <f t="shared" si="75"/>
        <v>0</v>
      </c>
      <c r="Q279" s="77">
        <f t="shared" si="76"/>
        <v>0</v>
      </c>
      <c r="R279" s="223">
        <f t="shared" si="77"/>
        <v>0</v>
      </c>
      <c r="S279" s="417"/>
      <c r="T279" s="417"/>
    </row>
    <row r="280" ht="11.25">
      <c r="S280" s="27"/>
    </row>
    <row r="281" spans="1:20" ht="11.25">
      <c r="A281" s="426" t="s">
        <v>10</v>
      </c>
      <c r="B281" s="427"/>
      <c r="C281" s="427"/>
      <c r="D281" s="427"/>
      <c r="E281" s="427"/>
      <c r="F281" s="427"/>
      <c r="G281" s="427"/>
      <c r="H281" s="427"/>
      <c r="I281" s="427"/>
      <c r="J281" s="427"/>
      <c r="K281" s="427"/>
      <c r="L281" s="203"/>
      <c r="M281" s="113" t="s">
        <v>124</v>
      </c>
      <c r="N281" s="26" t="s">
        <v>119</v>
      </c>
      <c r="O281" s="215" t="s">
        <v>125</v>
      </c>
      <c r="P281" s="26" t="s">
        <v>126</v>
      </c>
      <c r="Q281" s="26" t="s">
        <v>127</v>
      </c>
      <c r="R281" s="215" t="s">
        <v>121</v>
      </c>
      <c r="S281" s="139" t="s">
        <v>25</v>
      </c>
      <c r="T281" s="140" t="s">
        <v>26</v>
      </c>
    </row>
    <row r="282" spans="1:21" ht="11.25">
      <c r="A282" s="432"/>
      <c r="B282" s="433"/>
      <c r="C282" s="467"/>
      <c r="D282" s="468"/>
      <c r="E282" s="468"/>
      <c r="F282" s="468"/>
      <c r="G282" s="468"/>
      <c r="H282" s="468"/>
      <c r="I282" s="468"/>
      <c r="J282" s="468"/>
      <c r="K282" s="469"/>
      <c r="L282" s="200" t="s">
        <v>12</v>
      </c>
      <c r="M282" s="3">
        <v>86490</v>
      </c>
      <c r="N282" s="3"/>
      <c r="O282" s="216">
        <f aca="true" t="shared" si="78" ref="O282:O287">+N282+M282</f>
        <v>86490</v>
      </c>
      <c r="P282" s="3">
        <f>M282*0.65</f>
        <v>56218.5</v>
      </c>
      <c r="Q282" s="3"/>
      <c r="R282" s="219">
        <f aca="true" t="shared" si="79" ref="R282:R287">+Q282+P282</f>
        <v>56218.5</v>
      </c>
      <c r="S282" s="141"/>
      <c r="T282" s="141"/>
      <c r="U282" s="27"/>
    </row>
    <row r="283" spans="1:21" ht="11.25">
      <c r="A283" s="432"/>
      <c r="B283" s="433"/>
      <c r="C283" s="41"/>
      <c r="D283" s="155"/>
      <c r="E283" s="155"/>
      <c r="F283" s="40"/>
      <c r="G283" s="40"/>
      <c r="H283" s="40"/>
      <c r="I283" s="169"/>
      <c r="J283" s="40"/>
      <c r="K283" s="4"/>
      <c r="L283" s="190" t="s">
        <v>28</v>
      </c>
      <c r="M283" s="4">
        <f>SUM(M291:M339)</f>
        <v>17975.388675999995</v>
      </c>
      <c r="N283" s="4">
        <f>SUM(N291:N339)</f>
        <v>661.0342640000002</v>
      </c>
      <c r="O283" s="213">
        <f t="shared" si="78"/>
        <v>18636.422939999997</v>
      </c>
      <c r="P283" s="4">
        <f>SUM(P291:P339)</f>
        <v>11684.0026394</v>
      </c>
      <c r="Q283" s="4">
        <f>SUM(Q291:Q339)</f>
        <v>429.67227160000016</v>
      </c>
      <c r="R283" s="213">
        <f t="shared" si="79"/>
        <v>12113.674911</v>
      </c>
      <c r="S283" s="142">
        <f aca="true" t="shared" si="80" ref="S283:S288">R283*0.375</f>
        <v>4542.628091625</v>
      </c>
      <c r="T283" s="142">
        <f aca="true" t="shared" si="81" ref="T283:T288">R283-S283</f>
        <v>7571.046819375</v>
      </c>
      <c r="U283" s="27"/>
    </row>
    <row r="284" spans="1:21" ht="11.25">
      <c r="A284" s="432"/>
      <c r="B284" s="433"/>
      <c r="C284" s="41"/>
      <c r="D284" s="155"/>
      <c r="E284" s="155"/>
      <c r="F284" s="40"/>
      <c r="G284" s="40"/>
      <c r="H284" s="40"/>
      <c r="I284" s="169"/>
      <c r="J284" s="40"/>
      <c r="K284" s="42"/>
      <c r="L284" s="190" t="s">
        <v>29</v>
      </c>
      <c r="M284" s="4">
        <f>SUM(M340:M430)</f>
        <v>26848.691666666684</v>
      </c>
      <c r="N284" s="4">
        <f>SUM(N340:N430)</f>
        <v>3046.012333333334</v>
      </c>
      <c r="O284" s="213">
        <f t="shared" si="78"/>
        <v>29894.70400000002</v>
      </c>
      <c r="P284" s="4">
        <f>SUM(P340:P430)</f>
        <v>17451.64958333333</v>
      </c>
      <c r="Q284" s="4">
        <f>SUM(Q340:Q430)</f>
        <v>1979.9080166666674</v>
      </c>
      <c r="R284" s="213">
        <f t="shared" si="79"/>
        <v>19431.557599999996</v>
      </c>
      <c r="S284" s="142">
        <f t="shared" si="80"/>
        <v>7286.834099999998</v>
      </c>
      <c r="T284" s="142">
        <f t="shared" si="81"/>
        <v>12144.723499999998</v>
      </c>
      <c r="U284" s="27"/>
    </row>
    <row r="285" spans="1:21" ht="11.25">
      <c r="A285" s="432"/>
      <c r="B285" s="433"/>
      <c r="C285" s="41"/>
      <c r="D285" s="155"/>
      <c r="E285" s="155"/>
      <c r="F285" s="40"/>
      <c r="G285" s="40"/>
      <c r="H285" s="40"/>
      <c r="I285" s="169"/>
      <c r="J285" s="40"/>
      <c r="K285" s="42"/>
      <c r="L285" s="190" t="s">
        <v>364</v>
      </c>
      <c r="M285" s="4">
        <f>SUM(M431:M482)</f>
        <v>6265.645000000001</v>
      </c>
      <c r="N285" s="4">
        <f>SUM(N431:N482)</f>
        <v>767.2650000000001</v>
      </c>
      <c r="O285" s="213">
        <f t="shared" si="78"/>
        <v>7032.910000000002</v>
      </c>
      <c r="P285" s="4">
        <f>SUM(P431:P482)</f>
        <v>4072.669250000001</v>
      </c>
      <c r="Q285" s="4">
        <f>SUM(Q431:Q482)</f>
        <v>498.7222500000001</v>
      </c>
      <c r="R285" s="213">
        <f t="shared" si="79"/>
        <v>4571.391500000001</v>
      </c>
      <c r="S285" s="142">
        <f t="shared" si="80"/>
        <v>1714.2718125000001</v>
      </c>
      <c r="T285" s="142">
        <f t="shared" si="81"/>
        <v>2857.1196875000005</v>
      </c>
      <c r="U285" s="27"/>
    </row>
    <row r="286" spans="1:21" ht="11.25">
      <c r="A286" s="432"/>
      <c r="B286" s="433"/>
      <c r="C286" s="41"/>
      <c r="D286" s="155"/>
      <c r="E286" s="155"/>
      <c r="F286" s="40"/>
      <c r="G286" s="40"/>
      <c r="H286" s="40"/>
      <c r="I286" s="169"/>
      <c r="J286" s="40"/>
      <c r="K286" s="42"/>
      <c r="L286" s="190" t="s">
        <v>451</v>
      </c>
      <c r="M286" s="4">
        <f>SUM(M483:M501)</f>
        <v>4957.841666666666</v>
      </c>
      <c r="N286" s="4">
        <f>SUM(N483:N501)</f>
        <v>701.5183333333333</v>
      </c>
      <c r="O286" s="213">
        <f t="shared" si="78"/>
        <v>5659.36</v>
      </c>
      <c r="P286" s="4">
        <f>SUM(P483:P501)</f>
        <v>3222.597083333334</v>
      </c>
      <c r="Q286" s="4">
        <f>SUM(Q483:Q501)</f>
        <v>455.9869166666667</v>
      </c>
      <c r="R286" s="213">
        <f t="shared" si="79"/>
        <v>3678.5840000000007</v>
      </c>
      <c r="S286" s="142">
        <f t="shared" si="80"/>
        <v>1379.4690000000003</v>
      </c>
      <c r="T286" s="142">
        <f t="shared" si="81"/>
        <v>2299.1150000000007</v>
      </c>
      <c r="U286" s="27"/>
    </row>
    <row r="287" spans="1:21" ht="11.25">
      <c r="A287" s="432"/>
      <c r="B287" s="433"/>
      <c r="C287" s="41"/>
      <c r="D287" s="155"/>
      <c r="E287" s="155"/>
      <c r="F287" s="40"/>
      <c r="G287" s="40"/>
      <c r="H287" s="40"/>
      <c r="I287" s="169"/>
      <c r="J287" s="40"/>
      <c r="K287" s="42"/>
      <c r="L287" s="190" t="s">
        <v>484</v>
      </c>
      <c r="M287" s="4">
        <f>SUM(M502:M512)</f>
        <v>5110.77</v>
      </c>
      <c r="N287" s="4">
        <f>SUM(N502:N512)</f>
        <v>606.21</v>
      </c>
      <c r="O287" s="213">
        <f t="shared" si="78"/>
        <v>5716.9800000000005</v>
      </c>
      <c r="P287" s="4">
        <f>SUM(P502:P512)</f>
        <v>3322.0004999999996</v>
      </c>
      <c r="Q287" s="4">
        <f>SUM(Q502:Q512)</f>
        <v>394.03650000000005</v>
      </c>
      <c r="R287" s="213">
        <f t="shared" si="79"/>
        <v>3716.037</v>
      </c>
      <c r="S287" s="142">
        <f t="shared" si="80"/>
        <v>1393.5138749999999</v>
      </c>
      <c r="T287" s="142">
        <f t="shared" si="81"/>
        <v>2322.5231249999997</v>
      </c>
      <c r="U287" s="27"/>
    </row>
    <row r="288" spans="1:21" ht="11.25">
      <c r="A288" s="432"/>
      <c r="B288" s="433"/>
      <c r="C288" s="41"/>
      <c r="D288" s="155"/>
      <c r="E288" s="155"/>
      <c r="F288" s="40"/>
      <c r="G288" s="40"/>
      <c r="H288" s="40"/>
      <c r="I288" s="169"/>
      <c r="J288" s="40"/>
      <c r="K288" s="42"/>
      <c r="L288" s="190" t="s">
        <v>487</v>
      </c>
      <c r="M288" s="4">
        <f>SUM(M513:M585)</f>
        <v>11651.626666666667</v>
      </c>
      <c r="N288" s="4">
        <f>SUM(N513:N585)</f>
        <v>141.93333333333334</v>
      </c>
      <c r="O288" s="213">
        <f>+N288+M288</f>
        <v>11793.56</v>
      </c>
      <c r="P288" s="4">
        <f>SUM(P513:P585)</f>
        <v>7573.557333333331</v>
      </c>
      <c r="Q288" s="4">
        <f>SUM(Q513:Q585)</f>
        <v>92.25666666666667</v>
      </c>
      <c r="R288" s="213">
        <f>+Q288+P288</f>
        <v>7665.8139999999985</v>
      </c>
      <c r="S288" s="142">
        <f t="shared" si="80"/>
        <v>2874.6802499999994</v>
      </c>
      <c r="T288" s="142">
        <f t="shared" si="81"/>
        <v>4791.133749999999</v>
      </c>
      <c r="U288" s="27"/>
    </row>
    <row r="289" spans="1:21" ht="11.25">
      <c r="A289" s="434"/>
      <c r="B289" s="435"/>
      <c r="C289" s="448"/>
      <c r="D289" s="449"/>
      <c r="E289" s="449"/>
      <c r="F289" s="449"/>
      <c r="G289" s="449"/>
      <c r="H289" s="449"/>
      <c r="I289" s="449"/>
      <c r="J289" s="449"/>
      <c r="K289" s="450"/>
      <c r="L289" s="191" t="s">
        <v>13</v>
      </c>
      <c r="M289" s="6">
        <f>M282-M283-M284-M285-M286-M287-M288</f>
        <v>13680.036323999979</v>
      </c>
      <c r="N289" s="6"/>
      <c r="O289" s="214"/>
      <c r="P289" s="6"/>
      <c r="Q289" s="6"/>
      <c r="R289" s="214"/>
      <c r="S289" s="144"/>
      <c r="T289" s="144"/>
      <c r="U289" s="27"/>
    </row>
    <row r="290" spans="1:20" ht="33.75">
      <c r="A290" s="25" t="s">
        <v>14</v>
      </c>
      <c r="B290" s="25" t="s">
        <v>11</v>
      </c>
      <c r="C290" s="49" t="s">
        <v>24</v>
      </c>
      <c r="D290" s="49" t="s">
        <v>20</v>
      </c>
      <c r="E290" s="50" t="s">
        <v>2</v>
      </c>
      <c r="F290" s="49" t="s">
        <v>19</v>
      </c>
      <c r="G290" s="49" t="s">
        <v>18</v>
      </c>
      <c r="H290" s="50" t="s">
        <v>17</v>
      </c>
      <c r="I290" s="50" t="s">
        <v>16</v>
      </c>
      <c r="J290" s="49" t="s">
        <v>3</v>
      </c>
      <c r="K290" s="49" t="s">
        <v>4</v>
      </c>
      <c r="L290" s="204" t="s">
        <v>5</v>
      </c>
      <c r="M290" s="7" t="s">
        <v>21</v>
      </c>
      <c r="N290" s="7" t="s">
        <v>119</v>
      </c>
      <c r="O290" s="192" t="s">
        <v>122</v>
      </c>
      <c r="P290" s="7" t="s">
        <v>22</v>
      </c>
      <c r="Q290" s="25" t="s">
        <v>120</v>
      </c>
      <c r="R290" s="204"/>
      <c r="S290" s="463" t="s">
        <v>27</v>
      </c>
      <c r="T290" s="463"/>
    </row>
    <row r="291" spans="1:20" s="86" customFormat="1" ht="33.75">
      <c r="A291" s="52" t="s">
        <v>15</v>
      </c>
      <c r="B291" s="8"/>
      <c r="C291" s="9" t="s">
        <v>42</v>
      </c>
      <c r="D291" s="15" t="s">
        <v>43</v>
      </c>
      <c r="E291" s="15" t="s">
        <v>44</v>
      </c>
      <c r="F291" s="9">
        <v>1600654</v>
      </c>
      <c r="G291" s="11">
        <v>38317</v>
      </c>
      <c r="H291" s="11">
        <v>38700</v>
      </c>
      <c r="I291" s="19" t="s">
        <v>40</v>
      </c>
      <c r="J291" s="85">
        <f>7547.47+754.75</f>
        <v>8302.220000000001</v>
      </c>
      <c r="K291" s="85">
        <v>0</v>
      </c>
      <c r="L291" s="193">
        <f aca="true" t="shared" si="82" ref="L291:L306">SUM(J291:K291)</f>
        <v>8302.220000000001</v>
      </c>
      <c r="M291" s="104">
        <f aca="true" t="shared" si="83" ref="M291:N294">J291</f>
        <v>8302.220000000001</v>
      </c>
      <c r="N291" s="104">
        <f t="shared" si="83"/>
        <v>0</v>
      </c>
      <c r="O291" s="193">
        <f aca="true" t="shared" si="84" ref="O291:O306">SUM(M291:N291)</f>
        <v>8302.220000000001</v>
      </c>
      <c r="P291" s="85">
        <f aca="true" t="shared" si="85" ref="P291:P302">M291*0.65</f>
        <v>5396.443000000001</v>
      </c>
      <c r="Q291" s="85">
        <f aca="true" t="shared" si="86" ref="Q291:Q302">N291*0.65</f>
        <v>0</v>
      </c>
      <c r="R291" s="193">
        <f aca="true" t="shared" si="87" ref="R291:R322">SUM(P291:Q291)</f>
        <v>5396.443000000001</v>
      </c>
      <c r="S291" s="417" t="s">
        <v>48</v>
      </c>
      <c r="T291" s="417"/>
    </row>
    <row r="292" spans="1:20" s="86" customFormat="1" ht="33.75">
      <c r="A292" s="52" t="s">
        <v>15</v>
      </c>
      <c r="B292" s="8"/>
      <c r="C292" s="9" t="s">
        <v>42</v>
      </c>
      <c r="D292" s="15" t="s">
        <v>45</v>
      </c>
      <c r="E292" s="15" t="s">
        <v>46</v>
      </c>
      <c r="F292" s="9">
        <v>25</v>
      </c>
      <c r="G292" s="11">
        <v>38408</v>
      </c>
      <c r="H292" s="11">
        <v>38409</v>
      </c>
      <c r="I292" s="19" t="s">
        <v>47</v>
      </c>
      <c r="J292" s="85">
        <v>2700</v>
      </c>
      <c r="K292" s="85">
        <f>+J292*0.2</f>
        <v>540</v>
      </c>
      <c r="L292" s="193">
        <f t="shared" si="82"/>
        <v>3240</v>
      </c>
      <c r="M292" s="104">
        <f t="shared" si="83"/>
        <v>2700</v>
      </c>
      <c r="N292" s="104">
        <f t="shared" si="83"/>
        <v>540</v>
      </c>
      <c r="O292" s="193">
        <f t="shared" si="84"/>
        <v>3240</v>
      </c>
      <c r="P292" s="85">
        <f t="shared" si="85"/>
        <v>1755</v>
      </c>
      <c r="Q292" s="85">
        <f t="shared" si="86"/>
        <v>351</v>
      </c>
      <c r="R292" s="193">
        <f t="shared" si="87"/>
        <v>2106</v>
      </c>
      <c r="S292" s="417"/>
      <c r="T292" s="417"/>
    </row>
    <row r="293" spans="1:20" s="86" customFormat="1" ht="11.25">
      <c r="A293" s="52" t="s">
        <v>15</v>
      </c>
      <c r="B293" s="8"/>
      <c r="C293" s="9" t="s">
        <v>49</v>
      </c>
      <c r="D293" s="15" t="s">
        <v>51</v>
      </c>
      <c r="E293" s="15"/>
      <c r="F293" s="125"/>
      <c r="G293" s="126" t="s">
        <v>117</v>
      </c>
      <c r="H293" s="11">
        <v>38033</v>
      </c>
      <c r="I293" s="19" t="s">
        <v>40</v>
      </c>
      <c r="J293" s="85">
        <v>198.89</v>
      </c>
      <c r="K293" s="85">
        <v>0</v>
      </c>
      <c r="L293" s="193">
        <f t="shared" si="82"/>
        <v>198.89</v>
      </c>
      <c r="M293" s="104">
        <f t="shared" si="83"/>
        <v>198.89</v>
      </c>
      <c r="N293" s="104">
        <f t="shared" si="83"/>
        <v>0</v>
      </c>
      <c r="O293" s="193">
        <f t="shared" si="84"/>
        <v>198.89</v>
      </c>
      <c r="P293" s="85">
        <f t="shared" si="85"/>
        <v>129.2785</v>
      </c>
      <c r="Q293" s="85">
        <f t="shared" si="86"/>
        <v>0</v>
      </c>
      <c r="R293" s="193">
        <f t="shared" si="87"/>
        <v>129.2785</v>
      </c>
      <c r="S293" s="417"/>
      <c r="T293" s="417"/>
    </row>
    <row r="294" spans="1:20" s="86" customFormat="1" ht="27" customHeight="1">
      <c r="A294" s="52" t="s">
        <v>15</v>
      </c>
      <c r="B294" s="8"/>
      <c r="C294" s="9" t="s">
        <v>49</v>
      </c>
      <c r="D294" s="15" t="s">
        <v>55</v>
      </c>
      <c r="E294" s="15"/>
      <c r="F294" s="9"/>
      <c r="G294" s="106">
        <v>38391</v>
      </c>
      <c r="H294" s="11">
        <v>38033</v>
      </c>
      <c r="I294" s="19" t="s">
        <v>40</v>
      </c>
      <c r="J294" s="85">
        <v>109.9</v>
      </c>
      <c r="K294" s="85"/>
      <c r="L294" s="193">
        <f t="shared" si="82"/>
        <v>109.9</v>
      </c>
      <c r="M294" s="104">
        <f t="shared" si="83"/>
        <v>109.9</v>
      </c>
      <c r="N294" s="104">
        <f t="shared" si="83"/>
        <v>0</v>
      </c>
      <c r="O294" s="193">
        <f t="shared" si="84"/>
        <v>109.9</v>
      </c>
      <c r="P294" s="85">
        <f t="shared" si="85"/>
        <v>71.435</v>
      </c>
      <c r="Q294" s="85">
        <f t="shared" si="86"/>
        <v>0</v>
      </c>
      <c r="R294" s="193">
        <f t="shared" si="87"/>
        <v>71.435</v>
      </c>
      <c r="S294" s="417"/>
      <c r="T294" s="417"/>
    </row>
    <row r="295" spans="1:20" s="118" customFormat="1" ht="11.25">
      <c r="A295" s="114" t="s">
        <v>15</v>
      </c>
      <c r="B295" s="115"/>
      <c r="C295" s="110" t="s">
        <v>54</v>
      </c>
      <c r="D295" s="158" t="s">
        <v>56</v>
      </c>
      <c r="E295" s="158" t="s">
        <v>104</v>
      </c>
      <c r="F295" s="110">
        <v>6033016</v>
      </c>
      <c r="G295" s="116">
        <v>38343</v>
      </c>
      <c r="H295" s="116">
        <v>38363</v>
      </c>
      <c r="I295" s="172" t="s">
        <v>115</v>
      </c>
      <c r="J295" s="117">
        <v>112.04</v>
      </c>
      <c r="K295" s="104">
        <v>22.41</v>
      </c>
      <c r="L295" s="193">
        <f t="shared" si="82"/>
        <v>134.45000000000002</v>
      </c>
      <c r="M295" s="104">
        <v>41.16</v>
      </c>
      <c r="N295" s="104">
        <f>K295</f>
        <v>22.41</v>
      </c>
      <c r="O295" s="193">
        <f t="shared" si="84"/>
        <v>63.56999999999999</v>
      </c>
      <c r="P295" s="85">
        <f t="shared" si="85"/>
        <v>26.753999999999998</v>
      </c>
      <c r="Q295" s="85">
        <f t="shared" si="86"/>
        <v>14.566500000000001</v>
      </c>
      <c r="R295" s="193">
        <f t="shared" si="87"/>
        <v>41.320499999999996</v>
      </c>
      <c r="S295" s="473"/>
      <c r="T295" s="473"/>
    </row>
    <row r="296" spans="1:20" s="118" customFormat="1" ht="45.75" customHeight="1">
      <c r="A296" s="114" t="s">
        <v>15</v>
      </c>
      <c r="B296" s="115"/>
      <c r="C296" s="110" t="s">
        <v>54</v>
      </c>
      <c r="D296" s="158" t="s">
        <v>57</v>
      </c>
      <c r="E296" s="158" t="s">
        <v>123</v>
      </c>
      <c r="F296" s="110">
        <v>219283</v>
      </c>
      <c r="G296" s="116">
        <v>38370</v>
      </c>
      <c r="H296" s="116">
        <v>38373</v>
      </c>
      <c r="I296" s="172" t="s">
        <v>47</v>
      </c>
      <c r="J296" s="117">
        <v>360</v>
      </c>
      <c r="K296" s="104"/>
      <c r="L296" s="193">
        <f t="shared" si="82"/>
        <v>360</v>
      </c>
      <c r="M296" s="104">
        <v>0</v>
      </c>
      <c r="N296" s="104">
        <f>K296</f>
        <v>0</v>
      </c>
      <c r="O296" s="193">
        <f t="shared" si="84"/>
        <v>0</v>
      </c>
      <c r="P296" s="85">
        <f t="shared" si="85"/>
        <v>0</v>
      </c>
      <c r="Q296" s="85">
        <f t="shared" si="86"/>
        <v>0</v>
      </c>
      <c r="R296" s="193">
        <f t="shared" si="87"/>
        <v>0</v>
      </c>
      <c r="S296" s="473" t="s">
        <v>149</v>
      </c>
      <c r="T296" s="473"/>
    </row>
    <row r="297" spans="1:20" s="118" customFormat="1" ht="22.5">
      <c r="A297" s="114" t="s">
        <v>15</v>
      </c>
      <c r="B297" s="115"/>
      <c r="C297" s="110" t="s">
        <v>54</v>
      </c>
      <c r="D297" s="158" t="s">
        <v>56</v>
      </c>
      <c r="E297" s="158" t="s">
        <v>104</v>
      </c>
      <c r="F297" s="110">
        <v>6033017</v>
      </c>
      <c r="G297" s="116">
        <v>38406</v>
      </c>
      <c r="H297" s="116">
        <v>38426</v>
      </c>
      <c r="I297" s="172" t="s">
        <v>116</v>
      </c>
      <c r="J297" s="117">
        <v>150.4</v>
      </c>
      <c r="K297" s="104">
        <v>30.08</v>
      </c>
      <c r="L297" s="193">
        <f t="shared" si="82"/>
        <v>180.48000000000002</v>
      </c>
      <c r="M297" s="104">
        <v>34.72</v>
      </c>
      <c r="N297" s="104">
        <f>K297</f>
        <v>30.08</v>
      </c>
      <c r="O297" s="193">
        <f t="shared" si="84"/>
        <v>64.8</v>
      </c>
      <c r="P297" s="85">
        <f t="shared" si="85"/>
        <v>22.568</v>
      </c>
      <c r="Q297" s="85">
        <f t="shared" si="86"/>
        <v>19.552</v>
      </c>
      <c r="R297" s="193">
        <f t="shared" si="87"/>
        <v>42.120000000000005</v>
      </c>
      <c r="S297" s="473"/>
      <c r="T297" s="473"/>
    </row>
    <row r="298" spans="1:20" s="118" customFormat="1" ht="30" customHeight="1">
      <c r="A298" s="114" t="s">
        <v>15</v>
      </c>
      <c r="B298" s="115"/>
      <c r="C298" s="110" t="s">
        <v>54</v>
      </c>
      <c r="D298" s="158" t="s">
        <v>128</v>
      </c>
      <c r="E298" s="179"/>
      <c r="F298" s="119"/>
      <c r="G298" s="116">
        <v>38411</v>
      </c>
      <c r="H298" s="116">
        <v>38429</v>
      </c>
      <c r="I298" s="172" t="s">
        <v>47</v>
      </c>
      <c r="J298" s="117">
        <v>1580.6</v>
      </c>
      <c r="K298" s="104"/>
      <c r="L298" s="193">
        <f t="shared" si="82"/>
        <v>1580.6</v>
      </c>
      <c r="M298" s="104">
        <f>+L298-269.08</f>
        <v>1311.52</v>
      </c>
      <c r="N298" s="104">
        <f>K298</f>
        <v>0</v>
      </c>
      <c r="O298" s="193">
        <f t="shared" si="84"/>
        <v>1311.52</v>
      </c>
      <c r="P298" s="85">
        <f t="shared" si="85"/>
        <v>852.488</v>
      </c>
      <c r="Q298" s="85">
        <f t="shared" si="86"/>
        <v>0</v>
      </c>
      <c r="R298" s="193">
        <f t="shared" si="87"/>
        <v>852.488</v>
      </c>
      <c r="S298" s="473" t="s">
        <v>129</v>
      </c>
      <c r="T298" s="473"/>
    </row>
    <row r="299" spans="1:20" s="118" customFormat="1" ht="33.75">
      <c r="A299" s="114" t="s">
        <v>15</v>
      </c>
      <c r="B299" s="115"/>
      <c r="C299" s="110" t="s">
        <v>64</v>
      </c>
      <c r="D299" s="159" t="s">
        <v>60</v>
      </c>
      <c r="E299" s="158" t="s">
        <v>123</v>
      </c>
      <c r="F299" s="107"/>
      <c r="G299" s="127">
        <v>38289</v>
      </c>
      <c r="H299" s="108">
        <v>38289</v>
      </c>
      <c r="I299" s="173" t="s">
        <v>65</v>
      </c>
      <c r="J299" s="128">
        <v>133.47</v>
      </c>
      <c r="K299" s="104">
        <v>0</v>
      </c>
      <c r="L299" s="193">
        <f t="shared" si="82"/>
        <v>133.47</v>
      </c>
      <c r="M299" s="104">
        <f aca="true" t="shared" si="88" ref="M299:N305">J299</f>
        <v>133.47</v>
      </c>
      <c r="N299" s="104">
        <f t="shared" si="88"/>
        <v>0</v>
      </c>
      <c r="O299" s="193">
        <f t="shared" si="84"/>
        <v>133.47</v>
      </c>
      <c r="P299" s="85">
        <f t="shared" si="85"/>
        <v>86.7555</v>
      </c>
      <c r="Q299" s="85">
        <f t="shared" si="86"/>
        <v>0</v>
      </c>
      <c r="R299" s="193">
        <f t="shared" si="87"/>
        <v>86.7555</v>
      </c>
      <c r="S299" s="470"/>
      <c r="T299" s="471"/>
    </row>
    <row r="300" spans="1:20" s="118" customFormat="1" ht="33.75">
      <c r="A300" s="114" t="s">
        <v>15</v>
      </c>
      <c r="B300" s="115"/>
      <c r="C300" s="110" t="s">
        <v>64</v>
      </c>
      <c r="D300" s="160" t="s">
        <v>61</v>
      </c>
      <c r="E300" s="158" t="s">
        <v>123</v>
      </c>
      <c r="F300" s="107"/>
      <c r="G300" s="127">
        <v>38342</v>
      </c>
      <c r="H300" s="108">
        <v>38362</v>
      </c>
      <c r="I300" s="173" t="s">
        <v>65</v>
      </c>
      <c r="J300" s="128">
        <v>133.47</v>
      </c>
      <c r="K300" s="104"/>
      <c r="L300" s="193">
        <f t="shared" si="82"/>
        <v>133.47</v>
      </c>
      <c r="M300" s="104">
        <f t="shared" si="88"/>
        <v>133.47</v>
      </c>
      <c r="N300" s="104">
        <f t="shared" si="88"/>
        <v>0</v>
      </c>
      <c r="O300" s="193">
        <f t="shared" si="84"/>
        <v>133.47</v>
      </c>
      <c r="P300" s="85">
        <f t="shared" si="85"/>
        <v>86.7555</v>
      </c>
      <c r="Q300" s="85">
        <f t="shared" si="86"/>
        <v>0</v>
      </c>
      <c r="R300" s="193">
        <f t="shared" si="87"/>
        <v>86.7555</v>
      </c>
      <c r="S300" s="470"/>
      <c r="T300" s="471"/>
    </row>
    <row r="301" spans="1:20" s="118" customFormat="1" ht="33.75">
      <c r="A301" s="114" t="s">
        <v>15</v>
      </c>
      <c r="B301" s="115"/>
      <c r="C301" s="110" t="s">
        <v>64</v>
      </c>
      <c r="D301" s="160" t="s">
        <v>62</v>
      </c>
      <c r="E301" s="158" t="s">
        <v>123</v>
      </c>
      <c r="F301" s="110"/>
      <c r="G301" s="127">
        <v>38370</v>
      </c>
      <c r="H301" s="108">
        <v>38379</v>
      </c>
      <c r="I301" s="173" t="s">
        <v>65</v>
      </c>
      <c r="J301" s="128">
        <v>240.45</v>
      </c>
      <c r="K301" s="104">
        <v>0</v>
      </c>
      <c r="L301" s="193">
        <f t="shared" si="82"/>
        <v>240.45</v>
      </c>
      <c r="M301" s="104">
        <f t="shared" si="88"/>
        <v>240.45</v>
      </c>
      <c r="N301" s="104">
        <f t="shared" si="88"/>
        <v>0</v>
      </c>
      <c r="O301" s="193">
        <f t="shared" si="84"/>
        <v>240.45</v>
      </c>
      <c r="P301" s="85">
        <f t="shared" si="85"/>
        <v>156.2925</v>
      </c>
      <c r="Q301" s="85">
        <f t="shared" si="86"/>
        <v>0</v>
      </c>
      <c r="R301" s="193">
        <f t="shared" si="87"/>
        <v>156.2925</v>
      </c>
      <c r="S301" s="470"/>
      <c r="T301" s="471"/>
    </row>
    <row r="302" spans="1:20" s="118" customFormat="1" ht="33.75">
      <c r="A302" s="114" t="s">
        <v>15</v>
      </c>
      <c r="B302" s="115"/>
      <c r="C302" s="110" t="s">
        <v>64</v>
      </c>
      <c r="D302" s="160" t="s">
        <v>61</v>
      </c>
      <c r="E302" s="158" t="s">
        <v>123</v>
      </c>
      <c r="F302" s="110"/>
      <c r="G302" s="127">
        <v>38379</v>
      </c>
      <c r="H302" s="108">
        <v>38379</v>
      </c>
      <c r="I302" s="173" t="s">
        <v>65</v>
      </c>
      <c r="J302" s="128">
        <v>133.47</v>
      </c>
      <c r="K302" s="104">
        <v>0</v>
      </c>
      <c r="L302" s="193">
        <f t="shared" si="82"/>
        <v>133.47</v>
      </c>
      <c r="M302" s="104">
        <f t="shared" si="88"/>
        <v>133.47</v>
      </c>
      <c r="N302" s="104">
        <f t="shared" si="88"/>
        <v>0</v>
      </c>
      <c r="O302" s="193">
        <f t="shared" si="84"/>
        <v>133.47</v>
      </c>
      <c r="P302" s="85">
        <f t="shared" si="85"/>
        <v>86.7555</v>
      </c>
      <c r="Q302" s="85">
        <f t="shared" si="86"/>
        <v>0</v>
      </c>
      <c r="R302" s="193">
        <f t="shared" si="87"/>
        <v>86.7555</v>
      </c>
      <c r="S302" s="470"/>
      <c r="T302" s="471"/>
    </row>
    <row r="303" spans="1:20" s="118" customFormat="1" ht="33.75">
      <c r="A303" s="114" t="s">
        <v>15</v>
      </c>
      <c r="B303" s="115"/>
      <c r="C303" s="110" t="s">
        <v>64</v>
      </c>
      <c r="D303" s="160" t="s">
        <v>61</v>
      </c>
      <c r="E303" s="158" t="s">
        <v>123</v>
      </c>
      <c r="F303" s="107"/>
      <c r="G303" s="127">
        <v>38391</v>
      </c>
      <c r="H303" s="108">
        <v>38408</v>
      </c>
      <c r="I303" s="173" t="s">
        <v>65</v>
      </c>
      <c r="J303" s="128">
        <v>133.47</v>
      </c>
      <c r="K303" s="104"/>
      <c r="L303" s="193">
        <f t="shared" si="82"/>
        <v>133.47</v>
      </c>
      <c r="M303" s="104">
        <f t="shared" si="88"/>
        <v>133.47</v>
      </c>
      <c r="N303" s="104">
        <f t="shared" si="88"/>
        <v>0</v>
      </c>
      <c r="O303" s="193">
        <f t="shared" si="84"/>
        <v>133.47</v>
      </c>
      <c r="P303" s="85">
        <f aca="true" t="shared" si="89" ref="P303:Q306">M303*0.65</f>
        <v>86.7555</v>
      </c>
      <c r="Q303" s="85">
        <f t="shared" si="89"/>
        <v>0</v>
      </c>
      <c r="R303" s="193">
        <f t="shared" si="87"/>
        <v>86.7555</v>
      </c>
      <c r="S303" s="470"/>
      <c r="T303" s="471"/>
    </row>
    <row r="304" spans="1:20" s="118" customFormat="1" ht="33.75">
      <c r="A304" s="114" t="s">
        <v>15</v>
      </c>
      <c r="B304" s="115"/>
      <c r="C304" s="110" t="s">
        <v>64</v>
      </c>
      <c r="D304" s="160" t="s">
        <v>61</v>
      </c>
      <c r="E304" s="158" t="s">
        <v>123</v>
      </c>
      <c r="F304" s="110"/>
      <c r="G304" s="127">
        <v>38398</v>
      </c>
      <c r="H304" s="108">
        <v>38408</v>
      </c>
      <c r="I304" s="173" t="s">
        <v>65</v>
      </c>
      <c r="J304" s="128">
        <v>133.47</v>
      </c>
      <c r="K304" s="104"/>
      <c r="L304" s="193">
        <f t="shared" si="82"/>
        <v>133.47</v>
      </c>
      <c r="M304" s="104">
        <f t="shared" si="88"/>
        <v>133.47</v>
      </c>
      <c r="N304" s="104">
        <f t="shared" si="88"/>
        <v>0</v>
      </c>
      <c r="O304" s="193">
        <f t="shared" si="84"/>
        <v>133.47</v>
      </c>
      <c r="P304" s="85">
        <f t="shared" si="89"/>
        <v>86.7555</v>
      </c>
      <c r="Q304" s="85">
        <f t="shared" si="89"/>
        <v>0</v>
      </c>
      <c r="R304" s="193">
        <f t="shared" si="87"/>
        <v>86.7555</v>
      </c>
      <c r="S304" s="470"/>
      <c r="T304" s="471"/>
    </row>
    <row r="305" spans="1:20" s="118" customFormat="1" ht="33.75">
      <c r="A305" s="114" t="s">
        <v>15</v>
      </c>
      <c r="B305" s="115"/>
      <c r="C305" s="110" t="s">
        <v>64</v>
      </c>
      <c r="D305" s="160" t="s">
        <v>63</v>
      </c>
      <c r="E305" s="158" t="s">
        <v>123</v>
      </c>
      <c r="F305" s="107"/>
      <c r="G305" s="127">
        <v>38408</v>
      </c>
      <c r="H305" s="108">
        <v>38408</v>
      </c>
      <c r="I305" s="173" t="s">
        <v>65</v>
      </c>
      <c r="J305" s="129">
        <v>84.53</v>
      </c>
      <c r="K305" s="104"/>
      <c r="L305" s="193">
        <f t="shared" si="82"/>
        <v>84.53</v>
      </c>
      <c r="M305" s="104">
        <f t="shared" si="88"/>
        <v>84.53</v>
      </c>
      <c r="N305" s="104">
        <f t="shared" si="88"/>
        <v>0</v>
      </c>
      <c r="O305" s="193">
        <f t="shared" si="84"/>
        <v>84.53</v>
      </c>
      <c r="P305" s="85">
        <f t="shared" si="89"/>
        <v>54.944500000000005</v>
      </c>
      <c r="Q305" s="85">
        <f t="shared" si="89"/>
        <v>0</v>
      </c>
      <c r="R305" s="193">
        <f t="shared" si="87"/>
        <v>54.944500000000005</v>
      </c>
      <c r="S305" s="470"/>
      <c r="T305" s="471"/>
    </row>
    <row r="306" spans="1:20" s="118" customFormat="1" ht="11.25">
      <c r="A306" s="114" t="s">
        <v>15</v>
      </c>
      <c r="B306" s="115"/>
      <c r="C306" s="110" t="s">
        <v>66</v>
      </c>
      <c r="D306" s="161" t="s">
        <v>76</v>
      </c>
      <c r="E306" s="161" t="s">
        <v>77</v>
      </c>
      <c r="F306" s="130">
        <v>809</v>
      </c>
      <c r="G306" s="131">
        <v>38395</v>
      </c>
      <c r="H306" s="132">
        <v>38418</v>
      </c>
      <c r="I306" s="174" t="s">
        <v>71</v>
      </c>
      <c r="J306" s="133">
        <v>520</v>
      </c>
      <c r="K306" s="104">
        <f>J306*0.02</f>
        <v>10.4</v>
      </c>
      <c r="L306" s="193">
        <f t="shared" si="82"/>
        <v>530.4</v>
      </c>
      <c r="M306" s="104">
        <v>405.6</v>
      </c>
      <c r="N306" s="104"/>
      <c r="O306" s="193">
        <f t="shared" si="84"/>
        <v>405.6</v>
      </c>
      <c r="P306" s="85">
        <f t="shared" si="89"/>
        <v>263.64000000000004</v>
      </c>
      <c r="Q306" s="85">
        <f t="shared" si="89"/>
        <v>0</v>
      </c>
      <c r="R306" s="193">
        <f t="shared" si="87"/>
        <v>263.64000000000004</v>
      </c>
      <c r="S306" s="470"/>
      <c r="T306" s="471"/>
    </row>
    <row r="307" spans="1:20" s="86" customFormat="1" ht="127.5" customHeight="1">
      <c r="A307" s="52" t="s">
        <v>15</v>
      </c>
      <c r="B307" s="120"/>
      <c r="C307" s="9" t="s">
        <v>66</v>
      </c>
      <c r="D307" s="72" t="s">
        <v>69</v>
      </c>
      <c r="E307" s="72" t="s">
        <v>74</v>
      </c>
      <c r="F307" s="78" t="s">
        <v>75</v>
      </c>
      <c r="G307" s="79">
        <v>38408</v>
      </c>
      <c r="H307" s="79">
        <v>38420</v>
      </c>
      <c r="I307" s="165" t="s">
        <v>71</v>
      </c>
      <c r="J307" s="80">
        <v>2080</v>
      </c>
      <c r="K307" s="121">
        <f>J307*0.2</f>
        <v>416</v>
      </c>
      <c r="L307" s="205">
        <f>SUM(J307:K307)</f>
        <v>2496</v>
      </c>
      <c r="M307" s="123">
        <f>J307</f>
        <v>2080</v>
      </c>
      <c r="N307" s="123">
        <v>0</v>
      </c>
      <c r="O307" s="205">
        <f>SUM(M307:N307)</f>
        <v>2080</v>
      </c>
      <c r="P307" s="122">
        <f>O307*0.65</f>
        <v>1352</v>
      </c>
      <c r="Q307" s="124"/>
      <c r="R307" s="226">
        <f t="shared" si="87"/>
        <v>1352</v>
      </c>
      <c r="S307" s="472" t="s">
        <v>150</v>
      </c>
      <c r="T307" s="472"/>
    </row>
    <row r="308" spans="1:20" s="86" customFormat="1" ht="22.5">
      <c r="A308" s="52" t="s">
        <v>15</v>
      </c>
      <c r="B308" s="8"/>
      <c r="C308" s="109" t="s">
        <v>78</v>
      </c>
      <c r="D308" s="72" t="s">
        <v>80</v>
      </c>
      <c r="E308" s="72" t="s">
        <v>81</v>
      </c>
      <c r="F308" s="89">
        <v>125</v>
      </c>
      <c r="G308" s="84">
        <v>38321</v>
      </c>
      <c r="H308" s="84">
        <v>38317</v>
      </c>
      <c r="I308" s="165" t="s">
        <v>82</v>
      </c>
      <c r="J308" s="90">
        <v>320</v>
      </c>
      <c r="K308" s="90">
        <v>64</v>
      </c>
      <c r="L308" s="206">
        <v>384</v>
      </c>
      <c r="M308" s="92">
        <f>0.0444*J308</f>
        <v>14.208</v>
      </c>
      <c r="N308" s="92">
        <f>0.0444*K308</f>
        <v>2.8416</v>
      </c>
      <c r="O308" s="218">
        <f>SUM(M308:N308)</f>
        <v>17.0496</v>
      </c>
      <c r="P308" s="85">
        <f aca="true" t="shared" si="90" ref="P308:P339">M308*0.65</f>
        <v>9.2352</v>
      </c>
      <c r="Q308" s="85">
        <f aca="true" t="shared" si="91" ref="Q308:Q339">N308*0.65</f>
        <v>1.8470400000000002</v>
      </c>
      <c r="R308" s="193">
        <f t="shared" si="87"/>
        <v>11.08224</v>
      </c>
      <c r="S308" s="410"/>
      <c r="T308" s="405"/>
    </row>
    <row r="309" spans="1:20" s="86" customFormat="1" ht="22.5">
      <c r="A309" s="52" t="s">
        <v>15</v>
      </c>
      <c r="B309" s="8"/>
      <c r="C309" s="109" t="s">
        <v>78</v>
      </c>
      <c r="D309" s="72" t="s">
        <v>83</v>
      </c>
      <c r="E309" s="72" t="s">
        <v>84</v>
      </c>
      <c r="F309" s="89"/>
      <c r="G309" s="84"/>
      <c r="H309" s="84">
        <v>38336</v>
      </c>
      <c r="I309" s="165" t="s">
        <v>85</v>
      </c>
      <c r="J309" s="90">
        <v>1022.52</v>
      </c>
      <c r="K309" s="90"/>
      <c r="L309" s="206">
        <v>1022.52</v>
      </c>
      <c r="M309" s="92">
        <f aca="true" t="shared" si="92" ref="M309:M327">0.0444*J309</f>
        <v>45.399888000000004</v>
      </c>
      <c r="N309" s="92">
        <f aca="true" t="shared" si="93" ref="N309:N327">0.0444*K309</f>
        <v>0</v>
      </c>
      <c r="O309" s="218">
        <f aca="true" t="shared" si="94" ref="O309:O328">SUM(M309:N309)</f>
        <v>45.399888000000004</v>
      </c>
      <c r="P309" s="85">
        <f t="shared" si="90"/>
        <v>29.509927200000003</v>
      </c>
      <c r="Q309" s="85">
        <f t="shared" si="91"/>
        <v>0</v>
      </c>
      <c r="R309" s="193">
        <f t="shared" si="87"/>
        <v>29.509927200000003</v>
      </c>
      <c r="S309" s="410"/>
      <c r="T309" s="405"/>
    </row>
    <row r="310" spans="1:20" s="86" customFormat="1" ht="22.5">
      <c r="A310" s="52" t="s">
        <v>15</v>
      </c>
      <c r="B310" s="8"/>
      <c r="C310" s="109" t="s">
        <v>78</v>
      </c>
      <c r="D310" s="72" t="s">
        <v>86</v>
      </c>
      <c r="E310" s="72" t="s">
        <v>81</v>
      </c>
      <c r="F310" s="89">
        <v>145</v>
      </c>
      <c r="G310" s="84">
        <v>38343</v>
      </c>
      <c r="H310" s="84">
        <v>38343</v>
      </c>
      <c r="I310" s="165" t="s">
        <v>82</v>
      </c>
      <c r="J310" s="90">
        <v>350</v>
      </c>
      <c r="K310" s="90">
        <v>70</v>
      </c>
      <c r="L310" s="206">
        <v>420</v>
      </c>
      <c r="M310" s="92">
        <f t="shared" si="92"/>
        <v>15.540000000000001</v>
      </c>
      <c r="N310" s="92">
        <f t="shared" si="93"/>
        <v>3.108</v>
      </c>
      <c r="O310" s="218">
        <f t="shared" si="94"/>
        <v>18.648</v>
      </c>
      <c r="P310" s="85">
        <f t="shared" si="90"/>
        <v>10.101</v>
      </c>
      <c r="Q310" s="85">
        <f t="shared" si="91"/>
        <v>2.0202</v>
      </c>
      <c r="R310" s="193">
        <f t="shared" si="87"/>
        <v>12.121200000000002</v>
      </c>
      <c r="S310" s="470"/>
      <c r="T310" s="471"/>
    </row>
    <row r="311" spans="1:20" s="86" customFormat="1" ht="22.5">
      <c r="A311" s="52" t="s">
        <v>15</v>
      </c>
      <c r="B311" s="8"/>
      <c r="C311" s="109" t="s">
        <v>78</v>
      </c>
      <c r="D311" s="72" t="s">
        <v>87</v>
      </c>
      <c r="E311" s="72" t="s">
        <v>88</v>
      </c>
      <c r="F311" s="89">
        <v>34967</v>
      </c>
      <c r="G311" s="84">
        <v>38321</v>
      </c>
      <c r="H311" s="84">
        <v>38362</v>
      </c>
      <c r="I311" s="165" t="s">
        <v>82</v>
      </c>
      <c r="J311" s="90">
        <v>500</v>
      </c>
      <c r="K311" s="90">
        <v>100</v>
      </c>
      <c r="L311" s="206">
        <v>600</v>
      </c>
      <c r="M311" s="92">
        <f t="shared" si="92"/>
        <v>22.2</v>
      </c>
      <c r="N311" s="92">
        <f t="shared" si="93"/>
        <v>4.44</v>
      </c>
      <c r="O311" s="218">
        <f t="shared" si="94"/>
        <v>26.64</v>
      </c>
      <c r="P311" s="85">
        <f t="shared" si="90"/>
        <v>14.43</v>
      </c>
      <c r="Q311" s="85">
        <f t="shared" si="91"/>
        <v>2.8860000000000006</v>
      </c>
      <c r="R311" s="193">
        <f t="shared" si="87"/>
        <v>17.316</v>
      </c>
      <c r="S311" s="410"/>
      <c r="T311" s="405"/>
    </row>
    <row r="312" spans="1:20" s="86" customFormat="1" ht="22.5">
      <c r="A312" s="52" t="s">
        <v>15</v>
      </c>
      <c r="B312" s="8"/>
      <c r="C312" s="109" t="s">
        <v>78</v>
      </c>
      <c r="D312" s="72" t="s">
        <v>87</v>
      </c>
      <c r="E312" s="72" t="s">
        <v>88</v>
      </c>
      <c r="F312" s="89">
        <v>35079</v>
      </c>
      <c r="G312" s="84">
        <v>38321</v>
      </c>
      <c r="H312" s="84">
        <v>38362</v>
      </c>
      <c r="I312" s="165" t="s">
        <v>82</v>
      </c>
      <c r="J312" s="90">
        <v>100</v>
      </c>
      <c r="K312" s="90">
        <v>20</v>
      </c>
      <c r="L312" s="206">
        <v>120</v>
      </c>
      <c r="M312" s="92">
        <f t="shared" si="92"/>
        <v>4.44</v>
      </c>
      <c r="N312" s="92">
        <f t="shared" si="93"/>
        <v>0.888</v>
      </c>
      <c r="O312" s="218">
        <f t="shared" si="94"/>
        <v>5.328</v>
      </c>
      <c r="P312" s="85">
        <f t="shared" si="90"/>
        <v>2.8860000000000006</v>
      </c>
      <c r="Q312" s="85">
        <f t="shared" si="91"/>
        <v>0.5772</v>
      </c>
      <c r="R312" s="193">
        <f t="shared" si="87"/>
        <v>3.4632000000000005</v>
      </c>
      <c r="S312" s="410"/>
      <c r="T312" s="405"/>
    </row>
    <row r="313" spans="1:20" s="86" customFormat="1" ht="22.5">
      <c r="A313" s="52" t="s">
        <v>15</v>
      </c>
      <c r="B313" s="8"/>
      <c r="C313" s="109" t="s">
        <v>78</v>
      </c>
      <c r="D313" s="72" t="s">
        <v>89</v>
      </c>
      <c r="E313" s="72" t="s">
        <v>84</v>
      </c>
      <c r="F313" s="89"/>
      <c r="G313" s="84">
        <v>38363</v>
      </c>
      <c r="H313" s="84">
        <v>38363</v>
      </c>
      <c r="I313" s="165" t="s">
        <v>85</v>
      </c>
      <c r="J313" s="90">
        <v>924.98</v>
      </c>
      <c r="K313" s="90"/>
      <c r="L313" s="206">
        <v>924.98</v>
      </c>
      <c r="M313" s="92">
        <f t="shared" si="92"/>
        <v>41.069112000000004</v>
      </c>
      <c r="N313" s="92">
        <f t="shared" si="93"/>
        <v>0</v>
      </c>
      <c r="O313" s="218">
        <f t="shared" si="94"/>
        <v>41.069112000000004</v>
      </c>
      <c r="P313" s="85">
        <f t="shared" si="90"/>
        <v>26.694922800000004</v>
      </c>
      <c r="Q313" s="85">
        <f t="shared" si="91"/>
        <v>0</v>
      </c>
      <c r="R313" s="193">
        <f t="shared" si="87"/>
        <v>26.694922800000004</v>
      </c>
      <c r="S313" s="410"/>
      <c r="T313" s="405"/>
    </row>
    <row r="314" spans="1:20" s="86" customFormat="1" ht="22.5">
      <c r="A314" s="52" t="s">
        <v>15</v>
      </c>
      <c r="B314" s="8"/>
      <c r="C314" s="109" t="s">
        <v>78</v>
      </c>
      <c r="D314" s="72" t="s">
        <v>90</v>
      </c>
      <c r="E314" s="72" t="s">
        <v>91</v>
      </c>
      <c r="F314" s="89" t="s">
        <v>92</v>
      </c>
      <c r="G314" s="84"/>
      <c r="H314" s="84">
        <v>38369</v>
      </c>
      <c r="I314" s="165" t="s">
        <v>85</v>
      </c>
      <c r="J314" s="90">
        <v>163.83</v>
      </c>
      <c r="K314" s="90">
        <v>32.67</v>
      </c>
      <c r="L314" s="206">
        <f>SUM(J314:K314)</f>
        <v>196.5</v>
      </c>
      <c r="M314" s="92">
        <f t="shared" si="92"/>
        <v>7.274052000000001</v>
      </c>
      <c r="N314" s="92">
        <f t="shared" si="93"/>
        <v>1.4505480000000002</v>
      </c>
      <c r="O314" s="218">
        <f t="shared" si="94"/>
        <v>8.7246</v>
      </c>
      <c r="P314" s="85">
        <f t="shared" si="90"/>
        <v>4.728133800000001</v>
      </c>
      <c r="Q314" s="85">
        <f t="shared" si="91"/>
        <v>0.9428562000000001</v>
      </c>
      <c r="R314" s="193">
        <f t="shared" si="87"/>
        <v>5.6709900000000015</v>
      </c>
      <c r="S314" s="410"/>
      <c r="T314" s="405"/>
    </row>
    <row r="315" spans="1:20" s="86" customFormat="1" ht="22.5">
      <c r="A315" s="52" t="s">
        <v>15</v>
      </c>
      <c r="B315" s="8"/>
      <c r="C315" s="109" t="s">
        <v>78</v>
      </c>
      <c r="D315" s="72" t="s">
        <v>90</v>
      </c>
      <c r="E315" s="72" t="s">
        <v>91</v>
      </c>
      <c r="F315" s="89" t="s">
        <v>93</v>
      </c>
      <c r="G315" s="84"/>
      <c r="H315" s="84">
        <v>38369</v>
      </c>
      <c r="I315" s="165" t="s">
        <v>85</v>
      </c>
      <c r="J315" s="90">
        <v>274.59</v>
      </c>
      <c r="K315" s="90">
        <v>54.91</v>
      </c>
      <c r="L315" s="206">
        <f>SUM(J315:K315)</f>
        <v>329.5</v>
      </c>
      <c r="M315" s="92">
        <f t="shared" si="92"/>
        <v>12.191796</v>
      </c>
      <c r="N315" s="92">
        <f t="shared" si="93"/>
        <v>2.438004</v>
      </c>
      <c r="O315" s="218">
        <f t="shared" si="94"/>
        <v>14.6298</v>
      </c>
      <c r="P315" s="85">
        <f t="shared" si="90"/>
        <v>7.924667400000001</v>
      </c>
      <c r="Q315" s="85">
        <f t="shared" si="91"/>
        <v>1.5847026</v>
      </c>
      <c r="R315" s="193">
        <f t="shared" si="87"/>
        <v>9.50937</v>
      </c>
      <c r="S315" s="410"/>
      <c r="T315" s="405"/>
    </row>
    <row r="316" spans="1:20" s="86" customFormat="1" ht="22.5">
      <c r="A316" s="52" t="s">
        <v>15</v>
      </c>
      <c r="B316" s="8"/>
      <c r="C316" s="109" t="s">
        <v>78</v>
      </c>
      <c r="D316" s="162" t="s">
        <v>94</v>
      </c>
      <c r="E316" s="72" t="s">
        <v>81</v>
      </c>
      <c r="F316" s="89">
        <v>11</v>
      </c>
      <c r="G316" s="84">
        <v>38379</v>
      </c>
      <c r="H316" s="84">
        <v>38379</v>
      </c>
      <c r="I316" s="165" t="s">
        <v>82</v>
      </c>
      <c r="J316" s="90">
        <v>500</v>
      </c>
      <c r="K316" s="90">
        <v>100</v>
      </c>
      <c r="L316" s="206">
        <v>600</v>
      </c>
      <c r="M316" s="92">
        <f t="shared" si="92"/>
        <v>22.2</v>
      </c>
      <c r="N316" s="92">
        <f t="shared" si="93"/>
        <v>4.44</v>
      </c>
      <c r="O316" s="218">
        <f t="shared" si="94"/>
        <v>26.64</v>
      </c>
      <c r="P316" s="85">
        <f t="shared" si="90"/>
        <v>14.43</v>
      </c>
      <c r="Q316" s="85">
        <f t="shared" si="91"/>
        <v>2.8860000000000006</v>
      </c>
      <c r="R316" s="193">
        <f t="shared" si="87"/>
        <v>17.316</v>
      </c>
      <c r="S316" s="410"/>
      <c r="T316" s="405"/>
    </row>
    <row r="317" spans="1:20" s="86" customFormat="1" ht="22.5">
      <c r="A317" s="52" t="s">
        <v>15</v>
      </c>
      <c r="B317" s="8"/>
      <c r="C317" s="109" t="s">
        <v>78</v>
      </c>
      <c r="D317" s="72" t="s">
        <v>95</v>
      </c>
      <c r="E317" s="72" t="s">
        <v>88</v>
      </c>
      <c r="F317" s="89">
        <v>38027</v>
      </c>
      <c r="G317" s="84">
        <v>38351</v>
      </c>
      <c r="H317" s="84">
        <v>38379</v>
      </c>
      <c r="I317" s="165" t="s">
        <v>82</v>
      </c>
      <c r="J317" s="90">
        <v>500</v>
      </c>
      <c r="K317" s="90">
        <v>100</v>
      </c>
      <c r="L317" s="206">
        <v>600</v>
      </c>
      <c r="M317" s="92">
        <f t="shared" si="92"/>
        <v>22.2</v>
      </c>
      <c r="N317" s="92">
        <f t="shared" si="93"/>
        <v>4.44</v>
      </c>
      <c r="O317" s="218">
        <f t="shared" si="94"/>
        <v>26.64</v>
      </c>
      <c r="P317" s="85">
        <f t="shared" si="90"/>
        <v>14.43</v>
      </c>
      <c r="Q317" s="85">
        <f t="shared" si="91"/>
        <v>2.8860000000000006</v>
      </c>
      <c r="R317" s="193">
        <f t="shared" si="87"/>
        <v>17.316</v>
      </c>
      <c r="S317" s="410"/>
      <c r="T317" s="405"/>
    </row>
    <row r="318" spans="1:20" s="86" customFormat="1" ht="22.5">
      <c r="A318" s="52" t="s">
        <v>15</v>
      </c>
      <c r="B318" s="8"/>
      <c r="C318" s="109" t="s">
        <v>78</v>
      </c>
      <c r="D318" s="72" t="s">
        <v>95</v>
      </c>
      <c r="E318" s="72" t="s">
        <v>88</v>
      </c>
      <c r="F318" s="89">
        <v>38135</v>
      </c>
      <c r="G318" s="84">
        <v>38351</v>
      </c>
      <c r="H318" s="84">
        <v>38379</v>
      </c>
      <c r="I318" s="165" t="s">
        <v>82</v>
      </c>
      <c r="J318" s="90">
        <v>100</v>
      </c>
      <c r="K318" s="90">
        <v>20</v>
      </c>
      <c r="L318" s="206">
        <v>120</v>
      </c>
      <c r="M318" s="92">
        <f t="shared" si="92"/>
        <v>4.44</v>
      </c>
      <c r="N318" s="92">
        <f t="shared" si="93"/>
        <v>0.888</v>
      </c>
      <c r="O318" s="218">
        <f t="shared" si="94"/>
        <v>5.328</v>
      </c>
      <c r="P318" s="85">
        <f t="shared" si="90"/>
        <v>2.8860000000000006</v>
      </c>
      <c r="Q318" s="85">
        <f t="shared" si="91"/>
        <v>0.5772</v>
      </c>
      <c r="R318" s="193">
        <f t="shared" si="87"/>
        <v>3.4632000000000005</v>
      </c>
      <c r="S318" s="410"/>
      <c r="T318" s="405"/>
    </row>
    <row r="319" spans="1:20" s="86" customFormat="1" ht="22.5">
      <c r="A319" s="52" t="s">
        <v>15</v>
      </c>
      <c r="B319" s="8"/>
      <c r="C319" s="109" t="s">
        <v>78</v>
      </c>
      <c r="D319" s="72" t="s">
        <v>96</v>
      </c>
      <c r="E319" s="72" t="s">
        <v>81</v>
      </c>
      <c r="F319" s="89">
        <v>13</v>
      </c>
      <c r="G319" s="84">
        <v>38411</v>
      </c>
      <c r="H319" s="84">
        <v>38408</v>
      </c>
      <c r="I319" s="165" t="s">
        <v>82</v>
      </c>
      <c r="J319" s="90">
        <v>500</v>
      </c>
      <c r="K319" s="90">
        <v>100</v>
      </c>
      <c r="L319" s="206">
        <v>600</v>
      </c>
      <c r="M319" s="92">
        <f t="shared" si="92"/>
        <v>22.2</v>
      </c>
      <c r="N319" s="92">
        <f t="shared" si="93"/>
        <v>4.44</v>
      </c>
      <c r="O319" s="218">
        <f t="shared" si="94"/>
        <v>26.64</v>
      </c>
      <c r="P319" s="85">
        <f t="shared" si="90"/>
        <v>14.43</v>
      </c>
      <c r="Q319" s="85">
        <f t="shared" si="91"/>
        <v>2.8860000000000006</v>
      </c>
      <c r="R319" s="193">
        <f t="shared" si="87"/>
        <v>17.316</v>
      </c>
      <c r="S319" s="410"/>
      <c r="T319" s="405"/>
    </row>
    <row r="320" spans="1:20" s="86" customFormat="1" ht="11.25">
      <c r="A320" s="52" t="s">
        <v>15</v>
      </c>
      <c r="B320" s="8"/>
      <c r="C320" s="109" t="s">
        <v>78</v>
      </c>
      <c r="D320" s="72" t="s">
        <v>97</v>
      </c>
      <c r="E320" s="72" t="s">
        <v>98</v>
      </c>
      <c r="F320" s="93" t="s">
        <v>118</v>
      </c>
      <c r="G320" s="84"/>
      <c r="H320" s="84">
        <v>38408</v>
      </c>
      <c r="I320" s="165" t="s">
        <v>82</v>
      </c>
      <c r="J320" s="90">
        <v>2583.31</v>
      </c>
      <c r="K320" s="90"/>
      <c r="L320" s="206">
        <v>2583.31</v>
      </c>
      <c r="M320" s="92">
        <f t="shared" si="92"/>
        <v>114.698964</v>
      </c>
      <c r="N320" s="92">
        <f t="shared" si="93"/>
        <v>0</v>
      </c>
      <c r="O320" s="218">
        <f t="shared" si="94"/>
        <v>114.698964</v>
      </c>
      <c r="P320" s="85">
        <f t="shared" si="90"/>
        <v>74.55432660000001</v>
      </c>
      <c r="Q320" s="85">
        <f t="shared" si="91"/>
        <v>0</v>
      </c>
      <c r="R320" s="193">
        <f t="shared" si="87"/>
        <v>74.55432660000001</v>
      </c>
      <c r="S320" s="410"/>
      <c r="T320" s="405"/>
    </row>
    <row r="321" spans="1:20" s="86" customFormat="1" ht="22.5">
      <c r="A321" s="52" t="s">
        <v>15</v>
      </c>
      <c r="B321" s="8"/>
      <c r="C321" s="109" t="s">
        <v>78</v>
      </c>
      <c r="D321" s="162" t="s">
        <v>99</v>
      </c>
      <c r="E321" s="72" t="s">
        <v>100</v>
      </c>
      <c r="F321" s="91">
        <v>39</v>
      </c>
      <c r="G321" s="84">
        <v>38391</v>
      </c>
      <c r="H321" s="84">
        <v>38408</v>
      </c>
      <c r="I321" s="165" t="s">
        <v>82</v>
      </c>
      <c r="J321" s="90">
        <v>540</v>
      </c>
      <c r="K321" s="90">
        <v>54</v>
      </c>
      <c r="L321" s="206">
        <v>594</v>
      </c>
      <c r="M321" s="92">
        <f>J321/20*12</f>
        <v>324</v>
      </c>
      <c r="N321" s="92">
        <f>K321/20*12</f>
        <v>32.400000000000006</v>
      </c>
      <c r="O321" s="218">
        <f t="shared" si="94"/>
        <v>356.4</v>
      </c>
      <c r="P321" s="85">
        <f t="shared" si="90"/>
        <v>210.6</v>
      </c>
      <c r="Q321" s="85">
        <f t="shared" si="91"/>
        <v>21.060000000000006</v>
      </c>
      <c r="R321" s="193">
        <f t="shared" si="87"/>
        <v>231.66</v>
      </c>
      <c r="S321" s="410"/>
      <c r="T321" s="405"/>
    </row>
    <row r="322" spans="1:20" s="86" customFormat="1" ht="22.5">
      <c r="A322" s="52" t="s">
        <v>15</v>
      </c>
      <c r="B322" s="8"/>
      <c r="C322" s="109" t="s">
        <v>78</v>
      </c>
      <c r="D322" s="162" t="s">
        <v>101</v>
      </c>
      <c r="E322" s="72"/>
      <c r="F322" s="91" t="s">
        <v>133</v>
      </c>
      <c r="G322" s="84"/>
      <c r="H322" s="84">
        <v>38420</v>
      </c>
      <c r="I322" s="165" t="s">
        <v>82</v>
      </c>
      <c r="J322" s="90">
        <v>650.87</v>
      </c>
      <c r="K322" s="90"/>
      <c r="L322" s="206">
        <v>650.87</v>
      </c>
      <c r="M322" s="92">
        <f>J322</f>
        <v>650.87</v>
      </c>
      <c r="N322" s="92">
        <f t="shared" si="93"/>
        <v>0</v>
      </c>
      <c r="O322" s="218">
        <f t="shared" si="94"/>
        <v>650.87</v>
      </c>
      <c r="P322" s="85">
        <f t="shared" si="90"/>
        <v>423.06550000000004</v>
      </c>
      <c r="Q322" s="85">
        <f t="shared" si="91"/>
        <v>0</v>
      </c>
      <c r="R322" s="193">
        <f t="shared" si="87"/>
        <v>423.06550000000004</v>
      </c>
      <c r="S322" s="410"/>
      <c r="T322" s="405"/>
    </row>
    <row r="323" spans="1:20" s="86" customFormat="1" ht="22.5">
      <c r="A323" s="52" t="s">
        <v>15</v>
      </c>
      <c r="B323" s="8"/>
      <c r="C323" s="109" t="s">
        <v>78</v>
      </c>
      <c r="D323" s="72" t="s">
        <v>102</v>
      </c>
      <c r="E323" s="72" t="s">
        <v>88</v>
      </c>
      <c r="F323" s="89">
        <v>22</v>
      </c>
      <c r="G323" s="84">
        <v>38383</v>
      </c>
      <c r="H323" s="84">
        <v>38420</v>
      </c>
      <c r="I323" s="165" t="s">
        <v>82</v>
      </c>
      <c r="J323" s="90">
        <v>500</v>
      </c>
      <c r="K323" s="90">
        <v>100</v>
      </c>
      <c r="L323" s="206">
        <v>600</v>
      </c>
      <c r="M323" s="92">
        <f t="shared" si="92"/>
        <v>22.2</v>
      </c>
      <c r="N323" s="92">
        <f t="shared" si="93"/>
        <v>4.44</v>
      </c>
      <c r="O323" s="218">
        <f t="shared" si="94"/>
        <v>26.64</v>
      </c>
      <c r="P323" s="85">
        <f t="shared" si="90"/>
        <v>14.43</v>
      </c>
      <c r="Q323" s="85">
        <f t="shared" si="91"/>
        <v>2.8860000000000006</v>
      </c>
      <c r="R323" s="193">
        <f aca="true" t="shared" si="95" ref="R323:R339">SUM(P323:Q323)</f>
        <v>17.316</v>
      </c>
      <c r="S323" s="410"/>
      <c r="T323" s="405"/>
    </row>
    <row r="324" spans="1:20" s="86" customFormat="1" ht="22.5">
      <c r="A324" s="52" t="s">
        <v>15</v>
      </c>
      <c r="B324" s="8"/>
      <c r="C324" s="109" t="s">
        <v>78</v>
      </c>
      <c r="D324" s="72" t="s">
        <v>102</v>
      </c>
      <c r="E324" s="72" t="s">
        <v>88</v>
      </c>
      <c r="F324" s="89">
        <v>187</v>
      </c>
      <c r="G324" s="84">
        <v>38383</v>
      </c>
      <c r="H324" s="84">
        <v>38420</v>
      </c>
      <c r="I324" s="165" t="s">
        <v>82</v>
      </c>
      <c r="J324" s="90">
        <v>100</v>
      </c>
      <c r="K324" s="90">
        <v>20</v>
      </c>
      <c r="L324" s="206">
        <v>120</v>
      </c>
      <c r="M324" s="92">
        <f t="shared" si="92"/>
        <v>4.44</v>
      </c>
      <c r="N324" s="92">
        <f t="shared" si="93"/>
        <v>0.888</v>
      </c>
      <c r="O324" s="218">
        <f t="shared" si="94"/>
        <v>5.328</v>
      </c>
      <c r="P324" s="85">
        <f t="shared" si="90"/>
        <v>2.8860000000000006</v>
      </c>
      <c r="Q324" s="85">
        <f t="shared" si="91"/>
        <v>0.5772</v>
      </c>
      <c r="R324" s="193">
        <f t="shared" si="95"/>
        <v>3.4632000000000005</v>
      </c>
      <c r="S324" s="410"/>
      <c r="T324" s="405"/>
    </row>
    <row r="325" spans="1:20" s="86" customFormat="1" ht="22.5">
      <c r="A325" s="52" t="s">
        <v>15</v>
      </c>
      <c r="B325" s="8"/>
      <c r="C325" s="109" t="s">
        <v>78</v>
      </c>
      <c r="D325" s="72" t="s">
        <v>103</v>
      </c>
      <c r="E325" s="72" t="s">
        <v>104</v>
      </c>
      <c r="F325" s="89"/>
      <c r="G325" s="84"/>
      <c r="H325" s="84">
        <v>38426</v>
      </c>
      <c r="I325" s="165" t="s">
        <v>85</v>
      </c>
      <c r="J325" s="90">
        <v>1143.54</v>
      </c>
      <c r="K325" s="90"/>
      <c r="L325" s="206">
        <v>1143.54</v>
      </c>
      <c r="M325" s="92">
        <f t="shared" si="92"/>
        <v>50.773176</v>
      </c>
      <c r="N325" s="92">
        <f t="shared" si="93"/>
        <v>0</v>
      </c>
      <c r="O325" s="218">
        <f t="shared" si="94"/>
        <v>50.773176</v>
      </c>
      <c r="P325" s="85">
        <f t="shared" si="90"/>
        <v>33.002564400000004</v>
      </c>
      <c r="Q325" s="85">
        <f t="shared" si="91"/>
        <v>0</v>
      </c>
      <c r="R325" s="193">
        <f t="shared" si="95"/>
        <v>33.002564400000004</v>
      </c>
      <c r="S325" s="410"/>
      <c r="T325" s="405"/>
    </row>
    <row r="326" spans="1:20" s="86" customFormat="1" ht="23.25" customHeight="1">
      <c r="A326" s="52" t="s">
        <v>15</v>
      </c>
      <c r="B326" s="8"/>
      <c r="C326" s="109" t="s">
        <v>78</v>
      </c>
      <c r="D326" s="162" t="s">
        <v>105</v>
      </c>
      <c r="E326" s="72" t="s">
        <v>91</v>
      </c>
      <c r="F326" s="89" t="s">
        <v>106</v>
      </c>
      <c r="G326" s="84"/>
      <c r="H326" s="84">
        <v>38426</v>
      </c>
      <c r="I326" s="165" t="s">
        <v>85</v>
      </c>
      <c r="J326" s="90">
        <v>162.02</v>
      </c>
      <c r="K326" s="90">
        <v>32.48</v>
      </c>
      <c r="L326" s="206">
        <f>SUM(J326:K326)</f>
        <v>194.5</v>
      </c>
      <c r="M326" s="92">
        <f t="shared" si="92"/>
        <v>7.193688000000001</v>
      </c>
      <c r="N326" s="92">
        <f t="shared" si="93"/>
        <v>1.4421119999999998</v>
      </c>
      <c r="O326" s="218">
        <f t="shared" si="94"/>
        <v>8.6358</v>
      </c>
      <c r="P326" s="85">
        <f t="shared" si="90"/>
        <v>4.6758972000000005</v>
      </c>
      <c r="Q326" s="85">
        <f t="shared" si="91"/>
        <v>0.9373727999999999</v>
      </c>
      <c r="R326" s="193">
        <f t="shared" si="95"/>
        <v>5.61327</v>
      </c>
      <c r="S326" s="410"/>
      <c r="T326" s="405"/>
    </row>
    <row r="327" spans="1:20" s="86" customFormat="1" ht="23.25" customHeight="1">
      <c r="A327" s="52" t="s">
        <v>15</v>
      </c>
      <c r="B327" s="8"/>
      <c r="C327" s="109" t="s">
        <v>78</v>
      </c>
      <c r="D327" s="162" t="s">
        <v>105</v>
      </c>
      <c r="E327" s="72" t="s">
        <v>91</v>
      </c>
      <c r="F327" s="89" t="s">
        <v>107</v>
      </c>
      <c r="G327" s="84"/>
      <c r="H327" s="84">
        <v>38426</v>
      </c>
      <c r="I327" s="165" t="s">
        <v>85</v>
      </c>
      <c r="J327" s="90">
        <v>400</v>
      </c>
      <c r="K327" s="90"/>
      <c r="L327" s="206">
        <v>400</v>
      </c>
      <c r="M327" s="92">
        <f t="shared" si="92"/>
        <v>17.76</v>
      </c>
      <c r="N327" s="92">
        <f t="shared" si="93"/>
        <v>0</v>
      </c>
      <c r="O327" s="218">
        <f t="shared" si="94"/>
        <v>17.76</v>
      </c>
      <c r="P327" s="85">
        <f t="shared" si="90"/>
        <v>11.544000000000002</v>
      </c>
      <c r="Q327" s="85">
        <f t="shared" si="91"/>
        <v>0</v>
      </c>
      <c r="R327" s="193">
        <f t="shared" si="95"/>
        <v>11.544000000000002</v>
      </c>
      <c r="S327" s="410" t="s">
        <v>145</v>
      </c>
      <c r="T327" s="405"/>
    </row>
    <row r="328" spans="1:20" s="86" customFormat="1" ht="30.75" customHeight="1">
      <c r="A328" s="52" t="s">
        <v>15</v>
      </c>
      <c r="B328" s="8"/>
      <c r="C328" s="17" t="s">
        <v>108</v>
      </c>
      <c r="D328" s="135" t="s">
        <v>109</v>
      </c>
      <c r="E328" s="180" t="s">
        <v>110</v>
      </c>
      <c r="F328" s="180">
        <v>843</v>
      </c>
      <c r="G328" s="95">
        <v>38408</v>
      </c>
      <c r="H328" s="95">
        <v>38408</v>
      </c>
      <c r="I328" s="175" t="s">
        <v>134</v>
      </c>
      <c r="J328" s="96">
        <v>690.9</v>
      </c>
      <c r="K328" s="90">
        <f>J328*0.1</f>
        <v>69.09</v>
      </c>
      <c r="L328" s="207">
        <f>SUM(J328:K328)</f>
        <v>759.99</v>
      </c>
      <c r="M328" s="92"/>
      <c r="N328" s="92"/>
      <c r="O328" s="218">
        <f t="shared" si="94"/>
        <v>0</v>
      </c>
      <c r="P328" s="85">
        <f t="shared" si="90"/>
        <v>0</v>
      </c>
      <c r="Q328" s="85">
        <f t="shared" si="91"/>
        <v>0</v>
      </c>
      <c r="R328" s="193">
        <f t="shared" si="95"/>
        <v>0</v>
      </c>
      <c r="S328" s="410" t="s">
        <v>146</v>
      </c>
      <c r="T328" s="418"/>
    </row>
    <row r="329" spans="1:20" s="86" customFormat="1" ht="29.25" customHeight="1">
      <c r="A329" s="94" t="s">
        <v>15</v>
      </c>
      <c r="B329" s="8"/>
      <c r="C329" s="17" t="s">
        <v>108</v>
      </c>
      <c r="D329" s="136" t="s">
        <v>111</v>
      </c>
      <c r="E329" s="181"/>
      <c r="F329" s="163" t="s">
        <v>147</v>
      </c>
      <c r="G329" s="98">
        <v>38342</v>
      </c>
      <c r="H329" s="95">
        <v>38343</v>
      </c>
      <c r="I329" s="176" t="s">
        <v>135</v>
      </c>
      <c r="J329" s="97">
        <v>55.2</v>
      </c>
      <c r="K329" s="97"/>
      <c r="L329" s="207">
        <f aca="true" t="shared" si="96" ref="L329:L338">SUM(J329:K329)</f>
        <v>55.2</v>
      </c>
      <c r="M329" s="85">
        <f>J329</f>
        <v>55.2</v>
      </c>
      <c r="N329" s="92"/>
      <c r="O329" s="218">
        <f aca="true" t="shared" si="97" ref="O329:O339">SUM(M329:N329)</f>
        <v>55.2</v>
      </c>
      <c r="P329" s="85">
        <f t="shared" si="90"/>
        <v>35.88</v>
      </c>
      <c r="Q329" s="85">
        <f t="shared" si="91"/>
        <v>0</v>
      </c>
      <c r="R329" s="193">
        <f t="shared" si="95"/>
        <v>35.88</v>
      </c>
      <c r="S329" s="410"/>
      <c r="T329" s="405"/>
    </row>
    <row r="330" spans="1:20" s="86" customFormat="1" ht="24" customHeight="1">
      <c r="A330" s="94" t="s">
        <v>15</v>
      </c>
      <c r="B330" s="8"/>
      <c r="C330" s="17" t="s">
        <v>108</v>
      </c>
      <c r="D330" s="135" t="s">
        <v>111</v>
      </c>
      <c r="E330" s="182"/>
      <c r="F330" s="163" t="s">
        <v>147</v>
      </c>
      <c r="G330" s="95">
        <v>38367</v>
      </c>
      <c r="H330" s="95">
        <v>38371</v>
      </c>
      <c r="I330" s="175" t="s">
        <v>136</v>
      </c>
      <c r="J330" s="97">
        <v>119.6</v>
      </c>
      <c r="K330" s="97"/>
      <c r="L330" s="207">
        <f t="shared" si="96"/>
        <v>119.6</v>
      </c>
      <c r="M330" s="85">
        <f>J330</f>
        <v>119.6</v>
      </c>
      <c r="N330" s="92"/>
      <c r="O330" s="218">
        <f t="shared" si="97"/>
        <v>119.6</v>
      </c>
      <c r="P330" s="85">
        <f t="shared" si="90"/>
        <v>77.74</v>
      </c>
      <c r="Q330" s="85">
        <f t="shared" si="91"/>
        <v>0</v>
      </c>
      <c r="R330" s="193">
        <f t="shared" si="95"/>
        <v>77.74</v>
      </c>
      <c r="S330" s="410"/>
      <c r="T330" s="405"/>
    </row>
    <row r="331" spans="1:20" s="86" customFormat="1" ht="24" customHeight="1">
      <c r="A331" s="94" t="s">
        <v>15</v>
      </c>
      <c r="B331" s="8"/>
      <c r="C331" s="17" t="s">
        <v>108</v>
      </c>
      <c r="D331" s="135" t="s">
        <v>111</v>
      </c>
      <c r="E331" s="182"/>
      <c r="F331" s="163" t="s">
        <v>147</v>
      </c>
      <c r="G331" s="95">
        <v>38379</v>
      </c>
      <c r="H331" s="95">
        <v>38380</v>
      </c>
      <c r="I331" s="175" t="s">
        <v>137</v>
      </c>
      <c r="J331" s="97">
        <v>28.75</v>
      </c>
      <c r="K331" s="97"/>
      <c r="L331" s="207">
        <f t="shared" si="96"/>
        <v>28.75</v>
      </c>
      <c r="M331" s="85">
        <f>J331</f>
        <v>28.75</v>
      </c>
      <c r="N331" s="92"/>
      <c r="O331" s="218">
        <f t="shared" si="97"/>
        <v>28.75</v>
      </c>
      <c r="P331" s="85">
        <f t="shared" si="90"/>
        <v>18.6875</v>
      </c>
      <c r="Q331" s="85">
        <f t="shared" si="91"/>
        <v>0</v>
      </c>
      <c r="R331" s="193">
        <f t="shared" si="95"/>
        <v>18.6875</v>
      </c>
      <c r="S331" s="410"/>
      <c r="T331" s="405"/>
    </row>
    <row r="332" spans="1:20" s="86" customFormat="1" ht="24" customHeight="1">
      <c r="A332" s="94" t="s">
        <v>15</v>
      </c>
      <c r="B332" s="8"/>
      <c r="C332" s="17" t="s">
        <v>108</v>
      </c>
      <c r="D332" s="135" t="s">
        <v>111</v>
      </c>
      <c r="E332" s="182"/>
      <c r="F332" s="163" t="s">
        <v>147</v>
      </c>
      <c r="G332" s="95">
        <v>38391</v>
      </c>
      <c r="H332" s="95">
        <v>38393</v>
      </c>
      <c r="I332" s="175" t="s">
        <v>138</v>
      </c>
      <c r="J332" s="97">
        <v>55.2</v>
      </c>
      <c r="K332" s="97"/>
      <c r="L332" s="207">
        <f t="shared" si="96"/>
        <v>55.2</v>
      </c>
      <c r="M332" s="85">
        <f>J332</f>
        <v>55.2</v>
      </c>
      <c r="N332" s="92"/>
      <c r="O332" s="218">
        <f t="shared" si="97"/>
        <v>55.2</v>
      </c>
      <c r="P332" s="85">
        <f t="shared" si="90"/>
        <v>35.88</v>
      </c>
      <c r="Q332" s="85">
        <f t="shared" si="91"/>
        <v>0</v>
      </c>
      <c r="R332" s="193">
        <f t="shared" si="95"/>
        <v>35.88</v>
      </c>
      <c r="S332" s="410"/>
      <c r="T332" s="405"/>
    </row>
    <row r="333" spans="1:20" s="86" customFormat="1" ht="24" customHeight="1">
      <c r="A333" s="94" t="s">
        <v>15</v>
      </c>
      <c r="B333" s="8"/>
      <c r="C333" s="17" t="s">
        <v>108</v>
      </c>
      <c r="D333" s="135" t="s">
        <v>111</v>
      </c>
      <c r="E333" s="182"/>
      <c r="F333" s="163" t="s">
        <v>147</v>
      </c>
      <c r="G333" s="95">
        <v>38398</v>
      </c>
      <c r="H333" s="95">
        <v>38399</v>
      </c>
      <c r="I333" s="175" t="s">
        <v>139</v>
      </c>
      <c r="J333" s="97">
        <v>59.8</v>
      </c>
      <c r="K333" s="97"/>
      <c r="L333" s="207">
        <f t="shared" si="96"/>
        <v>59.8</v>
      </c>
      <c r="M333" s="85">
        <f>J333</f>
        <v>59.8</v>
      </c>
      <c r="N333" s="92"/>
      <c r="O333" s="218">
        <f t="shared" si="97"/>
        <v>59.8</v>
      </c>
      <c r="P333" s="85">
        <f t="shared" si="90"/>
        <v>38.87</v>
      </c>
      <c r="Q333" s="85">
        <f t="shared" si="91"/>
        <v>0</v>
      </c>
      <c r="R333" s="193">
        <f t="shared" si="95"/>
        <v>38.87</v>
      </c>
      <c r="S333" s="410"/>
      <c r="T333" s="405"/>
    </row>
    <row r="334" spans="1:20" s="86" customFormat="1" ht="26.25" customHeight="1">
      <c r="A334" s="94" t="s">
        <v>15</v>
      </c>
      <c r="B334" s="8"/>
      <c r="C334" s="17" t="s">
        <v>108</v>
      </c>
      <c r="D334" s="135" t="s">
        <v>112</v>
      </c>
      <c r="E334" s="182" t="s">
        <v>123</v>
      </c>
      <c r="F334" s="163" t="s">
        <v>147</v>
      </c>
      <c r="G334" s="95">
        <v>38289</v>
      </c>
      <c r="H334" s="95">
        <v>38300</v>
      </c>
      <c r="I334" s="175" t="s">
        <v>140</v>
      </c>
      <c r="J334" s="97">
        <v>206.66</v>
      </c>
      <c r="K334" s="97"/>
      <c r="L334" s="207">
        <f t="shared" si="96"/>
        <v>206.66</v>
      </c>
      <c r="M334" s="104"/>
      <c r="N334" s="92"/>
      <c r="O334" s="218">
        <f t="shared" si="97"/>
        <v>0</v>
      </c>
      <c r="P334" s="85">
        <f t="shared" si="90"/>
        <v>0</v>
      </c>
      <c r="Q334" s="85">
        <f t="shared" si="91"/>
        <v>0</v>
      </c>
      <c r="R334" s="193">
        <f t="shared" si="95"/>
        <v>0</v>
      </c>
      <c r="S334" s="410" t="s">
        <v>130</v>
      </c>
      <c r="T334" s="405"/>
    </row>
    <row r="335" spans="1:20" s="86" customFormat="1" ht="26.25" customHeight="1">
      <c r="A335" s="94" t="s">
        <v>15</v>
      </c>
      <c r="B335" s="8"/>
      <c r="C335" s="17" t="s">
        <v>108</v>
      </c>
      <c r="D335" s="135" t="s">
        <v>112</v>
      </c>
      <c r="E335" s="182" t="s">
        <v>123</v>
      </c>
      <c r="F335" s="163" t="s">
        <v>147</v>
      </c>
      <c r="G335" s="95">
        <v>38315</v>
      </c>
      <c r="H335" s="95">
        <v>38327</v>
      </c>
      <c r="I335" s="175" t="s">
        <v>141</v>
      </c>
      <c r="J335" s="97">
        <v>202.46</v>
      </c>
      <c r="K335" s="97"/>
      <c r="L335" s="207">
        <f t="shared" si="96"/>
        <v>202.46</v>
      </c>
      <c r="M335" s="92"/>
      <c r="N335" s="92"/>
      <c r="O335" s="218">
        <f t="shared" si="97"/>
        <v>0</v>
      </c>
      <c r="P335" s="85">
        <f t="shared" si="90"/>
        <v>0</v>
      </c>
      <c r="Q335" s="85">
        <f t="shared" si="91"/>
        <v>0</v>
      </c>
      <c r="R335" s="193">
        <f t="shared" si="95"/>
        <v>0</v>
      </c>
      <c r="S335" s="410" t="s">
        <v>130</v>
      </c>
      <c r="T335" s="405"/>
    </row>
    <row r="336" spans="1:20" s="86" customFormat="1" ht="26.25" customHeight="1">
      <c r="A336" s="94" t="s">
        <v>15</v>
      </c>
      <c r="B336" s="8"/>
      <c r="C336" s="17" t="s">
        <v>108</v>
      </c>
      <c r="D336" s="135" t="s">
        <v>112</v>
      </c>
      <c r="E336" s="182" t="s">
        <v>123</v>
      </c>
      <c r="F336" s="163" t="s">
        <v>147</v>
      </c>
      <c r="G336" s="95">
        <v>38342</v>
      </c>
      <c r="H336" s="95">
        <v>38343</v>
      </c>
      <c r="I336" s="176" t="s">
        <v>142</v>
      </c>
      <c r="J336" s="97">
        <v>202.46</v>
      </c>
      <c r="K336" s="97"/>
      <c r="L336" s="207">
        <f t="shared" si="96"/>
        <v>202.46</v>
      </c>
      <c r="M336" s="92"/>
      <c r="N336" s="92"/>
      <c r="O336" s="218">
        <f t="shared" si="97"/>
        <v>0</v>
      </c>
      <c r="P336" s="85">
        <f t="shared" si="90"/>
        <v>0</v>
      </c>
      <c r="Q336" s="85">
        <f t="shared" si="91"/>
        <v>0</v>
      </c>
      <c r="R336" s="193">
        <f t="shared" si="95"/>
        <v>0</v>
      </c>
      <c r="S336" s="410" t="s">
        <v>130</v>
      </c>
      <c r="T336" s="405"/>
    </row>
    <row r="337" spans="1:20" s="86" customFormat="1" ht="26.25" customHeight="1">
      <c r="A337" s="94" t="s">
        <v>15</v>
      </c>
      <c r="B337" s="8"/>
      <c r="C337" s="17" t="s">
        <v>108</v>
      </c>
      <c r="D337" s="135" t="s">
        <v>112</v>
      </c>
      <c r="E337" s="182" t="s">
        <v>123</v>
      </c>
      <c r="F337" s="163" t="s">
        <v>147</v>
      </c>
      <c r="G337" s="95">
        <v>38377</v>
      </c>
      <c r="H337" s="95">
        <v>38378</v>
      </c>
      <c r="I337" s="175" t="s">
        <v>143</v>
      </c>
      <c r="J337" s="97">
        <v>236</v>
      </c>
      <c r="K337" s="97"/>
      <c r="L337" s="207">
        <f t="shared" si="96"/>
        <v>236</v>
      </c>
      <c r="M337" s="92"/>
      <c r="N337" s="92"/>
      <c r="O337" s="218">
        <f t="shared" si="97"/>
        <v>0</v>
      </c>
      <c r="P337" s="85">
        <f t="shared" si="90"/>
        <v>0</v>
      </c>
      <c r="Q337" s="85">
        <f t="shared" si="91"/>
        <v>0</v>
      </c>
      <c r="R337" s="193">
        <f t="shared" si="95"/>
        <v>0</v>
      </c>
      <c r="S337" s="410" t="s">
        <v>130</v>
      </c>
      <c r="T337" s="405"/>
    </row>
    <row r="338" spans="1:20" s="86" customFormat="1" ht="30" customHeight="1">
      <c r="A338" s="94" t="s">
        <v>15</v>
      </c>
      <c r="B338" s="8"/>
      <c r="C338" s="17" t="s">
        <v>108</v>
      </c>
      <c r="D338" s="135" t="s">
        <v>113</v>
      </c>
      <c r="E338" s="183" t="s">
        <v>123</v>
      </c>
      <c r="F338" s="163" t="s">
        <v>147</v>
      </c>
      <c r="G338" s="137">
        <v>38391</v>
      </c>
      <c r="H338" s="112">
        <v>38392</v>
      </c>
      <c r="I338" s="175" t="s">
        <v>144</v>
      </c>
      <c r="J338" s="134">
        <v>55.2</v>
      </c>
      <c r="K338" s="99"/>
      <c r="L338" s="207">
        <f t="shared" si="96"/>
        <v>55.2</v>
      </c>
      <c r="M338" s="104">
        <f>J338</f>
        <v>55.2</v>
      </c>
      <c r="N338" s="92"/>
      <c r="O338" s="218">
        <f t="shared" si="97"/>
        <v>55.2</v>
      </c>
      <c r="P338" s="85">
        <f t="shared" si="90"/>
        <v>35.88</v>
      </c>
      <c r="Q338" s="85">
        <f t="shared" si="91"/>
        <v>0</v>
      </c>
      <c r="R338" s="193">
        <f t="shared" si="95"/>
        <v>35.88</v>
      </c>
      <c r="S338" s="410"/>
      <c r="T338" s="405"/>
    </row>
    <row r="339" spans="1:20" s="86" customFormat="1" ht="38.25" customHeight="1">
      <c r="A339" s="52" t="s">
        <v>15</v>
      </c>
      <c r="B339" s="8"/>
      <c r="C339" s="15" t="s">
        <v>131</v>
      </c>
      <c r="D339" s="15"/>
      <c r="E339" s="15"/>
      <c r="F339" s="9"/>
      <c r="G339" s="10"/>
      <c r="H339" s="11"/>
      <c r="I339" s="19"/>
      <c r="J339" s="12">
        <v>1287.52</v>
      </c>
      <c r="K339" s="12"/>
      <c r="L339" s="194">
        <f>SUM(J339:K339)</f>
        <v>1287.52</v>
      </c>
      <c r="M339" s="29">
        <v>0</v>
      </c>
      <c r="N339" s="29"/>
      <c r="O339" s="193">
        <f t="shared" si="97"/>
        <v>0</v>
      </c>
      <c r="P339" s="85">
        <f t="shared" si="90"/>
        <v>0</v>
      </c>
      <c r="Q339" s="85">
        <f t="shared" si="91"/>
        <v>0</v>
      </c>
      <c r="R339" s="193">
        <f t="shared" si="95"/>
        <v>0</v>
      </c>
      <c r="S339" s="417" t="s">
        <v>151</v>
      </c>
      <c r="T339" s="417"/>
    </row>
    <row r="340" spans="1:20" s="86" customFormat="1" ht="56.25">
      <c r="A340" s="52" t="s">
        <v>155</v>
      </c>
      <c r="B340" s="350" t="s">
        <v>394</v>
      </c>
      <c r="C340" s="15" t="s">
        <v>42</v>
      </c>
      <c r="D340" s="235" t="s">
        <v>181</v>
      </c>
      <c r="E340" s="9" t="s">
        <v>182</v>
      </c>
      <c r="F340" s="236" t="s">
        <v>183</v>
      </c>
      <c r="G340" s="11">
        <v>38559</v>
      </c>
      <c r="H340" s="18">
        <v>38747</v>
      </c>
      <c r="I340" s="16" t="s">
        <v>166</v>
      </c>
      <c r="J340" s="286">
        <v>198.17</v>
      </c>
      <c r="K340" s="286">
        <v>39.63</v>
      </c>
      <c r="L340" s="301">
        <v>237.8</v>
      </c>
      <c r="M340" s="286">
        <v>198.17</v>
      </c>
      <c r="N340" s="286">
        <v>39.63</v>
      </c>
      <c r="O340" s="301">
        <f aca="true" t="shared" si="98" ref="O340:O345">M340+N340</f>
        <v>237.79999999999998</v>
      </c>
      <c r="P340" s="85">
        <f aca="true" t="shared" si="99" ref="P340:Q347">+M340*0.65</f>
        <v>128.8105</v>
      </c>
      <c r="Q340" s="85">
        <f t="shared" si="99"/>
        <v>25.759500000000003</v>
      </c>
      <c r="R340" s="193">
        <f aca="true" t="shared" si="100" ref="R340:R347">+Q340+P340</f>
        <v>154.57</v>
      </c>
      <c r="S340" s="410" t="s">
        <v>301</v>
      </c>
      <c r="T340" s="405"/>
    </row>
    <row r="341" spans="1:20" s="86" customFormat="1" ht="56.25">
      <c r="A341" s="52" t="s">
        <v>155</v>
      </c>
      <c r="B341" s="350" t="s">
        <v>394</v>
      </c>
      <c r="C341" s="15" t="s">
        <v>42</v>
      </c>
      <c r="D341" s="235" t="s">
        <v>181</v>
      </c>
      <c r="E341" s="9" t="s">
        <v>182</v>
      </c>
      <c r="F341" s="236" t="s">
        <v>184</v>
      </c>
      <c r="G341" s="11">
        <v>38559</v>
      </c>
      <c r="H341" s="18">
        <v>38651</v>
      </c>
      <c r="I341" s="16" t="s">
        <v>166</v>
      </c>
      <c r="J341" s="286">
        <v>1189</v>
      </c>
      <c r="K341" s="286">
        <v>237.8</v>
      </c>
      <c r="L341" s="301">
        <v>1426.8</v>
      </c>
      <c r="M341" s="286">
        <v>1189</v>
      </c>
      <c r="N341" s="286">
        <v>237.8</v>
      </c>
      <c r="O341" s="301">
        <f t="shared" si="98"/>
        <v>1426.8</v>
      </c>
      <c r="P341" s="85">
        <f t="shared" si="99"/>
        <v>772.85</v>
      </c>
      <c r="Q341" s="85">
        <f t="shared" si="99"/>
        <v>154.57000000000002</v>
      </c>
      <c r="R341" s="193">
        <f t="shared" si="100"/>
        <v>927.4200000000001</v>
      </c>
      <c r="S341" s="150"/>
      <c r="T341" s="151"/>
    </row>
    <row r="342" spans="1:20" s="86" customFormat="1" ht="38.25" customHeight="1">
      <c r="A342" s="52" t="s">
        <v>155</v>
      </c>
      <c r="B342" s="350" t="s">
        <v>394</v>
      </c>
      <c r="C342" s="15" t="s">
        <v>296</v>
      </c>
      <c r="D342" s="235" t="s">
        <v>185</v>
      </c>
      <c r="E342" s="9" t="s">
        <v>182</v>
      </c>
      <c r="F342" s="237">
        <v>22</v>
      </c>
      <c r="G342" s="11">
        <v>38559</v>
      </c>
      <c r="H342" s="18">
        <v>38601</v>
      </c>
      <c r="I342" s="11" t="s">
        <v>186</v>
      </c>
      <c r="J342" s="287">
        <v>1189</v>
      </c>
      <c r="K342" s="286">
        <v>237.8</v>
      </c>
      <c r="L342" s="301">
        <v>1426.8</v>
      </c>
      <c r="M342" s="287">
        <v>1189</v>
      </c>
      <c r="N342" s="286">
        <f>M342*0.2</f>
        <v>237.8</v>
      </c>
      <c r="O342" s="301">
        <f t="shared" si="98"/>
        <v>1426.8</v>
      </c>
      <c r="P342" s="85">
        <f t="shared" si="99"/>
        <v>772.85</v>
      </c>
      <c r="Q342" s="85">
        <f t="shared" si="99"/>
        <v>154.57000000000002</v>
      </c>
      <c r="R342" s="193">
        <f t="shared" si="100"/>
        <v>927.4200000000001</v>
      </c>
      <c r="S342" s="150"/>
      <c r="T342" s="151"/>
    </row>
    <row r="343" spans="1:20" s="86" customFormat="1" ht="38.25" customHeight="1">
      <c r="A343" s="52" t="s">
        <v>155</v>
      </c>
      <c r="B343" s="350" t="s">
        <v>394</v>
      </c>
      <c r="C343" s="15" t="s">
        <v>296</v>
      </c>
      <c r="D343" s="235" t="s">
        <v>185</v>
      </c>
      <c r="E343" s="9" t="s">
        <v>182</v>
      </c>
      <c r="F343" s="9">
        <v>33</v>
      </c>
      <c r="G343" s="11">
        <v>38651</v>
      </c>
      <c r="H343" s="18">
        <v>38665</v>
      </c>
      <c r="I343" s="11" t="s">
        <v>186</v>
      </c>
      <c r="J343" s="287">
        <v>198.17</v>
      </c>
      <c r="K343" s="286">
        <v>39.634</v>
      </c>
      <c r="L343" s="301">
        <v>237.80399999999997</v>
      </c>
      <c r="M343" s="287">
        <v>198.17</v>
      </c>
      <c r="N343" s="286">
        <f>M343*0.2</f>
        <v>39.634</v>
      </c>
      <c r="O343" s="301">
        <f t="shared" si="98"/>
        <v>237.80399999999997</v>
      </c>
      <c r="P343" s="85">
        <f t="shared" si="99"/>
        <v>128.8105</v>
      </c>
      <c r="Q343" s="85">
        <f t="shared" si="99"/>
        <v>25.7621</v>
      </c>
      <c r="R343" s="193">
        <f t="shared" si="100"/>
        <v>154.5726</v>
      </c>
      <c r="S343" s="150"/>
      <c r="T343" s="151"/>
    </row>
    <row r="344" spans="1:20" s="86" customFormat="1" ht="38.25" customHeight="1">
      <c r="A344" s="52" t="s">
        <v>155</v>
      </c>
      <c r="B344" s="350" t="s">
        <v>394</v>
      </c>
      <c r="C344" s="15" t="s">
        <v>178</v>
      </c>
      <c r="D344" s="235" t="s">
        <v>187</v>
      </c>
      <c r="E344" s="9" t="s">
        <v>182</v>
      </c>
      <c r="F344" s="238" t="s">
        <v>188</v>
      </c>
      <c r="G344" s="11">
        <v>38559</v>
      </c>
      <c r="H344" s="18">
        <v>38628</v>
      </c>
      <c r="I344" s="11" t="s">
        <v>186</v>
      </c>
      <c r="J344" s="287">
        <v>1189</v>
      </c>
      <c r="K344" s="286">
        <v>237.8</v>
      </c>
      <c r="L344" s="301">
        <v>1426.8</v>
      </c>
      <c r="M344" s="287">
        <v>1189</v>
      </c>
      <c r="N344" s="286">
        <v>237.8</v>
      </c>
      <c r="O344" s="301">
        <f t="shared" si="98"/>
        <v>1426.8</v>
      </c>
      <c r="P344" s="85">
        <f t="shared" si="99"/>
        <v>772.85</v>
      </c>
      <c r="Q344" s="85">
        <f t="shared" si="99"/>
        <v>154.57000000000002</v>
      </c>
      <c r="R344" s="193">
        <f t="shared" si="100"/>
        <v>927.4200000000001</v>
      </c>
      <c r="S344" s="150"/>
      <c r="T344" s="151"/>
    </row>
    <row r="345" spans="1:20" s="86" customFormat="1" ht="38.25" customHeight="1">
      <c r="A345" s="52" t="s">
        <v>155</v>
      </c>
      <c r="B345" s="350" t="s">
        <v>394</v>
      </c>
      <c r="C345" s="15" t="s">
        <v>66</v>
      </c>
      <c r="D345" s="235" t="s">
        <v>189</v>
      </c>
      <c r="E345" s="9" t="s">
        <v>182</v>
      </c>
      <c r="F345" s="9">
        <v>29</v>
      </c>
      <c r="G345" s="11">
        <v>38559</v>
      </c>
      <c r="H345" s="18">
        <v>38671</v>
      </c>
      <c r="I345" s="11" t="s">
        <v>186</v>
      </c>
      <c r="J345" s="287">
        <v>1189</v>
      </c>
      <c r="K345" s="286">
        <v>237.8</v>
      </c>
      <c r="L345" s="301">
        <v>1426.8</v>
      </c>
      <c r="M345" s="29">
        <v>1189</v>
      </c>
      <c r="N345" s="29"/>
      <c r="O345" s="301">
        <f t="shared" si="98"/>
        <v>1189</v>
      </c>
      <c r="P345" s="85">
        <f t="shared" si="99"/>
        <v>772.85</v>
      </c>
      <c r="Q345" s="85">
        <f t="shared" si="99"/>
        <v>0</v>
      </c>
      <c r="R345" s="193">
        <f t="shared" si="100"/>
        <v>772.85</v>
      </c>
      <c r="S345" s="150"/>
      <c r="T345" s="151"/>
    </row>
    <row r="346" spans="1:20" s="86" customFormat="1" ht="38.25" customHeight="1">
      <c r="A346" s="52" t="s">
        <v>155</v>
      </c>
      <c r="B346" s="350" t="s">
        <v>394</v>
      </c>
      <c r="C346" s="15" t="s">
        <v>64</v>
      </c>
      <c r="D346" s="235" t="s">
        <v>190</v>
      </c>
      <c r="E346" s="9" t="s">
        <v>191</v>
      </c>
      <c r="F346" s="9">
        <v>24</v>
      </c>
      <c r="G346" s="11">
        <v>38559</v>
      </c>
      <c r="H346" s="18">
        <v>38617</v>
      </c>
      <c r="I346" s="11" t="s">
        <v>186</v>
      </c>
      <c r="J346" s="287">
        <v>1189</v>
      </c>
      <c r="K346" s="286">
        <v>237.8</v>
      </c>
      <c r="L346" s="301">
        <v>1426.8</v>
      </c>
      <c r="M346" s="287">
        <v>1189</v>
      </c>
      <c r="N346" s="286">
        <v>237.8</v>
      </c>
      <c r="O346" s="301">
        <v>1426.8</v>
      </c>
      <c r="P346" s="85">
        <f t="shared" si="99"/>
        <v>772.85</v>
      </c>
      <c r="Q346" s="85">
        <f t="shared" si="99"/>
        <v>154.57000000000002</v>
      </c>
      <c r="R346" s="193">
        <f t="shared" si="100"/>
        <v>927.4200000000001</v>
      </c>
      <c r="S346" s="150"/>
      <c r="T346" s="151"/>
    </row>
    <row r="347" spans="1:20" s="86" customFormat="1" ht="38.25" customHeight="1">
      <c r="A347" s="52" t="s">
        <v>155</v>
      </c>
      <c r="B347" s="350" t="s">
        <v>394</v>
      </c>
      <c r="C347" s="15" t="s">
        <v>78</v>
      </c>
      <c r="D347" s="235" t="s">
        <v>192</v>
      </c>
      <c r="E347" s="9" t="s">
        <v>191</v>
      </c>
      <c r="F347" s="239">
        <v>26</v>
      </c>
      <c r="G347" s="240">
        <v>38559</v>
      </c>
      <c r="H347" s="227">
        <v>38569</v>
      </c>
      <c r="I347" s="241" t="s">
        <v>193</v>
      </c>
      <c r="J347" s="287">
        <v>1189</v>
      </c>
      <c r="K347" s="286">
        <v>237.8</v>
      </c>
      <c r="L347" s="301">
        <v>1426.8</v>
      </c>
      <c r="M347" s="287">
        <v>1189</v>
      </c>
      <c r="N347" s="286">
        <v>237.8</v>
      </c>
      <c r="O347" s="301">
        <v>1426.8</v>
      </c>
      <c r="P347" s="85">
        <f t="shared" si="99"/>
        <v>772.85</v>
      </c>
      <c r="Q347" s="85">
        <f t="shared" si="99"/>
        <v>154.57000000000002</v>
      </c>
      <c r="R347" s="193">
        <f t="shared" si="100"/>
        <v>927.4200000000001</v>
      </c>
      <c r="S347" s="150"/>
      <c r="T347" s="151"/>
    </row>
    <row r="348" spans="1:20" s="86" customFormat="1" ht="38.25" customHeight="1">
      <c r="A348" s="52" t="s">
        <v>155</v>
      </c>
      <c r="B348" s="350" t="s">
        <v>394</v>
      </c>
      <c r="C348" s="15" t="s">
        <v>108</v>
      </c>
      <c r="D348" s="235" t="s">
        <v>194</v>
      </c>
      <c r="E348" s="9" t="s">
        <v>191</v>
      </c>
      <c r="F348" s="236" t="s">
        <v>195</v>
      </c>
      <c r="G348" s="10">
        <v>38559</v>
      </c>
      <c r="H348" s="18">
        <v>38621</v>
      </c>
      <c r="I348" s="11" t="s">
        <v>186</v>
      </c>
      <c r="J348" s="288">
        <v>1189</v>
      </c>
      <c r="K348" s="288">
        <v>237.8</v>
      </c>
      <c r="L348" s="301">
        <v>1426.8</v>
      </c>
      <c r="M348" s="288">
        <v>1189</v>
      </c>
      <c r="N348" s="288">
        <v>237.8</v>
      </c>
      <c r="O348" s="301">
        <v>1426.8</v>
      </c>
      <c r="P348" s="85">
        <f aca="true" t="shared" si="101" ref="P348:Q350">+M348*0.65</f>
        <v>772.85</v>
      </c>
      <c r="Q348" s="85">
        <f t="shared" si="101"/>
        <v>154.57000000000002</v>
      </c>
      <c r="R348" s="193">
        <f>+Q348+P348</f>
        <v>927.4200000000001</v>
      </c>
      <c r="S348" s="150"/>
      <c r="T348" s="151"/>
    </row>
    <row r="349" spans="1:20" s="86" customFormat="1" ht="38.25" customHeight="1">
      <c r="A349" s="52" t="s">
        <v>155</v>
      </c>
      <c r="B349" s="8"/>
      <c r="C349" s="15" t="s">
        <v>42</v>
      </c>
      <c r="D349" s="235" t="s">
        <v>196</v>
      </c>
      <c r="E349" s="9" t="s">
        <v>197</v>
      </c>
      <c r="F349" s="236" t="s">
        <v>195</v>
      </c>
      <c r="G349" s="10">
        <v>38408</v>
      </c>
      <c r="H349" s="18">
        <v>38456</v>
      </c>
      <c r="I349" s="16" t="s">
        <v>166</v>
      </c>
      <c r="J349" s="288">
        <v>2700</v>
      </c>
      <c r="K349" s="288">
        <v>540</v>
      </c>
      <c r="L349" s="301">
        <v>3240</v>
      </c>
      <c r="M349" s="288">
        <v>2700</v>
      </c>
      <c r="N349" s="288">
        <v>540</v>
      </c>
      <c r="O349" s="301">
        <v>3240</v>
      </c>
      <c r="P349" s="85">
        <f t="shared" si="101"/>
        <v>1755</v>
      </c>
      <c r="Q349" s="85">
        <f t="shared" si="101"/>
        <v>351</v>
      </c>
      <c r="R349" s="193">
        <f>+Q349+P349</f>
        <v>2106</v>
      </c>
      <c r="S349" s="150"/>
      <c r="T349" s="151"/>
    </row>
    <row r="350" spans="1:20" s="86" customFormat="1" ht="38.25" customHeight="1">
      <c r="A350" s="52" t="s">
        <v>155</v>
      </c>
      <c r="B350" s="8"/>
      <c r="C350" s="15" t="s">
        <v>42</v>
      </c>
      <c r="D350" s="235" t="s">
        <v>198</v>
      </c>
      <c r="E350" s="9" t="s">
        <v>199</v>
      </c>
      <c r="F350" s="236" t="s">
        <v>200</v>
      </c>
      <c r="G350" s="10">
        <v>38531</v>
      </c>
      <c r="H350" s="18">
        <v>38651</v>
      </c>
      <c r="I350" s="16" t="s">
        <v>201</v>
      </c>
      <c r="J350" s="288">
        <v>368</v>
      </c>
      <c r="K350" s="288">
        <v>0</v>
      </c>
      <c r="L350" s="301">
        <v>368</v>
      </c>
      <c r="M350" s="288">
        <v>368</v>
      </c>
      <c r="N350" s="288">
        <v>0</v>
      </c>
      <c r="O350" s="301">
        <v>368</v>
      </c>
      <c r="P350" s="85">
        <f t="shared" si="101"/>
        <v>239.20000000000002</v>
      </c>
      <c r="Q350" s="85">
        <f t="shared" si="101"/>
        <v>0</v>
      </c>
      <c r="R350" s="193">
        <f>+Q350+P350</f>
        <v>239.20000000000002</v>
      </c>
      <c r="S350" s="410" t="s">
        <v>300</v>
      </c>
      <c r="T350" s="405"/>
    </row>
    <row r="351" spans="1:20" s="86" customFormat="1" ht="38.25" customHeight="1">
      <c r="A351" s="52" t="s">
        <v>155</v>
      </c>
      <c r="B351" s="8"/>
      <c r="C351" s="15" t="s">
        <v>42</v>
      </c>
      <c r="D351" s="235" t="s">
        <v>198</v>
      </c>
      <c r="E351" s="15" t="s">
        <v>199</v>
      </c>
      <c r="F351" s="236" t="s">
        <v>202</v>
      </c>
      <c r="G351" s="10">
        <v>38432</v>
      </c>
      <c r="H351" s="18">
        <v>38651</v>
      </c>
      <c r="I351" s="16" t="s">
        <v>203</v>
      </c>
      <c r="J351" s="288">
        <v>320</v>
      </c>
      <c r="K351" s="288">
        <v>0</v>
      </c>
      <c r="L351" s="301">
        <v>320</v>
      </c>
      <c r="M351" s="288">
        <v>320</v>
      </c>
      <c r="N351" s="288">
        <v>0</v>
      </c>
      <c r="O351" s="301">
        <v>320</v>
      </c>
      <c r="P351" s="85">
        <f>+M351*0.65</f>
        <v>208</v>
      </c>
      <c r="Q351" s="85">
        <f>+N351*0.65</f>
        <v>0</v>
      </c>
      <c r="R351" s="193">
        <f>+Q351+P351</f>
        <v>208</v>
      </c>
      <c r="S351" s="150"/>
      <c r="T351" s="151"/>
    </row>
    <row r="352" spans="1:20" s="86" customFormat="1" ht="38.25" customHeight="1">
      <c r="A352" s="52" t="s">
        <v>155</v>
      </c>
      <c r="B352" s="8"/>
      <c r="C352" s="15" t="s">
        <v>78</v>
      </c>
      <c r="D352" s="235" t="s">
        <v>204</v>
      </c>
      <c r="E352" s="9" t="s">
        <v>81</v>
      </c>
      <c r="F352" s="238">
        <v>37</v>
      </c>
      <c r="G352" s="18">
        <v>38440</v>
      </c>
      <c r="H352" s="18">
        <v>38441</v>
      </c>
      <c r="I352" s="126" t="s">
        <v>82</v>
      </c>
      <c r="J352" s="287">
        <v>500</v>
      </c>
      <c r="K352" s="287">
        <v>100</v>
      </c>
      <c r="L352" s="301">
        <v>600</v>
      </c>
      <c r="M352" s="29">
        <f>+O352/1.2</f>
        <v>36.95</v>
      </c>
      <c r="N352" s="29">
        <f>+O352-M352</f>
        <v>7.390000000000001</v>
      </c>
      <c r="O352" s="193">
        <v>44.34</v>
      </c>
      <c r="P352" s="85">
        <f aca="true" t="shared" si="102" ref="P352:P362">+M352*0.65</f>
        <v>24.017500000000002</v>
      </c>
      <c r="Q352" s="85">
        <f aca="true" t="shared" si="103" ref="Q352:Q362">+N352*0.65</f>
        <v>4.8035000000000005</v>
      </c>
      <c r="R352" s="193">
        <f aca="true" t="shared" si="104" ref="R352:R362">SUM(P352:Q352)</f>
        <v>28.821</v>
      </c>
      <c r="S352" s="150"/>
      <c r="T352" s="151"/>
    </row>
    <row r="353" spans="1:20" s="86" customFormat="1" ht="38.25" customHeight="1">
      <c r="A353" s="52" t="s">
        <v>155</v>
      </c>
      <c r="B353" s="8"/>
      <c r="C353" s="15" t="s">
        <v>78</v>
      </c>
      <c r="D353" s="235" t="s">
        <v>205</v>
      </c>
      <c r="E353" s="9" t="s">
        <v>88</v>
      </c>
      <c r="F353" s="238">
        <v>3764</v>
      </c>
      <c r="G353" s="18">
        <v>38411</v>
      </c>
      <c r="H353" s="18">
        <v>38441</v>
      </c>
      <c r="I353" s="126" t="s">
        <v>82</v>
      </c>
      <c r="J353" s="287">
        <v>100</v>
      </c>
      <c r="K353" s="287">
        <v>20</v>
      </c>
      <c r="L353" s="301">
        <v>120</v>
      </c>
      <c r="M353" s="29">
        <f aca="true" t="shared" si="105" ref="M353:M361">+O353/1.2</f>
        <v>9.166666666666668</v>
      </c>
      <c r="N353" s="29">
        <f aca="true" t="shared" si="106" ref="N353:N361">+O353-M353</f>
        <v>1.8333333333333321</v>
      </c>
      <c r="O353" s="193">
        <v>11</v>
      </c>
      <c r="P353" s="85">
        <f t="shared" si="102"/>
        <v>5.958333333333334</v>
      </c>
      <c r="Q353" s="85">
        <f t="shared" si="103"/>
        <v>1.191666666666666</v>
      </c>
      <c r="R353" s="193">
        <f t="shared" si="104"/>
        <v>7.15</v>
      </c>
      <c r="S353" s="150"/>
      <c r="T353" s="151"/>
    </row>
    <row r="354" spans="1:20" s="86" customFormat="1" ht="38.25" customHeight="1">
      <c r="A354" s="52" t="s">
        <v>155</v>
      </c>
      <c r="B354" s="8"/>
      <c r="C354" s="15" t="s">
        <v>78</v>
      </c>
      <c r="D354" s="235" t="s">
        <v>205</v>
      </c>
      <c r="E354" s="9" t="s">
        <v>88</v>
      </c>
      <c r="F354" s="238">
        <v>3641</v>
      </c>
      <c r="G354" s="18">
        <v>38411</v>
      </c>
      <c r="H354" s="18">
        <v>38441</v>
      </c>
      <c r="I354" s="126" t="s">
        <v>82</v>
      </c>
      <c r="J354" s="287">
        <v>500</v>
      </c>
      <c r="K354" s="287">
        <v>100</v>
      </c>
      <c r="L354" s="301">
        <v>600</v>
      </c>
      <c r="M354" s="29">
        <f t="shared" si="105"/>
        <v>45.85</v>
      </c>
      <c r="N354" s="29">
        <f t="shared" si="106"/>
        <v>9.170000000000002</v>
      </c>
      <c r="O354" s="193">
        <v>55.02</v>
      </c>
      <c r="P354" s="85">
        <f t="shared" si="102"/>
        <v>29.802500000000002</v>
      </c>
      <c r="Q354" s="85">
        <f t="shared" si="103"/>
        <v>5.9605000000000015</v>
      </c>
      <c r="R354" s="193">
        <f t="shared" si="104"/>
        <v>35.763000000000005</v>
      </c>
      <c r="S354" s="150"/>
      <c r="T354" s="151"/>
    </row>
    <row r="355" spans="1:20" s="86" customFormat="1" ht="38.25" customHeight="1">
      <c r="A355" s="52" t="s">
        <v>155</v>
      </c>
      <c r="B355" s="8"/>
      <c r="C355" s="15" t="s">
        <v>78</v>
      </c>
      <c r="D355" s="235" t="s">
        <v>206</v>
      </c>
      <c r="E355" s="9" t="s">
        <v>84</v>
      </c>
      <c r="F355" s="238"/>
      <c r="G355" s="18"/>
      <c r="H355" s="18">
        <v>38455</v>
      </c>
      <c r="I355" s="126" t="s">
        <v>85</v>
      </c>
      <c r="J355" s="287"/>
      <c r="K355" s="287"/>
      <c r="L355" s="301">
        <v>2586.49</v>
      </c>
      <c r="M355" s="29">
        <f t="shared" si="105"/>
        <v>159.28333333333333</v>
      </c>
      <c r="N355" s="29">
        <f t="shared" si="106"/>
        <v>31.856666666666655</v>
      </c>
      <c r="O355" s="193">
        <v>191.14</v>
      </c>
      <c r="P355" s="85">
        <f t="shared" si="102"/>
        <v>103.53416666666666</v>
      </c>
      <c r="Q355" s="85">
        <f t="shared" si="103"/>
        <v>20.706833333333325</v>
      </c>
      <c r="R355" s="193">
        <f t="shared" si="104"/>
        <v>124.24099999999999</v>
      </c>
      <c r="S355" s="410" t="s">
        <v>301</v>
      </c>
      <c r="T355" s="405"/>
    </row>
    <row r="356" spans="1:20" s="86" customFormat="1" ht="38.25" customHeight="1">
      <c r="A356" s="52" t="s">
        <v>155</v>
      </c>
      <c r="B356" s="8"/>
      <c r="C356" s="15" t="s">
        <v>78</v>
      </c>
      <c r="D356" s="235" t="s">
        <v>207</v>
      </c>
      <c r="E356" s="15" t="s">
        <v>81</v>
      </c>
      <c r="F356" s="238">
        <v>51</v>
      </c>
      <c r="G356" s="18">
        <v>38469</v>
      </c>
      <c r="H356" s="18">
        <v>38469</v>
      </c>
      <c r="I356" s="126" t="s">
        <v>82</v>
      </c>
      <c r="J356" s="287">
        <v>500</v>
      </c>
      <c r="K356" s="287">
        <v>100</v>
      </c>
      <c r="L356" s="301">
        <v>600</v>
      </c>
      <c r="M356" s="29">
        <f t="shared" si="105"/>
        <v>34.900000000000006</v>
      </c>
      <c r="N356" s="29">
        <f t="shared" si="106"/>
        <v>6.979999999999997</v>
      </c>
      <c r="O356" s="193">
        <v>41.88</v>
      </c>
      <c r="P356" s="85">
        <f t="shared" si="102"/>
        <v>22.685000000000006</v>
      </c>
      <c r="Q356" s="85">
        <f t="shared" si="103"/>
        <v>4.536999999999998</v>
      </c>
      <c r="R356" s="193">
        <f t="shared" si="104"/>
        <v>27.222000000000005</v>
      </c>
      <c r="S356" s="150"/>
      <c r="T356" s="151"/>
    </row>
    <row r="357" spans="1:20" s="86" customFormat="1" ht="38.25" customHeight="1">
      <c r="A357" s="52" t="s">
        <v>155</v>
      </c>
      <c r="B357" s="8"/>
      <c r="C357" s="15" t="s">
        <v>78</v>
      </c>
      <c r="D357" s="235" t="s">
        <v>208</v>
      </c>
      <c r="E357" s="9" t="s">
        <v>88</v>
      </c>
      <c r="F357" s="238">
        <v>6998</v>
      </c>
      <c r="G357" s="18">
        <v>38441</v>
      </c>
      <c r="H357" s="18">
        <v>38482</v>
      </c>
      <c r="I357" s="126" t="s">
        <v>82</v>
      </c>
      <c r="J357" s="287">
        <v>500</v>
      </c>
      <c r="K357" s="287">
        <v>100</v>
      </c>
      <c r="L357" s="301">
        <v>600</v>
      </c>
      <c r="M357" s="29">
        <f t="shared" si="105"/>
        <v>36.95</v>
      </c>
      <c r="N357" s="29">
        <f t="shared" si="106"/>
        <v>7.390000000000001</v>
      </c>
      <c r="O357" s="193">
        <v>44.34</v>
      </c>
      <c r="P357" s="85">
        <f t="shared" si="102"/>
        <v>24.017500000000002</v>
      </c>
      <c r="Q357" s="85">
        <f t="shared" si="103"/>
        <v>4.8035000000000005</v>
      </c>
      <c r="R357" s="193">
        <f t="shared" si="104"/>
        <v>28.821</v>
      </c>
      <c r="S357" s="150"/>
      <c r="T357" s="151"/>
    </row>
    <row r="358" spans="1:20" s="86" customFormat="1" ht="38.25" customHeight="1">
      <c r="A358" s="52" t="s">
        <v>155</v>
      </c>
      <c r="B358" s="8"/>
      <c r="C358" s="15" t="s">
        <v>78</v>
      </c>
      <c r="D358" s="235" t="s">
        <v>208</v>
      </c>
      <c r="E358" s="9" t="s">
        <v>88</v>
      </c>
      <c r="F358" s="238">
        <v>7021</v>
      </c>
      <c r="G358" s="18">
        <v>38441</v>
      </c>
      <c r="H358" s="18">
        <v>38482</v>
      </c>
      <c r="I358" s="126" t="s">
        <v>82</v>
      </c>
      <c r="J358" s="287">
        <v>100</v>
      </c>
      <c r="K358" s="287">
        <v>20</v>
      </c>
      <c r="L358" s="301">
        <v>120</v>
      </c>
      <c r="M358" s="29">
        <f t="shared" si="105"/>
        <v>7.391666666666667</v>
      </c>
      <c r="N358" s="29">
        <f t="shared" si="106"/>
        <v>1.4783333333333326</v>
      </c>
      <c r="O358" s="193">
        <v>8.87</v>
      </c>
      <c r="P358" s="85">
        <f t="shared" si="102"/>
        <v>4.804583333333333</v>
      </c>
      <c r="Q358" s="85">
        <f t="shared" si="103"/>
        <v>0.9609166666666662</v>
      </c>
      <c r="R358" s="193">
        <f t="shared" si="104"/>
        <v>5.765499999999999</v>
      </c>
      <c r="S358" s="150"/>
      <c r="T358" s="151"/>
    </row>
    <row r="359" spans="1:20" s="86" customFormat="1" ht="38.25" customHeight="1">
      <c r="A359" s="52" t="s">
        <v>155</v>
      </c>
      <c r="B359" s="8"/>
      <c r="C359" s="15" t="s">
        <v>78</v>
      </c>
      <c r="D359" s="235" t="s">
        <v>209</v>
      </c>
      <c r="E359" s="9" t="s">
        <v>84</v>
      </c>
      <c r="F359" s="238"/>
      <c r="G359" s="18"/>
      <c r="H359" s="18">
        <v>38488</v>
      </c>
      <c r="I359" s="126" t="s">
        <v>85</v>
      </c>
      <c r="J359" s="287"/>
      <c r="K359" s="287"/>
      <c r="L359" s="301">
        <v>1311.22</v>
      </c>
      <c r="M359" s="29">
        <f t="shared" si="105"/>
        <v>76.26666666666667</v>
      </c>
      <c r="N359" s="29">
        <f t="shared" si="106"/>
        <v>15.25333333333333</v>
      </c>
      <c r="O359" s="193">
        <v>91.52</v>
      </c>
      <c r="P359" s="85">
        <f t="shared" si="102"/>
        <v>49.57333333333334</v>
      </c>
      <c r="Q359" s="85">
        <f t="shared" si="103"/>
        <v>9.914666666666665</v>
      </c>
      <c r="R359" s="193">
        <f t="shared" si="104"/>
        <v>59.488</v>
      </c>
      <c r="S359" s="410" t="s">
        <v>301</v>
      </c>
      <c r="T359" s="405"/>
    </row>
    <row r="360" spans="1:20" s="86" customFormat="1" ht="38.25" customHeight="1">
      <c r="A360" s="52" t="s">
        <v>155</v>
      </c>
      <c r="B360" s="8"/>
      <c r="C360" s="15" t="s">
        <v>78</v>
      </c>
      <c r="D360" s="235" t="s">
        <v>210</v>
      </c>
      <c r="E360" s="9" t="s">
        <v>91</v>
      </c>
      <c r="F360" s="238" t="s">
        <v>211</v>
      </c>
      <c r="G360" s="18"/>
      <c r="H360" s="18">
        <v>38488</v>
      </c>
      <c r="I360" s="126" t="s">
        <v>85</v>
      </c>
      <c r="J360" s="287"/>
      <c r="K360" s="287"/>
      <c r="L360" s="301">
        <v>621.5</v>
      </c>
      <c r="M360" s="29">
        <f t="shared" si="105"/>
        <v>74.42500000000001</v>
      </c>
      <c r="N360" s="29">
        <f t="shared" si="106"/>
        <v>14.884999999999991</v>
      </c>
      <c r="O360" s="193">
        <v>89.31</v>
      </c>
      <c r="P360" s="85">
        <f t="shared" si="102"/>
        <v>48.376250000000006</v>
      </c>
      <c r="Q360" s="85">
        <f t="shared" si="103"/>
        <v>9.675249999999995</v>
      </c>
      <c r="R360" s="193">
        <f t="shared" si="104"/>
        <v>58.051500000000004</v>
      </c>
      <c r="S360" s="410" t="s">
        <v>301</v>
      </c>
      <c r="T360" s="405"/>
    </row>
    <row r="361" spans="1:20" s="86" customFormat="1" ht="38.25" customHeight="1">
      <c r="A361" s="52" t="s">
        <v>155</v>
      </c>
      <c r="B361" s="8"/>
      <c r="C361" s="15" t="s">
        <v>78</v>
      </c>
      <c r="D361" s="235" t="s">
        <v>210</v>
      </c>
      <c r="E361" s="9" t="s">
        <v>91</v>
      </c>
      <c r="F361" s="238" t="s">
        <v>212</v>
      </c>
      <c r="G361" s="18"/>
      <c r="H361" s="18">
        <v>38488</v>
      </c>
      <c r="I361" s="126" t="s">
        <v>85</v>
      </c>
      <c r="J361" s="287"/>
      <c r="K361" s="287"/>
      <c r="L361" s="301">
        <v>278.5</v>
      </c>
      <c r="M361" s="29">
        <f t="shared" si="105"/>
        <v>33.35</v>
      </c>
      <c r="N361" s="29">
        <f t="shared" si="106"/>
        <v>6.670000000000002</v>
      </c>
      <c r="O361" s="193">
        <v>40.02</v>
      </c>
      <c r="P361" s="85">
        <f t="shared" si="102"/>
        <v>21.677500000000002</v>
      </c>
      <c r="Q361" s="85">
        <f t="shared" si="103"/>
        <v>4.3355000000000015</v>
      </c>
      <c r="R361" s="193">
        <f t="shared" si="104"/>
        <v>26.013000000000005</v>
      </c>
      <c r="S361" s="410" t="s">
        <v>301</v>
      </c>
      <c r="T361" s="405"/>
    </row>
    <row r="362" spans="1:20" s="86" customFormat="1" ht="38.25" customHeight="1">
      <c r="A362" s="52" t="s">
        <v>155</v>
      </c>
      <c r="B362" s="8"/>
      <c r="C362" s="15" t="s">
        <v>78</v>
      </c>
      <c r="D362" s="235" t="s">
        <v>213</v>
      </c>
      <c r="E362" s="9" t="s">
        <v>214</v>
      </c>
      <c r="F362" s="238">
        <v>149</v>
      </c>
      <c r="G362" s="18">
        <v>38478</v>
      </c>
      <c r="H362" s="18">
        <v>38490</v>
      </c>
      <c r="I362" s="126" t="s">
        <v>82</v>
      </c>
      <c r="J362" s="287">
        <v>581.82</v>
      </c>
      <c r="K362" s="287">
        <v>58.18</v>
      </c>
      <c r="L362" s="301">
        <v>640</v>
      </c>
      <c r="M362" s="287">
        <v>581.82</v>
      </c>
      <c r="N362" s="287">
        <v>58.18</v>
      </c>
      <c r="O362" s="301">
        <v>640</v>
      </c>
      <c r="P362" s="85">
        <f t="shared" si="102"/>
        <v>378.18300000000005</v>
      </c>
      <c r="Q362" s="85">
        <f t="shared" si="103"/>
        <v>37.817</v>
      </c>
      <c r="R362" s="193">
        <f t="shared" si="104"/>
        <v>416.00000000000006</v>
      </c>
      <c r="S362" s="410" t="s">
        <v>301</v>
      </c>
      <c r="T362" s="405"/>
    </row>
    <row r="363" spans="1:20" s="86" customFormat="1" ht="38.25" customHeight="1">
      <c r="A363" s="52" t="s">
        <v>155</v>
      </c>
      <c r="B363" s="8"/>
      <c r="C363" s="15" t="s">
        <v>78</v>
      </c>
      <c r="D363" s="235" t="s">
        <v>215</v>
      </c>
      <c r="E363" s="9" t="s">
        <v>216</v>
      </c>
      <c r="F363" s="238">
        <v>478</v>
      </c>
      <c r="G363" s="18">
        <v>38485</v>
      </c>
      <c r="H363" s="18">
        <v>38497</v>
      </c>
      <c r="I363" s="126" t="s">
        <v>85</v>
      </c>
      <c r="J363" s="287">
        <v>266.67</v>
      </c>
      <c r="K363" s="287">
        <v>53.33</v>
      </c>
      <c r="L363" s="301">
        <v>320</v>
      </c>
      <c r="M363" s="287">
        <v>266.67</v>
      </c>
      <c r="N363" s="287">
        <v>53.33</v>
      </c>
      <c r="O363" s="301">
        <v>320</v>
      </c>
      <c r="P363" s="85">
        <f aca="true" t="shared" si="107" ref="P363:P370">+M363*0.65</f>
        <v>173.33550000000002</v>
      </c>
      <c r="Q363" s="85">
        <f aca="true" t="shared" si="108" ref="Q363:Q370">+N363*0.65</f>
        <v>34.6645</v>
      </c>
      <c r="R363" s="193">
        <f aca="true" t="shared" si="109" ref="R363:R370">SUM(P363:Q363)</f>
        <v>208.00000000000003</v>
      </c>
      <c r="S363" s="150"/>
      <c r="T363" s="151"/>
    </row>
    <row r="364" spans="1:20" s="86" customFormat="1" ht="38.25" customHeight="1">
      <c r="A364" s="52" t="s">
        <v>155</v>
      </c>
      <c r="B364" s="8"/>
      <c r="C364" s="15" t="s">
        <v>78</v>
      </c>
      <c r="D364" s="235" t="s">
        <v>217</v>
      </c>
      <c r="E364" s="9" t="s">
        <v>81</v>
      </c>
      <c r="F364" s="238">
        <v>55</v>
      </c>
      <c r="G364" s="18">
        <v>38499</v>
      </c>
      <c r="H364" s="18">
        <v>38497</v>
      </c>
      <c r="I364" s="126" t="s">
        <v>82</v>
      </c>
      <c r="J364" s="287">
        <v>500</v>
      </c>
      <c r="K364" s="287">
        <v>100</v>
      </c>
      <c r="L364" s="301">
        <v>600</v>
      </c>
      <c r="M364" s="29">
        <f>+O364/1.2</f>
        <v>57.550000000000004</v>
      </c>
      <c r="N364" s="29">
        <f>+O364-M364</f>
        <v>11.509999999999998</v>
      </c>
      <c r="O364" s="193">
        <v>69.06</v>
      </c>
      <c r="P364" s="85">
        <f t="shared" si="107"/>
        <v>37.407500000000006</v>
      </c>
      <c r="Q364" s="85">
        <f t="shared" si="108"/>
        <v>7.481499999999999</v>
      </c>
      <c r="R364" s="193">
        <f t="shared" si="109"/>
        <v>44.889</v>
      </c>
      <c r="S364" s="150"/>
      <c r="T364" s="151"/>
    </row>
    <row r="365" spans="1:20" s="86" customFormat="1" ht="38.25" customHeight="1">
      <c r="A365" s="52" t="s">
        <v>155</v>
      </c>
      <c r="B365" s="8"/>
      <c r="C365" s="15" t="s">
        <v>78</v>
      </c>
      <c r="D365" s="235" t="s">
        <v>218</v>
      </c>
      <c r="E365" s="9" t="s">
        <v>98</v>
      </c>
      <c r="F365" s="238"/>
      <c r="G365" s="18"/>
      <c r="H365" s="18">
        <v>38498</v>
      </c>
      <c r="I365" s="126" t="s">
        <v>219</v>
      </c>
      <c r="J365" s="287"/>
      <c r="K365" s="287"/>
      <c r="L365" s="301">
        <v>999.57</v>
      </c>
      <c r="M365" s="29">
        <f>+O365/1.2</f>
        <v>171.84166666666667</v>
      </c>
      <c r="N365" s="29">
        <f>+O365-M365</f>
        <v>34.36833333333334</v>
      </c>
      <c r="O365" s="193">
        <v>206.21</v>
      </c>
      <c r="P365" s="85">
        <f t="shared" si="107"/>
        <v>111.69708333333334</v>
      </c>
      <c r="Q365" s="85">
        <f t="shared" si="108"/>
        <v>22.339416666666672</v>
      </c>
      <c r="R365" s="193">
        <f t="shared" si="109"/>
        <v>134.03650000000002</v>
      </c>
      <c r="S365" s="150"/>
      <c r="T365" s="151"/>
    </row>
    <row r="366" spans="1:20" s="86" customFormat="1" ht="38.25" customHeight="1">
      <c r="A366" s="52" t="s">
        <v>155</v>
      </c>
      <c r="B366" s="8"/>
      <c r="C366" s="15" t="s">
        <v>78</v>
      </c>
      <c r="D366" s="235" t="s">
        <v>220</v>
      </c>
      <c r="E366" s="9" t="s">
        <v>88</v>
      </c>
      <c r="F366" s="242">
        <v>10220</v>
      </c>
      <c r="G366" s="18">
        <v>38471</v>
      </c>
      <c r="H366" s="18">
        <v>38510</v>
      </c>
      <c r="I366" s="126" t="s">
        <v>82</v>
      </c>
      <c r="J366" s="287">
        <v>500</v>
      </c>
      <c r="K366" s="287">
        <v>100</v>
      </c>
      <c r="L366" s="301">
        <v>600</v>
      </c>
      <c r="M366" s="29">
        <f aca="true" t="shared" si="110" ref="M366:M380">+O366/1.2</f>
        <v>34.900000000000006</v>
      </c>
      <c r="N366" s="29">
        <f aca="true" t="shared" si="111" ref="N366:N380">+O366-M366</f>
        <v>6.979999999999997</v>
      </c>
      <c r="O366" s="193">
        <v>41.88</v>
      </c>
      <c r="P366" s="85">
        <f t="shared" si="107"/>
        <v>22.685000000000006</v>
      </c>
      <c r="Q366" s="85">
        <f t="shared" si="108"/>
        <v>4.536999999999998</v>
      </c>
      <c r="R366" s="193">
        <f t="shared" si="109"/>
        <v>27.222000000000005</v>
      </c>
      <c r="S366" s="150"/>
      <c r="T366" s="151"/>
    </row>
    <row r="367" spans="1:20" s="86" customFormat="1" ht="38.25" customHeight="1">
      <c r="A367" s="52" t="s">
        <v>155</v>
      </c>
      <c r="B367" s="8"/>
      <c r="C367" s="15" t="s">
        <v>78</v>
      </c>
      <c r="D367" s="235" t="s">
        <v>220</v>
      </c>
      <c r="E367" s="9" t="s">
        <v>88</v>
      </c>
      <c r="F367" s="242">
        <v>10373</v>
      </c>
      <c r="G367" s="18">
        <v>38471</v>
      </c>
      <c r="H367" s="18">
        <v>38510</v>
      </c>
      <c r="I367" s="126" t="s">
        <v>82</v>
      </c>
      <c r="J367" s="287">
        <v>100</v>
      </c>
      <c r="K367" s="287">
        <v>20</v>
      </c>
      <c r="L367" s="301">
        <v>120</v>
      </c>
      <c r="M367" s="29">
        <f t="shared" si="110"/>
        <v>6.983333333333334</v>
      </c>
      <c r="N367" s="29">
        <f t="shared" si="111"/>
        <v>1.3966666666666665</v>
      </c>
      <c r="O367" s="193">
        <v>8.38</v>
      </c>
      <c r="P367" s="85">
        <f t="shared" si="107"/>
        <v>4.5391666666666675</v>
      </c>
      <c r="Q367" s="85">
        <f t="shared" si="108"/>
        <v>0.9078333333333333</v>
      </c>
      <c r="R367" s="193">
        <f t="shared" si="109"/>
        <v>5.447000000000001</v>
      </c>
      <c r="S367" s="150"/>
      <c r="T367" s="151"/>
    </row>
    <row r="368" spans="1:20" s="86" customFormat="1" ht="38.25" customHeight="1">
      <c r="A368" s="52" t="s">
        <v>155</v>
      </c>
      <c r="B368" s="8"/>
      <c r="C368" s="15" t="s">
        <v>78</v>
      </c>
      <c r="D368" s="235" t="s">
        <v>221</v>
      </c>
      <c r="E368" s="9" t="s">
        <v>91</v>
      </c>
      <c r="F368" s="238" t="s">
        <v>222</v>
      </c>
      <c r="G368" s="18"/>
      <c r="H368" s="18">
        <v>38518</v>
      </c>
      <c r="I368" s="126" t="s">
        <v>85</v>
      </c>
      <c r="J368" s="287"/>
      <c r="K368" s="287"/>
      <c r="L368" s="301">
        <v>324</v>
      </c>
      <c r="M368" s="29">
        <f t="shared" si="110"/>
        <v>54.375</v>
      </c>
      <c r="N368" s="29">
        <f t="shared" si="111"/>
        <v>10.875</v>
      </c>
      <c r="O368" s="193">
        <v>65.25</v>
      </c>
      <c r="P368" s="85">
        <f t="shared" si="107"/>
        <v>35.34375</v>
      </c>
      <c r="Q368" s="85">
        <f t="shared" si="108"/>
        <v>7.0687500000000005</v>
      </c>
      <c r="R368" s="193">
        <f t="shared" si="109"/>
        <v>42.4125</v>
      </c>
      <c r="S368" s="410" t="s">
        <v>301</v>
      </c>
      <c r="T368" s="405"/>
    </row>
    <row r="369" spans="1:20" s="86" customFormat="1" ht="38.25" customHeight="1">
      <c r="A369" s="52" t="s">
        <v>155</v>
      </c>
      <c r="B369" s="8"/>
      <c r="C369" s="15" t="s">
        <v>78</v>
      </c>
      <c r="D369" s="235" t="s">
        <v>221</v>
      </c>
      <c r="E369" s="9" t="s">
        <v>91</v>
      </c>
      <c r="F369" s="238" t="s">
        <v>223</v>
      </c>
      <c r="G369" s="18"/>
      <c r="H369" s="18">
        <v>38518</v>
      </c>
      <c r="I369" s="126" t="s">
        <v>85</v>
      </c>
      <c r="J369" s="287"/>
      <c r="K369" s="287"/>
      <c r="L369" s="301">
        <v>163</v>
      </c>
      <c r="M369" s="29">
        <f t="shared" si="110"/>
        <v>27.358333333333334</v>
      </c>
      <c r="N369" s="29">
        <f t="shared" si="111"/>
        <v>5.471666666666664</v>
      </c>
      <c r="O369" s="193">
        <v>32.83</v>
      </c>
      <c r="P369" s="85">
        <f t="shared" si="107"/>
        <v>17.78291666666667</v>
      </c>
      <c r="Q369" s="85">
        <f t="shared" si="108"/>
        <v>3.556583333333332</v>
      </c>
      <c r="R369" s="193">
        <f t="shared" si="109"/>
        <v>21.3395</v>
      </c>
      <c r="S369" s="410" t="s">
        <v>301</v>
      </c>
      <c r="T369" s="405"/>
    </row>
    <row r="370" spans="1:20" s="86" customFormat="1" ht="38.25" customHeight="1">
      <c r="A370" s="52" t="s">
        <v>155</v>
      </c>
      <c r="B370" s="8"/>
      <c r="C370" s="15" t="s">
        <v>78</v>
      </c>
      <c r="D370" s="235" t="s">
        <v>224</v>
      </c>
      <c r="E370" s="9" t="s">
        <v>84</v>
      </c>
      <c r="F370" s="238"/>
      <c r="G370" s="18"/>
      <c r="H370" s="18">
        <v>38525</v>
      </c>
      <c r="I370" s="126" t="s">
        <v>85</v>
      </c>
      <c r="J370" s="287"/>
      <c r="K370" s="287"/>
      <c r="L370" s="301">
        <v>139.18</v>
      </c>
      <c r="M370" s="29">
        <f t="shared" si="110"/>
        <v>13.35</v>
      </c>
      <c r="N370" s="29">
        <f t="shared" si="111"/>
        <v>2.67</v>
      </c>
      <c r="O370" s="193">
        <v>16.02</v>
      </c>
      <c r="P370" s="85">
        <f t="shared" si="107"/>
        <v>8.6775</v>
      </c>
      <c r="Q370" s="85">
        <f t="shared" si="108"/>
        <v>1.7355</v>
      </c>
      <c r="R370" s="193">
        <f t="shared" si="109"/>
        <v>10.413</v>
      </c>
      <c r="S370" s="410" t="s">
        <v>301</v>
      </c>
      <c r="T370" s="405"/>
    </row>
    <row r="371" spans="1:20" s="86" customFormat="1" ht="38.25" customHeight="1">
      <c r="A371" s="52" t="s">
        <v>155</v>
      </c>
      <c r="B371" s="8"/>
      <c r="C371" s="15" t="s">
        <v>78</v>
      </c>
      <c r="D371" s="235" t="s">
        <v>225</v>
      </c>
      <c r="E371" s="9" t="s">
        <v>88</v>
      </c>
      <c r="F371" s="238">
        <v>13634</v>
      </c>
      <c r="G371" s="18">
        <v>38503</v>
      </c>
      <c r="H371" s="18">
        <v>38527</v>
      </c>
      <c r="I371" s="126" t="s">
        <v>82</v>
      </c>
      <c r="J371" s="287">
        <v>500</v>
      </c>
      <c r="K371" s="287">
        <v>100</v>
      </c>
      <c r="L371" s="301">
        <v>600</v>
      </c>
      <c r="M371" s="29">
        <f t="shared" si="110"/>
        <v>57.550000000000004</v>
      </c>
      <c r="N371" s="29">
        <f t="shared" si="111"/>
        <v>11.509999999999998</v>
      </c>
      <c r="O371" s="193">
        <v>69.06</v>
      </c>
      <c r="P371" s="85">
        <f aca="true" t="shared" si="112" ref="P371:P412">+M371*0.65</f>
        <v>37.407500000000006</v>
      </c>
      <c r="Q371" s="85">
        <f aca="true" t="shared" si="113" ref="Q371:Q412">+N371*0.65</f>
        <v>7.481499999999999</v>
      </c>
      <c r="R371" s="193">
        <f aca="true" t="shared" si="114" ref="R371:R412">SUM(P371:Q371)</f>
        <v>44.889</v>
      </c>
      <c r="S371" s="150"/>
      <c r="T371" s="151"/>
    </row>
    <row r="372" spans="1:20" s="86" customFormat="1" ht="38.25" customHeight="1">
      <c r="A372" s="52" t="s">
        <v>155</v>
      </c>
      <c r="B372" s="8"/>
      <c r="C372" s="15" t="s">
        <v>78</v>
      </c>
      <c r="D372" s="235" t="s">
        <v>226</v>
      </c>
      <c r="E372" s="9" t="s">
        <v>81</v>
      </c>
      <c r="F372" s="238">
        <v>87</v>
      </c>
      <c r="G372" s="18">
        <v>38527</v>
      </c>
      <c r="H372" s="18">
        <v>38527</v>
      </c>
      <c r="I372" s="126" t="s">
        <v>82</v>
      </c>
      <c r="J372" s="287">
        <v>500</v>
      </c>
      <c r="K372" s="287">
        <v>100</v>
      </c>
      <c r="L372" s="301">
        <v>600</v>
      </c>
      <c r="M372" s="29">
        <f t="shared" si="110"/>
        <v>43.150000000000006</v>
      </c>
      <c r="N372" s="29">
        <f t="shared" si="111"/>
        <v>8.629999999999995</v>
      </c>
      <c r="O372" s="193">
        <v>51.78</v>
      </c>
      <c r="P372" s="85">
        <f t="shared" si="112"/>
        <v>28.047500000000003</v>
      </c>
      <c r="Q372" s="85">
        <f t="shared" si="113"/>
        <v>5.609499999999997</v>
      </c>
      <c r="R372" s="193">
        <f t="shared" si="114"/>
        <v>33.657</v>
      </c>
      <c r="S372" s="150"/>
      <c r="T372" s="151"/>
    </row>
    <row r="373" spans="1:20" s="86" customFormat="1" ht="38.25" customHeight="1">
      <c r="A373" s="52" t="s">
        <v>155</v>
      </c>
      <c r="B373" s="8"/>
      <c r="C373" s="15" t="s">
        <v>78</v>
      </c>
      <c r="D373" s="235" t="s">
        <v>225</v>
      </c>
      <c r="E373" s="9" t="s">
        <v>88</v>
      </c>
      <c r="F373" s="238">
        <v>13755</v>
      </c>
      <c r="G373" s="18"/>
      <c r="H373" s="18">
        <v>38527</v>
      </c>
      <c r="I373" s="126" t="s">
        <v>82</v>
      </c>
      <c r="J373" s="287">
        <v>100</v>
      </c>
      <c r="K373" s="287">
        <v>20</v>
      </c>
      <c r="L373" s="301">
        <v>120</v>
      </c>
      <c r="M373" s="29">
        <f t="shared" si="110"/>
        <v>11.508333333333335</v>
      </c>
      <c r="N373" s="29">
        <f t="shared" si="111"/>
        <v>2.301666666666666</v>
      </c>
      <c r="O373" s="193">
        <v>13.81</v>
      </c>
      <c r="P373" s="85">
        <f t="shared" si="112"/>
        <v>7.480416666666668</v>
      </c>
      <c r="Q373" s="85">
        <f t="shared" si="113"/>
        <v>1.4960833333333328</v>
      </c>
      <c r="R373" s="193">
        <f t="shared" si="114"/>
        <v>8.9765</v>
      </c>
      <c r="S373" s="150"/>
      <c r="T373" s="151"/>
    </row>
    <row r="374" spans="1:20" s="86" customFormat="1" ht="38.25" customHeight="1">
      <c r="A374" s="52" t="s">
        <v>155</v>
      </c>
      <c r="B374" s="8"/>
      <c r="C374" s="15" t="s">
        <v>78</v>
      </c>
      <c r="D374" s="235" t="s">
        <v>227</v>
      </c>
      <c r="E374" s="9" t="s">
        <v>228</v>
      </c>
      <c r="F374" s="243" t="s">
        <v>297</v>
      </c>
      <c r="G374" s="18"/>
      <c r="H374" s="18">
        <v>38534</v>
      </c>
      <c r="I374" s="126" t="s">
        <v>85</v>
      </c>
      <c r="J374" s="287"/>
      <c r="K374" s="287"/>
      <c r="L374" s="301">
        <v>1007</v>
      </c>
      <c r="M374" s="29">
        <f t="shared" si="110"/>
        <v>120.59166666666668</v>
      </c>
      <c r="N374" s="29">
        <f t="shared" si="111"/>
        <v>24.118333333333325</v>
      </c>
      <c r="O374" s="193">
        <v>144.71</v>
      </c>
      <c r="P374" s="85">
        <f t="shared" si="112"/>
        <v>78.38458333333335</v>
      </c>
      <c r="Q374" s="85">
        <f t="shared" si="113"/>
        <v>15.676916666666662</v>
      </c>
      <c r="R374" s="193">
        <f t="shared" si="114"/>
        <v>94.06150000000001</v>
      </c>
      <c r="S374" s="410" t="s">
        <v>301</v>
      </c>
      <c r="T374" s="405"/>
    </row>
    <row r="375" spans="1:20" s="86" customFormat="1" ht="38.25" customHeight="1">
      <c r="A375" s="52" t="s">
        <v>155</v>
      </c>
      <c r="B375" s="8"/>
      <c r="C375" s="15" t="s">
        <v>78</v>
      </c>
      <c r="D375" s="235" t="s">
        <v>229</v>
      </c>
      <c r="E375" s="9" t="s">
        <v>84</v>
      </c>
      <c r="F375" s="238"/>
      <c r="G375" s="18"/>
      <c r="H375" s="18">
        <v>38556</v>
      </c>
      <c r="I375" s="126" t="s">
        <v>85</v>
      </c>
      <c r="J375" s="287"/>
      <c r="K375" s="287"/>
      <c r="L375" s="301">
        <v>2534.51</v>
      </c>
      <c r="M375" s="29">
        <f t="shared" si="110"/>
        <v>182.275</v>
      </c>
      <c r="N375" s="29">
        <f t="shared" si="111"/>
        <v>36.454999999999984</v>
      </c>
      <c r="O375" s="193">
        <v>218.73</v>
      </c>
      <c r="P375" s="85">
        <f t="shared" si="112"/>
        <v>118.47875</v>
      </c>
      <c r="Q375" s="85">
        <f t="shared" si="113"/>
        <v>23.69574999999999</v>
      </c>
      <c r="R375" s="193">
        <f t="shared" si="114"/>
        <v>142.1745</v>
      </c>
      <c r="S375" s="150"/>
      <c r="T375" s="151"/>
    </row>
    <row r="376" spans="1:20" s="86" customFormat="1" ht="38.25" customHeight="1">
      <c r="A376" s="52" t="s">
        <v>155</v>
      </c>
      <c r="B376" s="8"/>
      <c r="C376" s="15" t="s">
        <v>78</v>
      </c>
      <c r="D376" s="235" t="s">
        <v>230</v>
      </c>
      <c r="E376" s="9" t="s">
        <v>88</v>
      </c>
      <c r="F376" s="238">
        <v>16883</v>
      </c>
      <c r="G376" s="18">
        <v>38532</v>
      </c>
      <c r="H376" s="18">
        <v>38593</v>
      </c>
      <c r="I376" s="126" t="s">
        <v>82</v>
      </c>
      <c r="J376" s="287">
        <v>500</v>
      </c>
      <c r="K376" s="287">
        <v>100</v>
      </c>
      <c r="L376" s="301">
        <v>600</v>
      </c>
      <c r="M376" s="29">
        <f t="shared" si="110"/>
        <v>43.150000000000006</v>
      </c>
      <c r="N376" s="29">
        <f t="shared" si="111"/>
        <v>8.629999999999995</v>
      </c>
      <c r="O376" s="193">
        <v>51.78</v>
      </c>
      <c r="P376" s="85">
        <f t="shared" si="112"/>
        <v>28.047500000000003</v>
      </c>
      <c r="Q376" s="85">
        <f t="shared" si="113"/>
        <v>5.609499999999997</v>
      </c>
      <c r="R376" s="193">
        <f t="shared" si="114"/>
        <v>33.657</v>
      </c>
      <c r="S376" s="150"/>
      <c r="T376" s="151"/>
    </row>
    <row r="377" spans="1:20" s="86" customFormat="1" ht="38.25" customHeight="1">
      <c r="A377" s="52" t="s">
        <v>155</v>
      </c>
      <c r="B377" s="8"/>
      <c r="C377" s="15" t="s">
        <v>78</v>
      </c>
      <c r="D377" s="235" t="s">
        <v>230</v>
      </c>
      <c r="E377" s="9" t="s">
        <v>88</v>
      </c>
      <c r="F377" s="238">
        <v>16998</v>
      </c>
      <c r="G377" s="18">
        <v>38532</v>
      </c>
      <c r="H377" s="18">
        <v>38593</v>
      </c>
      <c r="I377" s="126" t="s">
        <v>82</v>
      </c>
      <c r="J377" s="287">
        <v>100</v>
      </c>
      <c r="K377" s="287">
        <v>20</v>
      </c>
      <c r="L377" s="301">
        <v>120</v>
      </c>
      <c r="M377" s="29">
        <f t="shared" si="110"/>
        <v>8.633333333333333</v>
      </c>
      <c r="N377" s="29">
        <f t="shared" si="111"/>
        <v>1.7266666666666666</v>
      </c>
      <c r="O377" s="193">
        <v>10.36</v>
      </c>
      <c r="P377" s="85">
        <f t="shared" si="112"/>
        <v>5.611666666666666</v>
      </c>
      <c r="Q377" s="85">
        <f t="shared" si="113"/>
        <v>1.1223333333333334</v>
      </c>
      <c r="R377" s="193">
        <f t="shared" si="114"/>
        <v>6.734</v>
      </c>
      <c r="S377" s="150"/>
      <c r="T377" s="151"/>
    </row>
    <row r="378" spans="1:20" s="86" customFormat="1" ht="38.25" customHeight="1">
      <c r="A378" s="52" t="s">
        <v>155</v>
      </c>
      <c r="B378" s="8"/>
      <c r="C378" s="15" t="s">
        <v>78</v>
      </c>
      <c r="D378" s="235" t="s">
        <v>231</v>
      </c>
      <c r="E378" s="9" t="s">
        <v>88</v>
      </c>
      <c r="F378" s="238">
        <v>20146</v>
      </c>
      <c r="G378" s="18">
        <v>38562</v>
      </c>
      <c r="H378" s="18">
        <v>38593</v>
      </c>
      <c r="I378" s="126" t="s">
        <v>82</v>
      </c>
      <c r="J378" s="287">
        <v>500</v>
      </c>
      <c r="K378" s="287">
        <v>100</v>
      </c>
      <c r="L378" s="301">
        <v>600</v>
      </c>
      <c r="M378" s="29">
        <f t="shared" si="110"/>
        <v>34.25</v>
      </c>
      <c r="N378" s="29">
        <f t="shared" si="111"/>
        <v>6.850000000000001</v>
      </c>
      <c r="O378" s="193">
        <v>41.1</v>
      </c>
      <c r="P378" s="85">
        <f t="shared" si="112"/>
        <v>22.2625</v>
      </c>
      <c r="Q378" s="85">
        <f t="shared" si="113"/>
        <v>4.4525000000000015</v>
      </c>
      <c r="R378" s="193">
        <f t="shared" si="114"/>
        <v>26.715</v>
      </c>
      <c r="S378" s="150"/>
      <c r="T378" s="151"/>
    </row>
    <row r="379" spans="1:20" s="86" customFormat="1" ht="38.25" customHeight="1">
      <c r="A379" s="52" t="s">
        <v>155</v>
      </c>
      <c r="B379" s="8"/>
      <c r="C379" s="15" t="s">
        <v>78</v>
      </c>
      <c r="D379" s="235" t="s">
        <v>231</v>
      </c>
      <c r="E379" s="9" t="s">
        <v>88</v>
      </c>
      <c r="F379" s="238">
        <v>20303</v>
      </c>
      <c r="G379" s="18">
        <v>38562</v>
      </c>
      <c r="H379" s="18">
        <v>38593</v>
      </c>
      <c r="I379" s="126" t="s">
        <v>82</v>
      </c>
      <c r="J379" s="287">
        <v>100</v>
      </c>
      <c r="K379" s="287">
        <v>20</v>
      </c>
      <c r="L379" s="301">
        <v>120</v>
      </c>
      <c r="M379" s="29">
        <f t="shared" si="110"/>
        <v>6.8500000000000005</v>
      </c>
      <c r="N379" s="29">
        <f t="shared" si="111"/>
        <v>1.37</v>
      </c>
      <c r="O379" s="193">
        <v>8.22</v>
      </c>
      <c r="P379" s="85">
        <f t="shared" si="112"/>
        <v>4.452500000000001</v>
      </c>
      <c r="Q379" s="85">
        <f t="shared" si="113"/>
        <v>0.8905000000000001</v>
      </c>
      <c r="R379" s="193">
        <f t="shared" si="114"/>
        <v>5.343000000000001</v>
      </c>
      <c r="S379" s="150"/>
      <c r="T379" s="151"/>
    </row>
    <row r="380" spans="1:20" s="86" customFormat="1" ht="38.25" customHeight="1">
      <c r="A380" s="52" t="s">
        <v>155</v>
      </c>
      <c r="B380" s="8"/>
      <c r="C380" s="15" t="s">
        <v>78</v>
      </c>
      <c r="D380" s="235" t="s">
        <v>232</v>
      </c>
      <c r="E380" s="9" t="s">
        <v>228</v>
      </c>
      <c r="F380" s="243" t="s">
        <v>298</v>
      </c>
      <c r="G380" s="18"/>
      <c r="H380" s="18">
        <v>38656</v>
      </c>
      <c r="I380" s="126" t="s">
        <v>85</v>
      </c>
      <c r="J380" s="287"/>
      <c r="K380" s="287"/>
      <c r="L380" s="301">
        <v>135.68</v>
      </c>
      <c r="M380" s="29">
        <f t="shared" si="110"/>
        <v>30.45</v>
      </c>
      <c r="N380" s="29">
        <f t="shared" si="111"/>
        <v>6.09</v>
      </c>
      <c r="O380" s="193">
        <v>36.54</v>
      </c>
      <c r="P380" s="85">
        <f t="shared" si="112"/>
        <v>19.7925</v>
      </c>
      <c r="Q380" s="85">
        <f t="shared" si="113"/>
        <v>3.9585</v>
      </c>
      <c r="R380" s="193">
        <f t="shared" si="114"/>
        <v>23.751</v>
      </c>
      <c r="S380" s="410" t="s">
        <v>301</v>
      </c>
      <c r="T380" s="405"/>
    </row>
    <row r="381" spans="1:20" s="86" customFormat="1" ht="38.25" customHeight="1">
      <c r="A381" s="52" t="s">
        <v>155</v>
      </c>
      <c r="B381" s="8"/>
      <c r="C381" s="15" t="s">
        <v>78</v>
      </c>
      <c r="D381" s="235" t="s">
        <v>233</v>
      </c>
      <c r="E381" s="15" t="s">
        <v>214</v>
      </c>
      <c r="F381" s="238">
        <v>237</v>
      </c>
      <c r="G381" s="18">
        <v>38553</v>
      </c>
      <c r="H381" s="18">
        <v>38559</v>
      </c>
      <c r="I381" s="126" t="s">
        <v>82</v>
      </c>
      <c r="J381" s="287">
        <v>400</v>
      </c>
      <c r="K381" s="287">
        <v>40</v>
      </c>
      <c r="L381" s="301">
        <v>440</v>
      </c>
      <c r="M381" s="287">
        <v>400</v>
      </c>
      <c r="N381" s="287">
        <v>40</v>
      </c>
      <c r="O381" s="301">
        <v>440</v>
      </c>
      <c r="P381" s="85">
        <f t="shared" si="112"/>
        <v>260</v>
      </c>
      <c r="Q381" s="85">
        <f t="shared" si="113"/>
        <v>26</v>
      </c>
      <c r="R381" s="193">
        <f t="shared" si="114"/>
        <v>286</v>
      </c>
      <c r="S381" s="410" t="s">
        <v>301</v>
      </c>
      <c r="T381" s="405"/>
    </row>
    <row r="382" spans="1:20" s="86" customFormat="1" ht="38.25" customHeight="1">
      <c r="A382" s="52" t="s">
        <v>155</v>
      </c>
      <c r="B382" s="8"/>
      <c r="C382" s="15" t="s">
        <v>78</v>
      </c>
      <c r="D382" s="235" t="s">
        <v>234</v>
      </c>
      <c r="E382" s="15" t="s">
        <v>81</v>
      </c>
      <c r="F382" s="238">
        <v>95</v>
      </c>
      <c r="G382" s="18">
        <v>38559</v>
      </c>
      <c r="H382" s="18">
        <v>38559</v>
      </c>
      <c r="I382" s="126" t="s">
        <v>82</v>
      </c>
      <c r="J382" s="287">
        <v>500</v>
      </c>
      <c r="K382" s="287">
        <v>100</v>
      </c>
      <c r="L382" s="301">
        <v>600</v>
      </c>
      <c r="M382" s="29">
        <f>+O382/1.2</f>
        <v>34.25</v>
      </c>
      <c r="N382" s="29">
        <f>+O382-M382</f>
        <v>6.850000000000001</v>
      </c>
      <c r="O382" s="193">
        <v>41.1</v>
      </c>
      <c r="P382" s="85">
        <f t="shared" si="112"/>
        <v>22.2625</v>
      </c>
      <c r="Q382" s="85">
        <f t="shared" si="113"/>
        <v>4.4525000000000015</v>
      </c>
      <c r="R382" s="193">
        <f t="shared" si="114"/>
        <v>26.715</v>
      </c>
      <c r="S382" s="150"/>
      <c r="T382" s="151"/>
    </row>
    <row r="383" spans="1:20" s="86" customFormat="1" ht="38.25" customHeight="1">
      <c r="A383" s="52" t="s">
        <v>155</v>
      </c>
      <c r="B383" s="8"/>
      <c r="C383" s="15" t="s">
        <v>78</v>
      </c>
      <c r="D383" s="235" t="s">
        <v>235</v>
      </c>
      <c r="E383" s="110" t="s">
        <v>91</v>
      </c>
      <c r="F383" s="238" t="s">
        <v>236</v>
      </c>
      <c r="G383" s="18"/>
      <c r="H383" s="18">
        <v>38580</v>
      </c>
      <c r="I383" s="126" t="s">
        <v>85</v>
      </c>
      <c r="J383" s="287"/>
      <c r="K383" s="287"/>
      <c r="L383" s="301">
        <v>572</v>
      </c>
      <c r="M383" s="29">
        <f aca="true" t="shared" si="115" ref="M383:M402">+O383/1.2</f>
        <v>32.65</v>
      </c>
      <c r="N383" s="29">
        <f aca="true" t="shared" si="116" ref="N383:N402">+O383-M383</f>
        <v>6.530000000000001</v>
      </c>
      <c r="O383" s="193">
        <v>39.18</v>
      </c>
      <c r="P383" s="85">
        <f t="shared" si="112"/>
        <v>21.2225</v>
      </c>
      <c r="Q383" s="85">
        <f t="shared" si="113"/>
        <v>4.244500000000001</v>
      </c>
      <c r="R383" s="193">
        <f t="shared" si="114"/>
        <v>25.467000000000002</v>
      </c>
      <c r="S383" s="410" t="s">
        <v>301</v>
      </c>
      <c r="T383" s="405"/>
    </row>
    <row r="384" spans="1:20" s="86" customFormat="1" ht="38.25" customHeight="1">
      <c r="A384" s="52" t="s">
        <v>155</v>
      </c>
      <c r="B384" s="8"/>
      <c r="C384" s="15" t="s">
        <v>78</v>
      </c>
      <c r="D384" s="235" t="s">
        <v>235</v>
      </c>
      <c r="E384" s="110" t="s">
        <v>91</v>
      </c>
      <c r="F384" s="238" t="s">
        <v>237</v>
      </c>
      <c r="G384" s="18"/>
      <c r="H384" s="18">
        <v>38580</v>
      </c>
      <c r="I384" s="126" t="s">
        <v>85</v>
      </c>
      <c r="J384" s="287"/>
      <c r="K384" s="287"/>
      <c r="L384" s="301">
        <v>132</v>
      </c>
      <c r="M384" s="29">
        <f t="shared" si="115"/>
        <v>7.533333333333333</v>
      </c>
      <c r="N384" s="29">
        <f t="shared" si="116"/>
        <v>1.506666666666666</v>
      </c>
      <c r="O384" s="193">
        <v>9.04</v>
      </c>
      <c r="P384" s="85">
        <f t="shared" si="112"/>
        <v>4.8966666666666665</v>
      </c>
      <c r="Q384" s="85">
        <f t="shared" si="113"/>
        <v>0.979333333333333</v>
      </c>
      <c r="R384" s="193">
        <f t="shared" si="114"/>
        <v>5.8759999999999994</v>
      </c>
      <c r="S384" s="410" t="s">
        <v>301</v>
      </c>
      <c r="T384" s="405"/>
    </row>
    <row r="385" spans="1:20" s="86" customFormat="1" ht="38.25" customHeight="1">
      <c r="A385" s="52" t="s">
        <v>155</v>
      </c>
      <c r="B385" s="8"/>
      <c r="C385" s="15" t="s">
        <v>78</v>
      </c>
      <c r="D385" s="235" t="s">
        <v>238</v>
      </c>
      <c r="E385" s="9" t="s">
        <v>84</v>
      </c>
      <c r="F385" s="238"/>
      <c r="G385" s="18"/>
      <c r="H385" s="18">
        <v>38586</v>
      </c>
      <c r="I385" s="126" t="s">
        <v>85</v>
      </c>
      <c r="J385" s="287"/>
      <c r="K385" s="287"/>
      <c r="L385" s="301">
        <v>1608.52</v>
      </c>
      <c r="M385" s="29">
        <f t="shared" si="115"/>
        <v>91.81666666666668</v>
      </c>
      <c r="N385" s="29">
        <f t="shared" si="116"/>
        <v>18.36333333333333</v>
      </c>
      <c r="O385" s="193">
        <v>110.18</v>
      </c>
      <c r="P385" s="85">
        <f t="shared" si="112"/>
        <v>59.68083333333334</v>
      </c>
      <c r="Q385" s="85">
        <f t="shared" si="113"/>
        <v>11.936166666666665</v>
      </c>
      <c r="R385" s="193">
        <f t="shared" si="114"/>
        <v>71.617</v>
      </c>
      <c r="S385" s="410" t="s">
        <v>301</v>
      </c>
      <c r="T385" s="405"/>
    </row>
    <row r="386" spans="1:20" s="86" customFormat="1" ht="38.25" customHeight="1">
      <c r="A386" s="52" t="s">
        <v>155</v>
      </c>
      <c r="B386" s="8"/>
      <c r="C386" s="15" t="s">
        <v>78</v>
      </c>
      <c r="D386" s="235" t="s">
        <v>239</v>
      </c>
      <c r="E386" s="9" t="s">
        <v>98</v>
      </c>
      <c r="F386" s="238"/>
      <c r="G386" s="18"/>
      <c r="H386" s="18">
        <v>38608</v>
      </c>
      <c r="I386" s="126" t="s">
        <v>219</v>
      </c>
      <c r="J386" s="287"/>
      <c r="K386" s="287"/>
      <c r="L386" s="301">
        <v>630.7</v>
      </c>
      <c r="M386" s="29">
        <f t="shared" si="115"/>
        <v>142.54166666666669</v>
      </c>
      <c r="N386" s="29">
        <f t="shared" si="116"/>
        <v>28.508333333333326</v>
      </c>
      <c r="O386" s="193">
        <v>171.05</v>
      </c>
      <c r="P386" s="85">
        <f t="shared" si="112"/>
        <v>92.65208333333335</v>
      </c>
      <c r="Q386" s="85">
        <f t="shared" si="113"/>
        <v>18.530416666666664</v>
      </c>
      <c r="R386" s="193">
        <f t="shared" si="114"/>
        <v>111.18250000000002</v>
      </c>
      <c r="S386" s="150"/>
      <c r="T386" s="151"/>
    </row>
    <row r="387" spans="1:20" s="86" customFormat="1" ht="38.25" customHeight="1">
      <c r="A387" s="52" t="s">
        <v>155</v>
      </c>
      <c r="B387" s="8"/>
      <c r="C387" s="15" t="s">
        <v>78</v>
      </c>
      <c r="D387" s="235" t="s">
        <v>233</v>
      </c>
      <c r="E387" s="9" t="s">
        <v>214</v>
      </c>
      <c r="F387" s="238">
        <v>295</v>
      </c>
      <c r="G387" s="18">
        <v>38624</v>
      </c>
      <c r="H387" s="18">
        <v>38624</v>
      </c>
      <c r="I387" s="126" t="s">
        <v>82</v>
      </c>
      <c r="J387" s="287">
        <v>400</v>
      </c>
      <c r="K387" s="287">
        <v>40</v>
      </c>
      <c r="L387" s="301">
        <v>440</v>
      </c>
      <c r="M387" s="29">
        <f t="shared" si="115"/>
        <v>366.6666666666667</v>
      </c>
      <c r="N387" s="29">
        <f t="shared" si="116"/>
        <v>73.33333333333331</v>
      </c>
      <c r="O387" s="193">
        <v>440</v>
      </c>
      <c r="P387" s="85">
        <f t="shared" si="112"/>
        <v>238.33333333333334</v>
      </c>
      <c r="Q387" s="85">
        <f t="shared" si="113"/>
        <v>47.66666666666666</v>
      </c>
      <c r="R387" s="193">
        <f t="shared" si="114"/>
        <v>286</v>
      </c>
      <c r="S387" s="410" t="s">
        <v>301</v>
      </c>
      <c r="T387" s="405"/>
    </row>
    <row r="388" spans="1:20" s="86" customFormat="1" ht="38.25" customHeight="1">
      <c r="A388" s="52" t="s">
        <v>155</v>
      </c>
      <c r="B388" s="8"/>
      <c r="C388" s="15" t="s">
        <v>78</v>
      </c>
      <c r="D388" s="235" t="s">
        <v>240</v>
      </c>
      <c r="E388" s="9" t="s">
        <v>81</v>
      </c>
      <c r="F388" s="238">
        <v>137</v>
      </c>
      <c r="G388" s="18">
        <v>38621</v>
      </c>
      <c r="H388" s="18">
        <v>38624</v>
      </c>
      <c r="I388" s="126" t="s">
        <v>82</v>
      </c>
      <c r="J388" s="287">
        <v>500</v>
      </c>
      <c r="K388" s="287">
        <v>100</v>
      </c>
      <c r="L388" s="301">
        <v>600</v>
      </c>
      <c r="M388" s="29">
        <f t="shared" si="115"/>
        <v>50.2</v>
      </c>
      <c r="N388" s="29">
        <f t="shared" si="116"/>
        <v>10.04</v>
      </c>
      <c r="O388" s="193">
        <v>60.24</v>
      </c>
      <c r="P388" s="85">
        <f t="shared" si="112"/>
        <v>32.63</v>
      </c>
      <c r="Q388" s="85">
        <f t="shared" si="113"/>
        <v>6.526</v>
      </c>
      <c r="R388" s="193">
        <f t="shared" si="114"/>
        <v>39.156000000000006</v>
      </c>
      <c r="S388" s="150"/>
      <c r="T388" s="151"/>
    </row>
    <row r="389" spans="1:20" s="86" customFormat="1" ht="38.25" customHeight="1">
      <c r="A389" s="52" t="s">
        <v>155</v>
      </c>
      <c r="B389" s="8"/>
      <c r="C389" s="15" t="s">
        <v>78</v>
      </c>
      <c r="D389" s="235" t="s">
        <v>241</v>
      </c>
      <c r="E389" s="9" t="s">
        <v>91</v>
      </c>
      <c r="F389" s="238" t="s">
        <v>242</v>
      </c>
      <c r="G389" s="18"/>
      <c r="H389" s="18">
        <v>38642</v>
      </c>
      <c r="I389" s="126" t="s">
        <v>85</v>
      </c>
      <c r="J389" s="287"/>
      <c r="K389" s="287"/>
      <c r="L389" s="301">
        <v>640</v>
      </c>
      <c r="M389" s="29">
        <f t="shared" si="115"/>
        <v>126.56666666666666</v>
      </c>
      <c r="N389" s="29">
        <f t="shared" si="116"/>
        <v>25.313333333333333</v>
      </c>
      <c r="O389" s="193">
        <v>151.88</v>
      </c>
      <c r="P389" s="85">
        <f t="shared" si="112"/>
        <v>82.26833333333333</v>
      </c>
      <c r="Q389" s="85">
        <f t="shared" si="113"/>
        <v>16.453666666666667</v>
      </c>
      <c r="R389" s="193">
        <f t="shared" si="114"/>
        <v>98.722</v>
      </c>
      <c r="S389" s="410" t="s">
        <v>301</v>
      </c>
      <c r="T389" s="405"/>
    </row>
    <row r="390" spans="1:20" s="86" customFormat="1" ht="38.25" customHeight="1">
      <c r="A390" s="52" t="s">
        <v>155</v>
      </c>
      <c r="B390" s="8"/>
      <c r="C390" s="15" t="s">
        <v>78</v>
      </c>
      <c r="D390" s="235" t="s">
        <v>241</v>
      </c>
      <c r="E390" s="9" t="s">
        <v>91</v>
      </c>
      <c r="F390" s="238" t="s">
        <v>243</v>
      </c>
      <c r="G390" s="18"/>
      <c r="H390" s="18">
        <v>38642</v>
      </c>
      <c r="I390" s="126" t="s">
        <v>85</v>
      </c>
      <c r="J390" s="287"/>
      <c r="K390" s="287"/>
      <c r="L390" s="301">
        <v>209.5</v>
      </c>
      <c r="M390" s="29">
        <f t="shared" si="115"/>
        <v>41.425000000000004</v>
      </c>
      <c r="N390" s="29">
        <f t="shared" si="116"/>
        <v>8.284999999999997</v>
      </c>
      <c r="O390" s="193">
        <v>49.71</v>
      </c>
      <c r="P390" s="85">
        <f t="shared" si="112"/>
        <v>26.926250000000003</v>
      </c>
      <c r="Q390" s="85">
        <f t="shared" si="113"/>
        <v>5.385249999999998</v>
      </c>
      <c r="R390" s="193">
        <f t="shared" si="114"/>
        <v>32.3115</v>
      </c>
      <c r="S390" s="410" t="s">
        <v>301</v>
      </c>
      <c r="T390" s="405"/>
    </row>
    <row r="391" spans="1:20" s="86" customFormat="1" ht="38.25" customHeight="1">
      <c r="A391" s="52" t="s">
        <v>155</v>
      </c>
      <c r="B391" s="8"/>
      <c r="C391" s="15" t="s">
        <v>78</v>
      </c>
      <c r="D391" s="235" t="s">
        <v>244</v>
      </c>
      <c r="E391" s="9" t="s">
        <v>84</v>
      </c>
      <c r="F391" s="238"/>
      <c r="G391" s="18"/>
      <c r="H391" s="18">
        <v>38649</v>
      </c>
      <c r="I391" s="126" t="s">
        <v>85</v>
      </c>
      <c r="J391" s="287"/>
      <c r="K391" s="287"/>
      <c r="L391" s="301">
        <v>1151.48</v>
      </c>
      <c r="M391" s="29">
        <f t="shared" si="115"/>
        <v>96.34166666666667</v>
      </c>
      <c r="N391" s="29">
        <f t="shared" si="116"/>
        <v>19.26833333333333</v>
      </c>
      <c r="O391" s="193">
        <v>115.61</v>
      </c>
      <c r="P391" s="85">
        <f t="shared" si="112"/>
        <v>62.622083333333336</v>
      </c>
      <c r="Q391" s="85">
        <f t="shared" si="113"/>
        <v>12.524416666666665</v>
      </c>
      <c r="R391" s="193">
        <f t="shared" si="114"/>
        <v>75.1465</v>
      </c>
      <c r="S391" s="410" t="s">
        <v>301</v>
      </c>
      <c r="T391" s="405"/>
    </row>
    <row r="392" spans="1:20" s="86" customFormat="1" ht="38.25" customHeight="1">
      <c r="A392" s="52" t="s">
        <v>155</v>
      </c>
      <c r="B392" s="8"/>
      <c r="C392" s="15" t="s">
        <v>78</v>
      </c>
      <c r="D392" s="235" t="s">
        <v>245</v>
      </c>
      <c r="E392" s="9" t="s">
        <v>81</v>
      </c>
      <c r="F392" s="238">
        <v>145</v>
      </c>
      <c r="G392" s="18">
        <v>38651</v>
      </c>
      <c r="H392" s="18">
        <v>38652</v>
      </c>
      <c r="I392" s="126" t="s">
        <v>82</v>
      </c>
      <c r="J392" s="287">
        <v>500</v>
      </c>
      <c r="K392" s="287">
        <v>100</v>
      </c>
      <c r="L392" s="301">
        <v>600</v>
      </c>
      <c r="M392" s="29">
        <f t="shared" si="115"/>
        <v>68.45</v>
      </c>
      <c r="N392" s="29">
        <f t="shared" si="116"/>
        <v>13.689999999999998</v>
      </c>
      <c r="O392" s="193">
        <v>82.14</v>
      </c>
      <c r="P392" s="85">
        <f t="shared" si="112"/>
        <v>44.49250000000001</v>
      </c>
      <c r="Q392" s="85">
        <f t="shared" si="113"/>
        <v>8.898499999999999</v>
      </c>
      <c r="R392" s="193">
        <f t="shared" si="114"/>
        <v>53.391000000000005</v>
      </c>
      <c r="S392" s="150"/>
      <c r="T392" s="151"/>
    </row>
    <row r="393" spans="1:20" s="86" customFormat="1" ht="38.25" customHeight="1">
      <c r="A393" s="52" t="s">
        <v>155</v>
      </c>
      <c r="B393" s="8"/>
      <c r="C393" s="15" t="s">
        <v>78</v>
      </c>
      <c r="D393" s="235" t="s">
        <v>246</v>
      </c>
      <c r="E393" s="9" t="s">
        <v>88</v>
      </c>
      <c r="F393" s="238">
        <v>26771</v>
      </c>
      <c r="G393" s="18">
        <v>38624</v>
      </c>
      <c r="H393" s="18">
        <v>38652</v>
      </c>
      <c r="I393" s="126" t="s">
        <v>82</v>
      </c>
      <c r="J393" s="287">
        <v>500</v>
      </c>
      <c r="K393" s="287">
        <v>100</v>
      </c>
      <c r="L393" s="301">
        <v>600</v>
      </c>
      <c r="M393" s="29">
        <f t="shared" si="115"/>
        <v>50.2</v>
      </c>
      <c r="N393" s="29">
        <f t="shared" si="116"/>
        <v>10.04</v>
      </c>
      <c r="O393" s="193">
        <v>60.24</v>
      </c>
      <c r="P393" s="85">
        <f t="shared" si="112"/>
        <v>32.63</v>
      </c>
      <c r="Q393" s="85">
        <f t="shared" si="113"/>
        <v>6.526</v>
      </c>
      <c r="R393" s="193">
        <f t="shared" si="114"/>
        <v>39.156000000000006</v>
      </c>
      <c r="S393" s="150"/>
      <c r="T393" s="151"/>
    </row>
    <row r="394" spans="1:20" s="86" customFormat="1" ht="38.25" customHeight="1">
      <c r="A394" s="52" t="s">
        <v>155</v>
      </c>
      <c r="B394" s="8"/>
      <c r="C394" s="15" t="s">
        <v>78</v>
      </c>
      <c r="D394" s="235" t="s">
        <v>246</v>
      </c>
      <c r="E394" s="9" t="s">
        <v>88</v>
      </c>
      <c r="F394" s="238">
        <v>26890</v>
      </c>
      <c r="G394" s="18">
        <v>38624</v>
      </c>
      <c r="H394" s="18">
        <v>38652</v>
      </c>
      <c r="I394" s="126" t="s">
        <v>82</v>
      </c>
      <c r="J394" s="287">
        <v>100</v>
      </c>
      <c r="K394" s="287">
        <v>20</v>
      </c>
      <c r="L394" s="301">
        <v>120</v>
      </c>
      <c r="M394" s="29">
        <f t="shared" si="115"/>
        <v>10.041666666666668</v>
      </c>
      <c r="N394" s="29">
        <f t="shared" si="116"/>
        <v>2.008333333333333</v>
      </c>
      <c r="O394" s="193">
        <v>12.05</v>
      </c>
      <c r="P394" s="85">
        <f t="shared" si="112"/>
        <v>6.5270833333333345</v>
      </c>
      <c r="Q394" s="85">
        <f t="shared" si="113"/>
        <v>1.3054166666666664</v>
      </c>
      <c r="R394" s="193">
        <f t="shared" si="114"/>
        <v>7.832500000000001</v>
      </c>
      <c r="S394" s="150"/>
      <c r="T394" s="151"/>
    </row>
    <row r="395" spans="1:20" s="86" customFormat="1" ht="38.25" customHeight="1">
      <c r="A395" s="52" t="s">
        <v>155</v>
      </c>
      <c r="B395" s="8"/>
      <c r="C395" s="15" t="s">
        <v>78</v>
      </c>
      <c r="D395" s="235" t="s">
        <v>247</v>
      </c>
      <c r="E395" s="9" t="s">
        <v>84</v>
      </c>
      <c r="F395" s="238"/>
      <c r="G395" s="18"/>
      <c r="H395" s="18">
        <v>38678</v>
      </c>
      <c r="I395" s="126" t="s">
        <v>85</v>
      </c>
      <c r="J395" s="287"/>
      <c r="K395" s="287"/>
      <c r="L395" s="301">
        <v>390.96</v>
      </c>
      <c r="M395" s="29">
        <f t="shared" si="115"/>
        <v>44.6</v>
      </c>
      <c r="N395" s="29">
        <f t="shared" si="116"/>
        <v>8.920000000000002</v>
      </c>
      <c r="O395" s="193">
        <v>53.52</v>
      </c>
      <c r="P395" s="85">
        <f t="shared" si="112"/>
        <v>28.990000000000002</v>
      </c>
      <c r="Q395" s="85">
        <f t="shared" si="113"/>
        <v>5.798000000000001</v>
      </c>
      <c r="R395" s="193">
        <f t="shared" si="114"/>
        <v>34.788000000000004</v>
      </c>
      <c r="S395" s="410" t="s">
        <v>301</v>
      </c>
      <c r="T395" s="405"/>
    </row>
    <row r="396" spans="1:20" s="86" customFormat="1" ht="38.25" customHeight="1">
      <c r="A396" s="52" t="s">
        <v>155</v>
      </c>
      <c r="B396" s="8"/>
      <c r="C396" s="15" t="s">
        <v>78</v>
      </c>
      <c r="D396" s="235" t="s">
        <v>248</v>
      </c>
      <c r="E396" s="9" t="s">
        <v>88</v>
      </c>
      <c r="F396" s="238">
        <v>30147</v>
      </c>
      <c r="G396" s="18">
        <v>38653</v>
      </c>
      <c r="H396" s="18">
        <v>38681</v>
      </c>
      <c r="I396" s="126" t="s">
        <v>82</v>
      </c>
      <c r="J396" s="287">
        <v>500</v>
      </c>
      <c r="K396" s="287">
        <v>100</v>
      </c>
      <c r="L396" s="301">
        <v>600</v>
      </c>
      <c r="M396" s="29">
        <f t="shared" si="115"/>
        <v>68.45</v>
      </c>
      <c r="N396" s="29">
        <f t="shared" si="116"/>
        <v>13.689999999999998</v>
      </c>
      <c r="O396" s="193">
        <v>82.14</v>
      </c>
      <c r="P396" s="85">
        <f t="shared" si="112"/>
        <v>44.49250000000001</v>
      </c>
      <c r="Q396" s="85">
        <f t="shared" si="113"/>
        <v>8.898499999999999</v>
      </c>
      <c r="R396" s="193">
        <f t="shared" si="114"/>
        <v>53.391000000000005</v>
      </c>
      <c r="S396" s="150"/>
      <c r="T396" s="151"/>
    </row>
    <row r="397" spans="1:20" s="86" customFormat="1" ht="38.25" customHeight="1">
      <c r="A397" s="52" t="s">
        <v>155</v>
      </c>
      <c r="B397" s="8"/>
      <c r="C397" s="15" t="s">
        <v>78</v>
      </c>
      <c r="D397" s="235" t="s">
        <v>249</v>
      </c>
      <c r="E397" s="9" t="s">
        <v>88</v>
      </c>
      <c r="F397" s="238">
        <v>30296</v>
      </c>
      <c r="G397" s="18">
        <v>38653</v>
      </c>
      <c r="H397" s="18">
        <v>38681</v>
      </c>
      <c r="I397" s="126" t="s">
        <v>82</v>
      </c>
      <c r="J397" s="287">
        <v>100</v>
      </c>
      <c r="K397" s="287">
        <v>20</v>
      </c>
      <c r="L397" s="301">
        <v>120</v>
      </c>
      <c r="M397" s="29">
        <f t="shared" si="115"/>
        <v>13.691666666666666</v>
      </c>
      <c r="N397" s="29">
        <f t="shared" si="116"/>
        <v>2.7383333333333333</v>
      </c>
      <c r="O397" s="193">
        <v>16.43</v>
      </c>
      <c r="P397" s="85">
        <f t="shared" si="112"/>
        <v>8.899583333333334</v>
      </c>
      <c r="Q397" s="85">
        <f t="shared" si="113"/>
        <v>1.7799166666666666</v>
      </c>
      <c r="R397" s="193">
        <f t="shared" si="114"/>
        <v>10.6795</v>
      </c>
      <c r="S397" s="150"/>
      <c r="T397" s="151"/>
    </row>
    <row r="398" spans="1:20" s="86" customFormat="1" ht="38.25" customHeight="1">
      <c r="A398" s="52" t="s">
        <v>155</v>
      </c>
      <c r="B398" s="8"/>
      <c r="C398" s="15" t="s">
        <v>296</v>
      </c>
      <c r="D398" s="235" t="s">
        <v>250</v>
      </c>
      <c r="E398" s="9" t="s">
        <v>104</v>
      </c>
      <c r="F398" s="9">
        <v>6033011</v>
      </c>
      <c r="G398" s="11">
        <v>38590</v>
      </c>
      <c r="H398" s="18">
        <v>38610</v>
      </c>
      <c r="I398" s="11" t="s">
        <v>251</v>
      </c>
      <c r="J398" s="12">
        <v>49.46666666666667</v>
      </c>
      <c r="K398" s="12">
        <v>9.893333333333334</v>
      </c>
      <c r="L398" s="301">
        <v>59.36</v>
      </c>
      <c r="M398" s="12">
        <v>49.46666666666667</v>
      </c>
      <c r="N398" s="12">
        <v>9.893333333333334</v>
      </c>
      <c r="O398" s="301">
        <v>59.36</v>
      </c>
      <c r="P398" s="85">
        <f t="shared" si="112"/>
        <v>32.153333333333336</v>
      </c>
      <c r="Q398" s="85">
        <f t="shared" si="113"/>
        <v>6.430666666666667</v>
      </c>
      <c r="R398" s="193">
        <f t="shared" si="114"/>
        <v>38.584</v>
      </c>
      <c r="S398" s="410"/>
      <c r="T398" s="405"/>
    </row>
    <row r="399" spans="1:20" s="86" customFormat="1" ht="38.25" customHeight="1">
      <c r="A399" s="52" t="s">
        <v>155</v>
      </c>
      <c r="B399" s="8"/>
      <c r="C399" s="15" t="s">
        <v>296</v>
      </c>
      <c r="D399" s="235" t="s">
        <v>250</v>
      </c>
      <c r="E399" s="9" t="s">
        <v>104</v>
      </c>
      <c r="F399" s="9">
        <v>6033012</v>
      </c>
      <c r="G399" s="11">
        <v>38643</v>
      </c>
      <c r="H399" s="18">
        <v>38663</v>
      </c>
      <c r="I399" s="11" t="s">
        <v>251</v>
      </c>
      <c r="J399" s="12">
        <v>68.13333333333334</v>
      </c>
      <c r="K399" s="12">
        <v>13.626666666666669</v>
      </c>
      <c r="L399" s="301">
        <v>81.76</v>
      </c>
      <c r="M399" s="12">
        <v>68.13333333333334</v>
      </c>
      <c r="N399" s="12">
        <v>13.626666666666669</v>
      </c>
      <c r="O399" s="301">
        <v>81.76</v>
      </c>
      <c r="P399" s="85">
        <f t="shared" si="112"/>
        <v>44.286666666666676</v>
      </c>
      <c r="Q399" s="85">
        <f t="shared" si="113"/>
        <v>8.857333333333335</v>
      </c>
      <c r="R399" s="193">
        <f t="shared" si="114"/>
        <v>53.14400000000001</v>
      </c>
      <c r="S399" s="410"/>
      <c r="T399" s="405"/>
    </row>
    <row r="400" spans="1:20" s="86" customFormat="1" ht="51.75" customHeight="1">
      <c r="A400" s="52" t="s">
        <v>155</v>
      </c>
      <c r="B400" s="8"/>
      <c r="C400" s="15" t="s">
        <v>296</v>
      </c>
      <c r="D400" s="235" t="s">
        <v>252</v>
      </c>
      <c r="E400" s="9"/>
      <c r="F400" s="9"/>
      <c r="G400" s="11">
        <v>38656</v>
      </c>
      <c r="H400" s="18">
        <v>38765</v>
      </c>
      <c r="I400" s="16" t="s">
        <v>253</v>
      </c>
      <c r="J400" s="287">
        <v>990.48</v>
      </c>
      <c r="K400" s="286"/>
      <c r="L400" s="301">
        <v>990.48</v>
      </c>
      <c r="M400" s="287">
        <v>990.48</v>
      </c>
      <c r="N400" s="286"/>
      <c r="O400" s="301">
        <v>990.48</v>
      </c>
      <c r="P400" s="85">
        <f t="shared" si="112"/>
        <v>643.812</v>
      </c>
      <c r="Q400" s="85">
        <f t="shared" si="113"/>
        <v>0</v>
      </c>
      <c r="R400" s="193">
        <f t="shared" si="114"/>
        <v>643.812</v>
      </c>
      <c r="S400" s="389"/>
      <c r="T400" s="390"/>
    </row>
    <row r="401" spans="1:20" s="86" customFormat="1" ht="38.25" customHeight="1">
      <c r="A401" s="52" t="s">
        <v>155</v>
      </c>
      <c r="B401" s="8"/>
      <c r="C401" s="15" t="s">
        <v>296</v>
      </c>
      <c r="D401" s="235" t="s">
        <v>254</v>
      </c>
      <c r="E401" s="9" t="s">
        <v>104</v>
      </c>
      <c r="F401" s="9">
        <v>6033018</v>
      </c>
      <c r="G401" s="10">
        <v>38460</v>
      </c>
      <c r="H401" s="11">
        <v>38481</v>
      </c>
      <c r="I401" s="11" t="s">
        <v>251</v>
      </c>
      <c r="J401" s="12"/>
      <c r="K401" s="12"/>
      <c r="L401" s="301">
        <v>98.56</v>
      </c>
      <c r="M401" s="29">
        <f t="shared" si="115"/>
        <v>82.13333333333334</v>
      </c>
      <c r="N401" s="29">
        <f t="shared" si="116"/>
        <v>16.426666666666662</v>
      </c>
      <c r="O401" s="193">
        <v>98.56</v>
      </c>
      <c r="P401" s="85">
        <f t="shared" si="112"/>
        <v>53.38666666666667</v>
      </c>
      <c r="Q401" s="85">
        <f t="shared" si="113"/>
        <v>10.677333333333332</v>
      </c>
      <c r="R401" s="193">
        <f t="shared" si="114"/>
        <v>64.06400000000001</v>
      </c>
      <c r="S401" s="150"/>
      <c r="T401" s="151"/>
    </row>
    <row r="402" spans="1:20" s="86" customFormat="1" ht="38.25" customHeight="1">
      <c r="A402" s="52" t="s">
        <v>155</v>
      </c>
      <c r="B402" s="8"/>
      <c r="C402" s="15" t="s">
        <v>296</v>
      </c>
      <c r="D402" s="235" t="s">
        <v>254</v>
      </c>
      <c r="E402" s="9" t="s">
        <v>104</v>
      </c>
      <c r="F402" s="9">
        <v>6033019</v>
      </c>
      <c r="G402" s="10">
        <v>38523</v>
      </c>
      <c r="H402" s="11">
        <v>38544</v>
      </c>
      <c r="I402" s="11" t="s">
        <v>251</v>
      </c>
      <c r="J402" s="12"/>
      <c r="K402" s="12"/>
      <c r="L402" s="301">
        <v>63.28</v>
      </c>
      <c r="M402" s="29">
        <f t="shared" si="115"/>
        <v>52.733333333333334</v>
      </c>
      <c r="N402" s="29">
        <f t="shared" si="116"/>
        <v>10.546666666666667</v>
      </c>
      <c r="O402" s="193">
        <v>63.28</v>
      </c>
      <c r="P402" s="85">
        <f t="shared" si="112"/>
        <v>34.27666666666667</v>
      </c>
      <c r="Q402" s="85">
        <f t="shared" si="113"/>
        <v>6.855333333333333</v>
      </c>
      <c r="R402" s="193">
        <f t="shared" si="114"/>
        <v>41.132000000000005</v>
      </c>
      <c r="S402" s="150"/>
      <c r="T402" s="151"/>
    </row>
    <row r="403" spans="1:20" s="86" customFormat="1" ht="38.25" customHeight="1">
      <c r="A403" s="52" t="s">
        <v>155</v>
      </c>
      <c r="B403" s="8"/>
      <c r="C403" s="15" t="s">
        <v>296</v>
      </c>
      <c r="D403" s="235" t="s">
        <v>252</v>
      </c>
      <c r="E403" s="9"/>
      <c r="F403" s="9"/>
      <c r="G403" s="10">
        <v>38533</v>
      </c>
      <c r="H403" s="11">
        <v>38554</v>
      </c>
      <c r="I403" s="11" t="s">
        <v>47</v>
      </c>
      <c r="J403" s="12"/>
      <c r="K403" s="12"/>
      <c r="L403" s="301">
        <v>1476.64</v>
      </c>
      <c r="M403" s="29">
        <v>1476.64</v>
      </c>
      <c r="N403" s="29"/>
      <c r="O403" s="193">
        <f>+N403+M403</f>
        <v>1476.64</v>
      </c>
      <c r="P403" s="85">
        <f t="shared" si="112"/>
        <v>959.8160000000001</v>
      </c>
      <c r="Q403" s="85">
        <f t="shared" si="113"/>
        <v>0</v>
      </c>
      <c r="R403" s="193">
        <f t="shared" si="114"/>
        <v>959.8160000000001</v>
      </c>
      <c r="S403" s="150"/>
      <c r="T403" s="151"/>
    </row>
    <row r="404" spans="1:20" s="86" customFormat="1" ht="38.25" customHeight="1">
      <c r="A404" s="52" t="s">
        <v>155</v>
      </c>
      <c r="B404" s="8"/>
      <c r="C404" s="15" t="s">
        <v>178</v>
      </c>
      <c r="D404" s="235" t="s">
        <v>255</v>
      </c>
      <c r="E404" s="9"/>
      <c r="F404" s="245" t="s">
        <v>256</v>
      </c>
      <c r="G404" s="246" t="s">
        <v>257</v>
      </c>
      <c r="H404" s="247">
        <v>38435</v>
      </c>
      <c r="I404" s="248" t="s">
        <v>258</v>
      </c>
      <c r="J404" s="289">
        <v>103.2</v>
      </c>
      <c r="K404" s="286"/>
      <c r="L404" s="301">
        <v>103.2</v>
      </c>
      <c r="M404" s="29">
        <v>103.2</v>
      </c>
      <c r="N404" s="29"/>
      <c r="O404" s="193">
        <f>+N404+M404</f>
        <v>103.2</v>
      </c>
      <c r="P404" s="85">
        <f t="shared" si="112"/>
        <v>67.08</v>
      </c>
      <c r="Q404" s="85">
        <f t="shared" si="113"/>
        <v>0</v>
      </c>
      <c r="R404" s="193">
        <f t="shared" si="114"/>
        <v>67.08</v>
      </c>
      <c r="S404" s="150"/>
      <c r="T404" s="151"/>
    </row>
    <row r="405" spans="1:20" s="86" customFormat="1" ht="38.25" customHeight="1">
      <c r="A405" s="52" t="s">
        <v>155</v>
      </c>
      <c r="B405" s="8"/>
      <c r="C405" s="15" t="s">
        <v>178</v>
      </c>
      <c r="D405" s="249" t="s">
        <v>259</v>
      </c>
      <c r="E405" s="9"/>
      <c r="F405" s="245" t="s">
        <v>256</v>
      </c>
      <c r="G405" s="246" t="s">
        <v>260</v>
      </c>
      <c r="H405" s="247">
        <v>38435</v>
      </c>
      <c r="I405" s="248" t="s">
        <v>261</v>
      </c>
      <c r="J405" s="289">
        <v>107.21</v>
      </c>
      <c r="K405" s="286"/>
      <c r="L405" s="301">
        <v>107.21</v>
      </c>
      <c r="M405" s="29">
        <v>107.21</v>
      </c>
      <c r="N405" s="29"/>
      <c r="O405" s="193">
        <f aca="true" t="shared" si="117" ref="O405:O422">+N405+M405</f>
        <v>107.21</v>
      </c>
      <c r="P405" s="85">
        <f t="shared" si="112"/>
        <v>69.6865</v>
      </c>
      <c r="Q405" s="85">
        <f t="shared" si="113"/>
        <v>0</v>
      </c>
      <c r="R405" s="193">
        <f t="shared" si="114"/>
        <v>69.6865</v>
      </c>
      <c r="S405" s="150"/>
      <c r="T405" s="151"/>
    </row>
    <row r="406" spans="1:20" s="86" customFormat="1" ht="38.25" customHeight="1">
      <c r="A406" s="52" t="s">
        <v>155</v>
      </c>
      <c r="B406" s="8"/>
      <c r="C406" s="15" t="s">
        <v>178</v>
      </c>
      <c r="D406" s="250" t="s">
        <v>255</v>
      </c>
      <c r="E406" s="9"/>
      <c r="F406" s="245" t="s">
        <v>256</v>
      </c>
      <c r="G406" s="246" t="s">
        <v>262</v>
      </c>
      <c r="H406" s="247">
        <v>38488</v>
      </c>
      <c r="I406" s="248" t="s">
        <v>263</v>
      </c>
      <c r="J406" s="289">
        <v>107.5</v>
      </c>
      <c r="K406" s="286"/>
      <c r="L406" s="301">
        <v>107.5</v>
      </c>
      <c r="M406" s="29">
        <v>107.5</v>
      </c>
      <c r="N406" s="29"/>
      <c r="O406" s="193">
        <f t="shared" si="117"/>
        <v>107.5</v>
      </c>
      <c r="P406" s="85">
        <f t="shared" si="112"/>
        <v>69.875</v>
      </c>
      <c r="Q406" s="85">
        <f t="shared" si="113"/>
        <v>0</v>
      </c>
      <c r="R406" s="193">
        <f t="shared" si="114"/>
        <v>69.875</v>
      </c>
      <c r="S406" s="150"/>
      <c r="T406" s="151"/>
    </row>
    <row r="407" spans="1:20" s="86" customFormat="1" ht="38.25" customHeight="1">
      <c r="A407" s="52" t="s">
        <v>155</v>
      </c>
      <c r="B407" s="8"/>
      <c r="C407" s="15" t="s">
        <v>178</v>
      </c>
      <c r="D407" s="235" t="s">
        <v>255</v>
      </c>
      <c r="E407" s="9"/>
      <c r="F407" s="17" t="s">
        <v>256</v>
      </c>
      <c r="G407" s="172" t="s">
        <v>264</v>
      </c>
      <c r="H407" s="18">
        <v>38559</v>
      </c>
      <c r="I407" s="251" t="s">
        <v>265</v>
      </c>
      <c r="J407" s="286">
        <v>206.4</v>
      </c>
      <c r="K407" s="286"/>
      <c r="L407" s="301">
        <v>206.4</v>
      </c>
      <c r="M407" s="29">
        <v>206.4</v>
      </c>
      <c r="N407" s="29"/>
      <c r="O407" s="193">
        <f t="shared" si="117"/>
        <v>206.4</v>
      </c>
      <c r="P407" s="85">
        <f t="shared" si="112"/>
        <v>134.16</v>
      </c>
      <c r="Q407" s="85">
        <f t="shared" si="113"/>
        <v>0</v>
      </c>
      <c r="R407" s="193">
        <f t="shared" si="114"/>
        <v>134.16</v>
      </c>
      <c r="S407" s="150"/>
      <c r="T407" s="151"/>
    </row>
    <row r="408" spans="1:20" s="86" customFormat="1" ht="38.25" customHeight="1">
      <c r="A408" s="52" t="s">
        <v>155</v>
      </c>
      <c r="B408" s="8"/>
      <c r="C408" s="15" t="s">
        <v>178</v>
      </c>
      <c r="D408" s="249" t="s">
        <v>266</v>
      </c>
      <c r="E408" s="9" t="s">
        <v>267</v>
      </c>
      <c r="F408" s="252" t="s">
        <v>268</v>
      </c>
      <c r="G408" s="253">
        <v>38516</v>
      </c>
      <c r="H408" s="254">
        <v>38594</v>
      </c>
      <c r="I408" s="255" t="s">
        <v>269</v>
      </c>
      <c r="J408" s="290">
        <v>634.69</v>
      </c>
      <c r="K408" s="291"/>
      <c r="L408" s="301">
        <v>634.69</v>
      </c>
      <c r="M408" s="29">
        <v>634.69</v>
      </c>
      <c r="N408" s="29"/>
      <c r="O408" s="193">
        <f t="shared" si="117"/>
        <v>634.69</v>
      </c>
      <c r="P408" s="85">
        <f t="shared" si="112"/>
        <v>412.54850000000005</v>
      </c>
      <c r="Q408" s="85">
        <f t="shared" si="113"/>
        <v>0</v>
      </c>
      <c r="R408" s="193">
        <f t="shared" si="114"/>
        <v>412.54850000000005</v>
      </c>
      <c r="S408" s="150"/>
      <c r="T408" s="151"/>
    </row>
    <row r="409" spans="1:20" s="86" customFormat="1" ht="38.25" customHeight="1">
      <c r="A409" s="52" t="s">
        <v>155</v>
      </c>
      <c r="B409" s="8"/>
      <c r="C409" s="15" t="s">
        <v>178</v>
      </c>
      <c r="D409" s="250" t="s">
        <v>255</v>
      </c>
      <c r="E409" s="9"/>
      <c r="F409" s="245" t="s">
        <v>256</v>
      </c>
      <c r="G409" s="246" t="s">
        <v>270</v>
      </c>
      <c r="H409" s="247">
        <v>38604</v>
      </c>
      <c r="I409" s="248" t="s">
        <v>271</v>
      </c>
      <c r="J409" s="289">
        <v>98.9</v>
      </c>
      <c r="K409" s="286"/>
      <c r="L409" s="301">
        <v>98.9</v>
      </c>
      <c r="M409" s="29">
        <v>98.9</v>
      </c>
      <c r="N409" s="29"/>
      <c r="O409" s="193">
        <f t="shared" si="117"/>
        <v>98.9</v>
      </c>
      <c r="P409" s="85">
        <f t="shared" si="112"/>
        <v>64.28500000000001</v>
      </c>
      <c r="Q409" s="85">
        <f t="shared" si="113"/>
        <v>0</v>
      </c>
      <c r="R409" s="193">
        <f t="shared" si="114"/>
        <v>64.28500000000001</v>
      </c>
      <c r="S409" s="150"/>
      <c r="T409" s="151"/>
    </row>
    <row r="410" spans="1:20" s="86" customFormat="1" ht="38.25" customHeight="1">
      <c r="A410" s="52" t="s">
        <v>155</v>
      </c>
      <c r="B410" s="8"/>
      <c r="C410" s="15" t="s">
        <v>178</v>
      </c>
      <c r="D410" s="250" t="s">
        <v>255</v>
      </c>
      <c r="E410" s="9"/>
      <c r="F410" s="245" t="s">
        <v>256</v>
      </c>
      <c r="G410" s="246" t="s">
        <v>272</v>
      </c>
      <c r="H410" s="247">
        <v>38628</v>
      </c>
      <c r="I410" s="248" t="s">
        <v>273</v>
      </c>
      <c r="J410" s="289">
        <v>103.2</v>
      </c>
      <c r="K410" s="286"/>
      <c r="L410" s="301">
        <v>103.2</v>
      </c>
      <c r="M410" s="29">
        <v>103.2</v>
      </c>
      <c r="N410" s="29"/>
      <c r="O410" s="193">
        <f t="shared" si="117"/>
        <v>103.2</v>
      </c>
      <c r="P410" s="85">
        <f t="shared" si="112"/>
        <v>67.08</v>
      </c>
      <c r="Q410" s="85">
        <f t="shared" si="113"/>
        <v>0</v>
      </c>
      <c r="R410" s="193">
        <f t="shared" si="114"/>
        <v>67.08</v>
      </c>
      <c r="S410" s="150"/>
      <c r="T410" s="151"/>
    </row>
    <row r="411" spans="1:20" s="86" customFormat="1" ht="38.25" customHeight="1">
      <c r="A411" s="52" t="s">
        <v>155</v>
      </c>
      <c r="B411" s="8"/>
      <c r="C411" s="15" t="s">
        <v>178</v>
      </c>
      <c r="D411" s="250" t="s">
        <v>274</v>
      </c>
      <c r="E411" s="9"/>
      <c r="F411" s="245" t="s">
        <v>256</v>
      </c>
      <c r="G411" s="246" t="s">
        <v>272</v>
      </c>
      <c r="H411" s="247">
        <v>38628</v>
      </c>
      <c r="I411" s="248" t="s">
        <v>275</v>
      </c>
      <c r="J411" s="289">
        <v>97.5</v>
      </c>
      <c r="K411" s="286"/>
      <c r="L411" s="301">
        <v>97.5</v>
      </c>
      <c r="M411" s="29">
        <v>97.5</v>
      </c>
      <c r="N411" s="29"/>
      <c r="O411" s="193">
        <f t="shared" si="117"/>
        <v>97.5</v>
      </c>
      <c r="P411" s="85">
        <f t="shared" si="112"/>
        <v>63.375</v>
      </c>
      <c r="Q411" s="85">
        <f t="shared" si="113"/>
        <v>0</v>
      </c>
      <c r="R411" s="193">
        <f t="shared" si="114"/>
        <v>63.375</v>
      </c>
      <c r="S411" s="150"/>
      <c r="T411" s="151"/>
    </row>
    <row r="412" spans="1:20" s="86" customFormat="1" ht="38.25" customHeight="1">
      <c r="A412" s="52" t="s">
        <v>155</v>
      </c>
      <c r="B412" s="8"/>
      <c r="C412" s="15" t="s">
        <v>178</v>
      </c>
      <c r="D412" s="250" t="s">
        <v>255</v>
      </c>
      <c r="E412" s="9"/>
      <c r="F412" s="245" t="s">
        <v>256</v>
      </c>
      <c r="G412" s="246" t="s">
        <v>276</v>
      </c>
      <c r="H412" s="247">
        <v>38639</v>
      </c>
      <c r="I412" s="248" t="s">
        <v>277</v>
      </c>
      <c r="J412" s="289">
        <v>206.4</v>
      </c>
      <c r="K412" s="286"/>
      <c r="L412" s="301">
        <v>206.4</v>
      </c>
      <c r="M412" s="29">
        <v>206.4</v>
      </c>
      <c r="N412" s="29"/>
      <c r="O412" s="193">
        <f t="shared" si="117"/>
        <v>206.4</v>
      </c>
      <c r="P412" s="85">
        <f t="shared" si="112"/>
        <v>134.16</v>
      </c>
      <c r="Q412" s="85">
        <f t="shared" si="113"/>
        <v>0</v>
      </c>
      <c r="R412" s="193">
        <f t="shared" si="114"/>
        <v>134.16</v>
      </c>
      <c r="S412" s="150"/>
      <c r="T412" s="151"/>
    </row>
    <row r="413" spans="1:20" s="86" customFormat="1" ht="38.25" customHeight="1">
      <c r="A413" s="52" t="s">
        <v>155</v>
      </c>
      <c r="B413" s="8"/>
      <c r="C413" s="15" t="s">
        <v>64</v>
      </c>
      <c r="D413" s="249" t="s">
        <v>278</v>
      </c>
      <c r="E413" s="256"/>
      <c r="F413" s="257"/>
      <c r="G413" s="258">
        <v>38600</v>
      </c>
      <c r="H413" s="259"/>
      <c r="I413" s="260" t="s">
        <v>279</v>
      </c>
      <c r="J413" s="289">
        <v>133.47</v>
      </c>
      <c r="K413" s="292"/>
      <c r="L413" s="301">
        <v>133.47</v>
      </c>
      <c r="M413" s="29">
        <v>133.47</v>
      </c>
      <c r="N413" s="29"/>
      <c r="O413" s="193">
        <f t="shared" si="117"/>
        <v>133.47</v>
      </c>
      <c r="P413" s="85">
        <f>+M413*0.65</f>
        <v>86.7555</v>
      </c>
      <c r="Q413" s="85"/>
      <c r="R413" s="193">
        <f>+Q413+P413</f>
        <v>86.7555</v>
      </c>
      <c r="S413" s="150"/>
      <c r="T413" s="151"/>
    </row>
    <row r="414" spans="1:20" s="86" customFormat="1" ht="38.25" customHeight="1">
      <c r="A414" s="52" t="s">
        <v>155</v>
      </c>
      <c r="B414" s="8"/>
      <c r="C414" s="15" t="s">
        <v>64</v>
      </c>
      <c r="D414" s="249" t="s">
        <v>278</v>
      </c>
      <c r="E414" s="256"/>
      <c r="F414" s="257"/>
      <c r="G414" s="258">
        <v>38622</v>
      </c>
      <c r="H414" s="259"/>
      <c r="I414" s="261" t="s">
        <v>279</v>
      </c>
      <c r="J414" s="289">
        <v>133.47</v>
      </c>
      <c r="K414" s="292"/>
      <c r="L414" s="301">
        <v>133.47</v>
      </c>
      <c r="M414" s="29">
        <v>133.47</v>
      </c>
      <c r="N414" s="29"/>
      <c r="O414" s="193">
        <f t="shared" si="117"/>
        <v>133.47</v>
      </c>
      <c r="P414" s="85">
        <f aca="true" t="shared" si="118" ref="P414:P422">+M414*0.65</f>
        <v>86.7555</v>
      </c>
      <c r="Q414" s="85"/>
      <c r="R414" s="193">
        <f aca="true" t="shared" si="119" ref="R414:R422">+Q414+P414</f>
        <v>86.7555</v>
      </c>
      <c r="S414" s="150"/>
      <c r="T414" s="151"/>
    </row>
    <row r="415" spans="1:20" s="86" customFormat="1" ht="38.25" customHeight="1">
      <c r="A415" s="52" t="s">
        <v>155</v>
      </c>
      <c r="B415" s="8"/>
      <c r="C415" s="15" t="s">
        <v>64</v>
      </c>
      <c r="D415" s="249" t="s">
        <v>278</v>
      </c>
      <c r="E415" s="262"/>
      <c r="F415" s="257"/>
      <c r="G415" s="258">
        <v>38635</v>
      </c>
      <c r="H415" s="259"/>
      <c r="I415" s="261" t="s">
        <v>279</v>
      </c>
      <c r="J415" s="289">
        <v>133.47</v>
      </c>
      <c r="K415" s="292"/>
      <c r="L415" s="301">
        <v>133.47</v>
      </c>
      <c r="M415" s="29">
        <v>133.47</v>
      </c>
      <c r="N415" s="29"/>
      <c r="O415" s="193">
        <f t="shared" si="117"/>
        <v>133.47</v>
      </c>
      <c r="P415" s="85">
        <f t="shared" si="118"/>
        <v>86.7555</v>
      </c>
      <c r="Q415" s="85"/>
      <c r="R415" s="193">
        <f t="shared" si="119"/>
        <v>86.7555</v>
      </c>
      <c r="S415" s="150"/>
      <c r="T415" s="151"/>
    </row>
    <row r="416" spans="1:20" s="86" customFormat="1" ht="38.25" customHeight="1">
      <c r="A416" s="52" t="s">
        <v>155</v>
      </c>
      <c r="B416" s="8"/>
      <c r="C416" s="15" t="s">
        <v>64</v>
      </c>
      <c r="D416" s="249" t="s">
        <v>278</v>
      </c>
      <c r="E416" s="8"/>
      <c r="F416" s="244"/>
      <c r="G416" s="263">
        <v>38638</v>
      </c>
      <c r="H416" s="264"/>
      <c r="I416" s="261" t="s">
        <v>279</v>
      </c>
      <c r="J416" s="289">
        <v>133.47</v>
      </c>
      <c r="K416" s="287"/>
      <c r="L416" s="301">
        <v>133.47</v>
      </c>
      <c r="M416" s="29">
        <v>133.47</v>
      </c>
      <c r="N416" s="29"/>
      <c r="O416" s="193">
        <f t="shared" si="117"/>
        <v>133.47</v>
      </c>
      <c r="P416" s="85">
        <f t="shared" si="118"/>
        <v>86.7555</v>
      </c>
      <c r="Q416" s="85"/>
      <c r="R416" s="193">
        <f t="shared" si="119"/>
        <v>86.7555</v>
      </c>
      <c r="S416" s="150"/>
      <c r="T416" s="151"/>
    </row>
    <row r="417" spans="1:20" s="86" customFormat="1" ht="38.25" customHeight="1">
      <c r="A417" s="52" t="s">
        <v>155</v>
      </c>
      <c r="B417" s="8"/>
      <c r="C417" s="15" t="s">
        <v>64</v>
      </c>
      <c r="D417" s="249" t="s">
        <v>278</v>
      </c>
      <c r="E417" s="265"/>
      <c r="F417" s="266"/>
      <c r="G417" s="267">
        <v>38643</v>
      </c>
      <c r="H417" s="268"/>
      <c r="I417" s="261" t="s">
        <v>279</v>
      </c>
      <c r="J417" s="289">
        <v>133.47</v>
      </c>
      <c r="K417" s="293"/>
      <c r="L417" s="301">
        <v>133.47</v>
      </c>
      <c r="M417" s="29">
        <v>133.47</v>
      </c>
      <c r="N417" s="29"/>
      <c r="O417" s="193">
        <f t="shared" si="117"/>
        <v>133.47</v>
      </c>
      <c r="P417" s="85">
        <f t="shared" si="118"/>
        <v>86.7555</v>
      </c>
      <c r="Q417" s="85"/>
      <c r="R417" s="193">
        <f t="shared" si="119"/>
        <v>86.7555</v>
      </c>
      <c r="S417" s="150"/>
      <c r="T417" s="151"/>
    </row>
    <row r="418" spans="1:20" s="86" customFormat="1" ht="38.25" customHeight="1">
      <c r="A418" s="52" t="s">
        <v>155</v>
      </c>
      <c r="B418" s="8"/>
      <c r="C418" s="15" t="s">
        <v>64</v>
      </c>
      <c r="D418" s="249" t="s">
        <v>278</v>
      </c>
      <c r="E418" s="9"/>
      <c r="F418" s="269"/>
      <c r="G418" s="258">
        <v>38600</v>
      </c>
      <c r="H418" s="259"/>
      <c r="I418" s="260" t="s">
        <v>279</v>
      </c>
      <c r="J418" s="289">
        <v>133.47</v>
      </c>
      <c r="K418" s="293"/>
      <c r="L418" s="301">
        <v>133.47</v>
      </c>
      <c r="M418" s="29">
        <v>133.47</v>
      </c>
      <c r="N418" s="29"/>
      <c r="O418" s="193">
        <f t="shared" si="117"/>
        <v>133.47</v>
      </c>
      <c r="P418" s="85">
        <f t="shared" si="118"/>
        <v>86.7555</v>
      </c>
      <c r="Q418" s="85"/>
      <c r="R418" s="193">
        <f t="shared" si="119"/>
        <v>86.7555</v>
      </c>
      <c r="S418" s="150"/>
      <c r="T418" s="151"/>
    </row>
    <row r="419" spans="1:20" s="86" customFormat="1" ht="38.25" customHeight="1">
      <c r="A419" s="52" t="s">
        <v>155</v>
      </c>
      <c r="B419" s="8"/>
      <c r="C419" s="15" t="s">
        <v>64</v>
      </c>
      <c r="D419" s="249" t="s">
        <v>278</v>
      </c>
      <c r="E419" s="9"/>
      <c r="F419" s="269"/>
      <c r="G419" s="258">
        <v>38622</v>
      </c>
      <c r="H419" s="259"/>
      <c r="I419" s="261" t="s">
        <v>279</v>
      </c>
      <c r="J419" s="289">
        <v>133.47</v>
      </c>
      <c r="K419" s="293"/>
      <c r="L419" s="301">
        <v>133.47</v>
      </c>
      <c r="M419" s="29">
        <v>133.47</v>
      </c>
      <c r="N419" s="29"/>
      <c r="O419" s="193">
        <f t="shared" si="117"/>
        <v>133.47</v>
      </c>
      <c r="P419" s="85">
        <f t="shared" si="118"/>
        <v>86.7555</v>
      </c>
      <c r="Q419" s="85"/>
      <c r="R419" s="193">
        <f t="shared" si="119"/>
        <v>86.7555</v>
      </c>
      <c r="S419" s="150"/>
      <c r="T419" s="151"/>
    </row>
    <row r="420" spans="1:20" s="86" customFormat="1" ht="38.25" customHeight="1">
      <c r="A420" s="52" t="s">
        <v>155</v>
      </c>
      <c r="B420" s="8"/>
      <c r="C420" s="15" t="s">
        <v>64</v>
      </c>
      <c r="D420" s="249" t="s">
        <v>278</v>
      </c>
      <c r="E420" s="9"/>
      <c r="F420" s="269"/>
      <c r="G420" s="258">
        <v>38635</v>
      </c>
      <c r="H420" s="259"/>
      <c r="I420" s="261" t="s">
        <v>279</v>
      </c>
      <c r="J420" s="289">
        <v>133.47</v>
      </c>
      <c r="K420" s="293"/>
      <c r="L420" s="301">
        <v>133.47</v>
      </c>
      <c r="M420" s="29">
        <v>133.47</v>
      </c>
      <c r="N420" s="29"/>
      <c r="O420" s="193">
        <f t="shared" si="117"/>
        <v>133.47</v>
      </c>
      <c r="P420" s="85">
        <f t="shared" si="118"/>
        <v>86.7555</v>
      </c>
      <c r="Q420" s="85"/>
      <c r="R420" s="193">
        <f t="shared" si="119"/>
        <v>86.7555</v>
      </c>
      <c r="S420" s="150"/>
      <c r="T420" s="151"/>
    </row>
    <row r="421" spans="1:20" s="86" customFormat="1" ht="38.25" customHeight="1">
      <c r="A421" s="52" t="s">
        <v>155</v>
      </c>
      <c r="B421" s="8"/>
      <c r="C421" s="15" t="s">
        <v>64</v>
      </c>
      <c r="D421" s="249" t="s">
        <v>278</v>
      </c>
      <c r="E421" s="9"/>
      <c r="F421" s="269"/>
      <c r="G421" s="263">
        <v>38638</v>
      </c>
      <c r="H421" s="264"/>
      <c r="I421" s="261" t="s">
        <v>279</v>
      </c>
      <c r="J421" s="289">
        <v>133.47</v>
      </c>
      <c r="K421" s="293"/>
      <c r="L421" s="301">
        <v>133.47</v>
      </c>
      <c r="M421" s="29">
        <v>133.47</v>
      </c>
      <c r="N421" s="29"/>
      <c r="O421" s="193">
        <f t="shared" si="117"/>
        <v>133.47</v>
      </c>
      <c r="P421" s="85">
        <f t="shared" si="118"/>
        <v>86.7555</v>
      </c>
      <c r="Q421" s="85"/>
      <c r="R421" s="193">
        <f t="shared" si="119"/>
        <v>86.7555</v>
      </c>
      <c r="S421" s="150"/>
      <c r="T421" s="151"/>
    </row>
    <row r="422" spans="1:20" s="86" customFormat="1" ht="38.25" customHeight="1">
      <c r="A422" s="52" t="s">
        <v>155</v>
      </c>
      <c r="B422" s="8"/>
      <c r="C422" s="15" t="s">
        <v>64</v>
      </c>
      <c r="D422" s="249" t="s">
        <v>278</v>
      </c>
      <c r="E422" s="9"/>
      <c r="F422" s="269"/>
      <c r="G422" s="267">
        <v>38643</v>
      </c>
      <c r="H422" s="268"/>
      <c r="I422" s="261" t="s">
        <v>279</v>
      </c>
      <c r="J422" s="289">
        <v>133.47</v>
      </c>
      <c r="K422" s="293"/>
      <c r="L422" s="301">
        <v>133.47</v>
      </c>
      <c r="M422" s="29">
        <v>133.47</v>
      </c>
      <c r="N422" s="29"/>
      <c r="O422" s="193">
        <f t="shared" si="117"/>
        <v>133.47</v>
      </c>
      <c r="P422" s="85">
        <f t="shared" si="118"/>
        <v>86.7555</v>
      </c>
      <c r="Q422" s="85"/>
      <c r="R422" s="193">
        <f t="shared" si="119"/>
        <v>86.7555</v>
      </c>
      <c r="S422" s="150"/>
      <c r="T422" s="151"/>
    </row>
    <row r="423" spans="1:20" s="86" customFormat="1" ht="23.25" customHeight="1">
      <c r="A423" s="52" t="s">
        <v>155</v>
      </c>
      <c r="B423" s="8"/>
      <c r="C423" s="15" t="s">
        <v>66</v>
      </c>
      <c r="D423" s="17" t="s">
        <v>392</v>
      </c>
      <c r="E423" s="15" t="s">
        <v>280</v>
      </c>
      <c r="F423" s="270">
        <v>133</v>
      </c>
      <c r="G423" s="251">
        <v>38528</v>
      </c>
      <c r="H423" s="18">
        <v>38527</v>
      </c>
      <c r="I423" s="251" t="s">
        <v>71</v>
      </c>
      <c r="J423" s="294">
        <f>2355.6+453</f>
        <v>2808.6</v>
      </c>
      <c r="K423" s="295">
        <v>471.12</v>
      </c>
      <c r="L423" s="301">
        <v>2826.72</v>
      </c>
      <c r="M423" s="294">
        <f>2355.6+453</f>
        <v>2808.6</v>
      </c>
      <c r="N423" s="29"/>
      <c r="O423" s="193">
        <f aca="true" t="shared" si="120" ref="O423:O428">+N423+M423</f>
        <v>2808.6</v>
      </c>
      <c r="P423" s="85">
        <f aca="true" t="shared" si="121" ref="P423:Q433">+M423*0.65</f>
        <v>1825.59</v>
      </c>
      <c r="Q423" s="85"/>
      <c r="R423" s="193">
        <f aca="true" t="shared" si="122" ref="R423:R428">+Q423+P423</f>
        <v>1825.59</v>
      </c>
      <c r="S423" s="410"/>
      <c r="T423" s="405"/>
    </row>
    <row r="424" spans="1:20" s="86" customFormat="1" ht="44.25" customHeight="1">
      <c r="A424" s="52" t="s">
        <v>155</v>
      </c>
      <c r="B424" s="8"/>
      <c r="C424" s="15" t="s">
        <v>108</v>
      </c>
      <c r="D424" s="271" t="s">
        <v>281</v>
      </c>
      <c r="E424" s="272" t="s">
        <v>282</v>
      </c>
      <c r="F424" s="273"/>
      <c r="G424" s="274">
        <v>38649</v>
      </c>
      <c r="H424" s="275">
        <v>38649</v>
      </c>
      <c r="I424" s="276" t="s">
        <v>283</v>
      </c>
      <c r="J424" s="296">
        <v>68.8</v>
      </c>
      <c r="K424" s="297"/>
      <c r="L424" s="301">
        <v>68.8</v>
      </c>
      <c r="M424" s="29">
        <v>68.8</v>
      </c>
      <c r="N424" s="29"/>
      <c r="O424" s="193">
        <f t="shared" si="120"/>
        <v>68.8</v>
      </c>
      <c r="P424" s="85">
        <f t="shared" si="121"/>
        <v>44.72</v>
      </c>
      <c r="Q424" s="85"/>
      <c r="R424" s="193">
        <f t="shared" si="122"/>
        <v>44.72</v>
      </c>
      <c r="S424" s="150"/>
      <c r="T424" s="151"/>
    </row>
    <row r="425" spans="1:20" s="86" customFormat="1" ht="38.25" customHeight="1">
      <c r="A425" s="52" t="s">
        <v>155</v>
      </c>
      <c r="B425" s="8"/>
      <c r="C425" s="15" t="s">
        <v>108</v>
      </c>
      <c r="D425" s="277" t="s">
        <v>284</v>
      </c>
      <c r="E425" s="278"/>
      <c r="F425" s="272" t="s">
        <v>256</v>
      </c>
      <c r="G425" s="279">
        <v>38551</v>
      </c>
      <c r="H425" s="275">
        <v>38551</v>
      </c>
      <c r="I425" s="280" t="s">
        <v>285</v>
      </c>
      <c r="J425" s="296">
        <v>226.7</v>
      </c>
      <c r="K425" s="297"/>
      <c r="L425" s="301">
        <v>226.7</v>
      </c>
      <c r="M425" s="29">
        <v>226.7</v>
      </c>
      <c r="N425" s="29"/>
      <c r="O425" s="193">
        <f t="shared" si="120"/>
        <v>226.7</v>
      </c>
      <c r="P425" s="85">
        <f t="shared" si="121"/>
        <v>147.355</v>
      </c>
      <c r="Q425" s="85"/>
      <c r="R425" s="193">
        <f t="shared" si="122"/>
        <v>147.355</v>
      </c>
      <c r="S425" s="150"/>
      <c r="T425" s="151"/>
    </row>
    <row r="426" spans="1:20" s="86" customFormat="1" ht="38.25" customHeight="1">
      <c r="A426" s="52" t="s">
        <v>155</v>
      </c>
      <c r="B426" s="8"/>
      <c r="C426" s="15" t="s">
        <v>108</v>
      </c>
      <c r="D426" s="277" t="s">
        <v>284</v>
      </c>
      <c r="E426" s="278"/>
      <c r="F426" s="272" t="s">
        <v>256</v>
      </c>
      <c r="G426" s="279">
        <v>38432</v>
      </c>
      <c r="H426" s="275">
        <v>38432</v>
      </c>
      <c r="I426" s="280" t="s">
        <v>286</v>
      </c>
      <c r="J426" s="296">
        <v>219.55</v>
      </c>
      <c r="K426" s="297"/>
      <c r="L426" s="301">
        <v>219.55</v>
      </c>
      <c r="M426" s="29">
        <v>219.55</v>
      </c>
      <c r="N426" s="29"/>
      <c r="O426" s="193">
        <f t="shared" si="120"/>
        <v>219.55</v>
      </c>
      <c r="P426" s="85">
        <f t="shared" si="121"/>
        <v>142.7075</v>
      </c>
      <c r="Q426" s="85"/>
      <c r="R426" s="193">
        <f t="shared" si="122"/>
        <v>142.7075</v>
      </c>
      <c r="S426" s="150"/>
      <c r="T426" s="151"/>
    </row>
    <row r="427" spans="1:20" s="86" customFormat="1" ht="38.25" customHeight="1">
      <c r="A427" s="52" t="s">
        <v>155</v>
      </c>
      <c r="B427" s="8"/>
      <c r="C427" s="15" t="s">
        <v>108</v>
      </c>
      <c r="D427" s="277" t="s">
        <v>287</v>
      </c>
      <c r="E427" s="273"/>
      <c r="F427" s="272" t="s">
        <v>256</v>
      </c>
      <c r="G427" s="274">
        <v>38623</v>
      </c>
      <c r="H427" s="275">
        <v>38623</v>
      </c>
      <c r="I427" s="276" t="s">
        <v>288</v>
      </c>
      <c r="J427" s="296">
        <v>268.36</v>
      </c>
      <c r="K427" s="297"/>
      <c r="L427" s="301">
        <v>268.36</v>
      </c>
      <c r="M427" s="29">
        <v>268.36</v>
      </c>
      <c r="N427" s="29"/>
      <c r="O427" s="193">
        <f t="shared" si="120"/>
        <v>268.36</v>
      </c>
      <c r="P427" s="85">
        <f t="shared" si="121"/>
        <v>174.43400000000003</v>
      </c>
      <c r="Q427" s="85"/>
      <c r="R427" s="193">
        <f t="shared" si="122"/>
        <v>174.43400000000003</v>
      </c>
      <c r="S427" s="150"/>
      <c r="T427" s="151"/>
    </row>
    <row r="428" spans="1:20" s="86" customFormat="1" ht="38.25" customHeight="1">
      <c r="A428" s="52" t="s">
        <v>155</v>
      </c>
      <c r="B428" s="8"/>
      <c r="C428" s="15" t="s">
        <v>108</v>
      </c>
      <c r="D428" s="277" t="s">
        <v>284</v>
      </c>
      <c r="E428" s="273"/>
      <c r="F428" s="272" t="s">
        <v>256</v>
      </c>
      <c r="G428" s="274">
        <v>38622</v>
      </c>
      <c r="H428" s="275">
        <v>38623</v>
      </c>
      <c r="I428" s="276" t="s">
        <v>289</v>
      </c>
      <c r="J428" s="296">
        <v>191.84</v>
      </c>
      <c r="K428" s="297"/>
      <c r="L428" s="301">
        <v>191.84</v>
      </c>
      <c r="M428" s="29">
        <v>191.84</v>
      </c>
      <c r="N428" s="29"/>
      <c r="O428" s="193">
        <f t="shared" si="120"/>
        <v>191.84</v>
      </c>
      <c r="P428" s="85">
        <f t="shared" si="121"/>
        <v>124.69600000000001</v>
      </c>
      <c r="Q428" s="85"/>
      <c r="R428" s="193">
        <f t="shared" si="122"/>
        <v>124.69600000000001</v>
      </c>
      <c r="S428" s="150"/>
      <c r="T428" s="151"/>
    </row>
    <row r="429" spans="1:20" s="86" customFormat="1" ht="38.25" customHeight="1">
      <c r="A429" s="52" t="s">
        <v>155</v>
      </c>
      <c r="B429" s="8"/>
      <c r="C429" s="15" t="s">
        <v>108</v>
      </c>
      <c r="D429" s="281" t="s">
        <v>290</v>
      </c>
      <c r="E429" s="272" t="s">
        <v>291</v>
      </c>
      <c r="F429" s="282">
        <v>1076</v>
      </c>
      <c r="G429" s="274">
        <v>38441</v>
      </c>
      <c r="H429" s="275">
        <v>38454</v>
      </c>
      <c r="I429" s="276" t="s">
        <v>292</v>
      </c>
      <c r="J429" s="296">
        <v>790</v>
      </c>
      <c r="K429" s="296">
        <v>158</v>
      </c>
      <c r="L429" s="301">
        <v>948</v>
      </c>
      <c r="M429" s="296">
        <v>790</v>
      </c>
      <c r="N429" s="296">
        <v>158</v>
      </c>
      <c r="O429" s="301">
        <v>948</v>
      </c>
      <c r="P429" s="85">
        <f t="shared" si="121"/>
        <v>513.5</v>
      </c>
      <c r="Q429" s="85">
        <f>+N429*0.65</f>
        <v>102.7</v>
      </c>
      <c r="R429" s="193">
        <f>SUM(P429:Q429)</f>
        <v>616.2</v>
      </c>
      <c r="S429" s="410" t="s">
        <v>303</v>
      </c>
      <c r="T429" s="405"/>
    </row>
    <row r="430" spans="1:20" s="86" customFormat="1" ht="38.25" customHeight="1">
      <c r="A430" s="52" t="s">
        <v>155</v>
      </c>
      <c r="B430" s="8"/>
      <c r="C430" s="15" t="s">
        <v>108</v>
      </c>
      <c r="D430" s="283" t="s">
        <v>293</v>
      </c>
      <c r="E430" s="284" t="s">
        <v>294</v>
      </c>
      <c r="F430" s="270">
        <v>54</v>
      </c>
      <c r="G430" s="285">
        <v>38457</v>
      </c>
      <c r="H430" s="259">
        <v>38502</v>
      </c>
      <c r="I430" s="261" t="s">
        <v>295</v>
      </c>
      <c r="J430" s="298">
        <v>535</v>
      </c>
      <c r="K430" s="298">
        <v>107</v>
      </c>
      <c r="L430" s="301">
        <v>642</v>
      </c>
      <c r="M430" s="298">
        <v>535</v>
      </c>
      <c r="N430" s="298">
        <v>107</v>
      </c>
      <c r="O430" s="301">
        <v>642</v>
      </c>
      <c r="P430" s="85">
        <f t="shared" si="121"/>
        <v>347.75</v>
      </c>
      <c r="Q430" s="85">
        <f>+N430*0.65</f>
        <v>69.55</v>
      </c>
      <c r="R430" s="193">
        <f>SUM(P430:Q430)</f>
        <v>417.3</v>
      </c>
      <c r="S430" s="410" t="s">
        <v>303</v>
      </c>
      <c r="T430" s="405"/>
    </row>
    <row r="431" spans="1:23" s="86" customFormat="1" ht="22.5">
      <c r="A431" s="52" t="s">
        <v>308</v>
      </c>
      <c r="B431" s="8"/>
      <c r="C431" s="15" t="s">
        <v>310</v>
      </c>
      <c r="D431" s="315" t="s">
        <v>311</v>
      </c>
      <c r="E431" s="284" t="s">
        <v>104</v>
      </c>
      <c r="F431" s="270">
        <v>6033013</v>
      </c>
      <c r="G431" s="285">
        <v>38713</v>
      </c>
      <c r="H431" s="259">
        <v>38733</v>
      </c>
      <c r="I431" s="261" t="s">
        <v>251</v>
      </c>
      <c r="J431" s="298">
        <f>94.24/1.2</f>
        <v>78.53333333333333</v>
      </c>
      <c r="K431" s="298">
        <f>+J431*0.2</f>
        <v>15.706666666666667</v>
      </c>
      <c r="L431" s="301">
        <f>+K431+J431</f>
        <v>94.24</v>
      </c>
      <c r="M431" s="298">
        <f>94.24/1.2</f>
        <v>78.53333333333333</v>
      </c>
      <c r="N431" s="298">
        <f>+M431*0.2</f>
        <v>15.706666666666667</v>
      </c>
      <c r="O431" s="301">
        <f aca="true" t="shared" si="123" ref="O431:O436">+N431+M431</f>
        <v>94.24</v>
      </c>
      <c r="P431" s="85">
        <f t="shared" si="121"/>
        <v>51.04666666666667</v>
      </c>
      <c r="Q431" s="85">
        <f t="shared" si="121"/>
        <v>10.209333333333333</v>
      </c>
      <c r="R431" s="193">
        <f aca="true" t="shared" si="124" ref="R431:R437">+Q431+P431</f>
        <v>61.256</v>
      </c>
      <c r="S431" s="150"/>
      <c r="T431" s="151"/>
      <c r="V431" s="303"/>
      <c r="W431" s="86">
        <f aca="true" t="shared" si="125" ref="W431:W481">+V431*0.65-U431</f>
        <v>0</v>
      </c>
    </row>
    <row r="432" spans="1:23" s="86" customFormat="1" ht="22.5">
      <c r="A432" s="52" t="s">
        <v>308</v>
      </c>
      <c r="B432" s="8"/>
      <c r="C432" s="15" t="s">
        <v>310</v>
      </c>
      <c r="D432" s="315" t="s">
        <v>311</v>
      </c>
      <c r="E432" s="284" t="s">
        <v>104</v>
      </c>
      <c r="F432" s="270">
        <v>6033014</v>
      </c>
      <c r="G432" s="285">
        <v>38765</v>
      </c>
      <c r="H432" s="259">
        <v>38785</v>
      </c>
      <c r="I432" s="261" t="s">
        <v>251</v>
      </c>
      <c r="J432" s="298">
        <f>151.8/1.2</f>
        <v>126.50000000000001</v>
      </c>
      <c r="K432" s="298">
        <f>+J432*0.2</f>
        <v>25.300000000000004</v>
      </c>
      <c r="L432" s="301">
        <f>+K432+J432</f>
        <v>151.8</v>
      </c>
      <c r="M432" s="298">
        <f>151.8/1.2</f>
        <v>126.50000000000001</v>
      </c>
      <c r="N432" s="298">
        <f>+M432*0.2</f>
        <v>25.300000000000004</v>
      </c>
      <c r="O432" s="301">
        <f t="shared" si="123"/>
        <v>151.8</v>
      </c>
      <c r="P432" s="85">
        <f>+M432*0.65</f>
        <v>82.22500000000001</v>
      </c>
      <c r="Q432" s="85">
        <f>+N432*0.65</f>
        <v>16.445000000000004</v>
      </c>
      <c r="R432" s="193">
        <f t="shared" si="124"/>
        <v>98.67000000000002</v>
      </c>
      <c r="S432" s="150"/>
      <c r="T432" s="151"/>
      <c r="V432" s="303"/>
      <c r="W432" s="86">
        <f t="shared" si="125"/>
        <v>0</v>
      </c>
    </row>
    <row r="433" spans="1:23" s="86" customFormat="1" ht="22.5">
      <c r="A433" s="52" t="s">
        <v>308</v>
      </c>
      <c r="B433" s="8"/>
      <c r="C433" s="15" t="s">
        <v>310</v>
      </c>
      <c r="D433" s="315" t="s">
        <v>312</v>
      </c>
      <c r="E433" s="284" t="s">
        <v>313</v>
      </c>
      <c r="F433" s="270"/>
      <c r="G433" s="285">
        <v>38776</v>
      </c>
      <c r="H433" s="259">
        <v>38895</v>
      </c>
      <c r="I433" s="261" t="s">
        <v>251</v>
      </c>
      <c r="J433" s="298">
        <v>615.6</v>
      </c>
      <c r="K433" s="298"/>
      <c r="L433" s="301">
        <f>+K433+J433</f>
        <v>615.6</v>
      </c>
      <c r="M433" s="298">
        <v>615.6</v>
      </c>
      <c r="N433" s="298"/>
      <c r="O433" s="301">
        <f t="shared" si="123"/>
        <v>615.6</v>
      </c>
      <c r="P433" s="85">
        <f t="shared" si="121"/>
        <v>400.14000000000004</v>
      </c>
      <c r="Q433" s="85"/>
      <c r="R433" s="193">
        <f t="shared" si="124"/>
        <v>400.14000000000004</v>
      </c>
      <c r="S433" s="150"/>
      <c r="T433" s="151"/>
      <c r="V433" s="303"/>
      <c r="W433" s="86">
        <f t="shared" si="125"/>
        <v>0</v>
      </c>
    </row>
    <row r="434" spans="1:23" s="86" customFormat="1" ht="22.5">
      <c r="A434" s="52" t="s">
        <v>308</v>
      </c>
      <c r="B434" s="8"/>
      <c r="C434" s="15" t="s">
        <v>310</v>
      </c>
      <c r="D434" s="315" t="s">
        <v>311</v>
      </c>
      <c r="E434" s="284" t="s">
        <v>104</v>
      </c>
      <c r="F434" s="270">
        <v>6033015</v>
      </c>
      <c r="G434" s="285">
        <v>38826</v>
      </c>
      <c r="H434" s="259">
        <v>38846</v>
      </c>
      <c r="I434" s="261" t="s">
        <v>251</v>
      </c>
      <c r="J434" s="298">
        <f>69.75/1.2</f>
        <v>58.125</v>
      </c>
      <c r="K434" s="298">
        <f>+J434*0.2</f>
        <v>11.625</v>
      </c>
      <c r="L434" s="301">
        <f>+K434+J434</f>
        <v>69.75</v>
      </c>
      <c r="M434" s="298">
        <f>69.75/1.2</f>
        <v>58.125</v>
      </c>
      <c r="N434" s="298">
        <f>+M434*0.2</f>
        <v>11.625</v>
      </c>
      <c r="O434" s="301">
        <f t="shared" si="123"/>
        <v>69.75</v>
      </c>
      <c r="P434" s="85">
        <f>+M434*0.65</f>
        <v>37.78125</v>
      </c>
      <c r="Q434" s="85">
        <f>+N434*0.65</f>
        <v>7.55625</v>
      </c>
      <c r="R434" s="193">
        <f t="shared" si="124"/>
        <v>45.3375</v>
      </c>
      <c r="S434" s="150"/>
      <c r="T434" s="151"/>
      <c r="V434" s="303"/>
      <c r="W434" s="86">
        <f t="shared" si="125"/>
        <v>0</v>
      </c>
    </row>
    <row r="435" spans="1:23" s="86" customFormat="1" ht="22.5">
      <c r="A435" s="52" t="s">
        <v>308</v>
      </c>
      <c r="B435" s="8"/>
      <c r="C435" s="15" t="s">
        <v>310</v>
      </c>
      <c r="D435" s="315" t="s">
        <v>311</v>
      </c>
      <c r="E435" s="284" t="s">
        <v>104</v>
      </c>
      <c r="F435" s="270">
        <v>6033016</v>
      </c>
      <c r="G435" s="285">
        <v>38887</v>
      </c>
      <c r="H435" s="259">
        <v>38908</v>
      </c>
      <c r="I435" s="261" t="s">
        <v>251</v>
      </c>
      <c r="J435" s="298">
        <f>112.77/1.2</f>
        <v>93.975</v>
      </c>
      <c r="K435" s="298">
        <f>+J435*0.2</f>
        <v>18.794999999999998</v>
      </c>
      <c r="L435" s="301">
        <v>112.77</v>
      </c>
      <c r="M435" s="298">
        <f>112.77/1.2</f>
        <v>93.975</v>
      </c>
      <c r="N435" s="298">
        <f>+M435*0.2</f>
        <v>18.794999999999998</v>
      </c>
      <c r="O435" s="301">
        <f t="shared" si="123"/>
        <v>112.77</v>
      </c>
      <c r="P435" s="85">
        <f>+M435*0.65</f>
        <v>61.083749999999995</v>
      </c>
      <c r="Q435" s="85">
        <f>+N435*0.65</f>
        <v>12.21675</v>
      </c>
      <c r="R435" s="193">
        <f t="shared" si="124"/>
        <v>73.3005</v>
      </c>
      <c r="S435" s="150"/>
      <c r="T435" s="151"/>
      <c r="V435" s="303"/>
      <c r="W435" s="86">
        <f t="shared" si="125"/>
        <v>0</v>
      </c>
    </row>
    <row r="436" spans="1:23" s="86" customFormat="1" ht="22.5">
      <c r="A436" s="52" t="s">
        <v>308</v>
      </c>
      <c r="B436" s="8"/>
      <c r="C436" s="15" t="s">
        <v>310</v>
      </c>
      <c r="D436" s="315" t="s">
        <v>312</v>
      </c>
      <c r="E436" s="284" t="s">
        <v>313</v>
      </c>
      <c r="F436" s="270"/>
      <c r="G436" s="285">
        <v>38898</v>
      </c>
      <c r="H436" s="259">
        <v>38919</v>
      </c>
      <c r="I436" s="261" t="s">
        <v>251</v>
      </c>
      <c r="J436" s="298">
        <v>661.8</v>
      </c>
      <c r="K436" s="298"/>
      <c r="L436" s="301">
        <f>+K436+J436</f>
        <v>661.8</v>
      </c>
      <c r="M436" s="298">
        <v>661.8</v>
      </c>
      <c r="N436" s="298"/>
      <c r="O436" s="301">
        <f t="shared" si="123"/>
        <v>661.8</v>
      </c>
      <c r="P436" s="85">
        <f>+M436*0.65</f>
        <v>430.16999999999996</v>
      </c>
      <c r="Q436" s="85"/>
      <c r="R436" s="193">
        <f t="shared" si="124"/>
        <v>430.16999999999996</v>
      </c>
      <c r="S436" s="150"/>
      <c r="T436" s="151"/>
      <c r="V436" s="303"/>
      <c r="W436" s="86">
        <f t="shared" si="125"/>
        <v>0</v>
      </c>
    </row>
    <row r="437" spans="1:23" s="86" customFormat="1" ht="45">
      <c r="A437" s="52" t="s">
        <v>308</v>
      </c>
      <c r="B437" s="8"/>
      <c r="C437" s="15" t="s">
        <v>64</v>
      </c>
      <c r="D437" s="315" t="s">
        <v>314</v>
      </c>
      <c r="E437" s="284"/>
      <c r="F437" s="270"/>
      <c r="G437" s="285">
        <v>38686</v>
      </c>
      <c r="H437" s="259">
        <v>38683</v>
      </c>
      <c r="I437" s="261" t="s">
        <v>279</v>
      </c>
      <c r="J437" s="298">
        <v>84.53</v>
      </c>
      <c r="K437" s="298"/>
      <c r="L437" s="301">
        <v>84.53</v>
      </c>
      <c r="M437" s="298">
        <v>84.53</v>
      </c>
      <c r="N437" s="298"/>
      <c r="O437" s="301">
        <f>+M437+N437</f>
        <v>84.53</v>
      </c>
      <c r="P437" s="85">
        <f>+M437*0.65</f>
        <v>54.944500000000005</v>
      </c>
      <c r="Q437" s="85"/>
      <c r="R437" s="193">
        <f t="shared" si="124"/>
        <v>54.944500000000005</v>
      </c>
      <c r="S437" s="150"/>
      <c r="T437" s="151"/>
      <c r="V437" s="303"/>
      <c r="W437" s="86">
        <f t="shared" si="125"/>
        <v>0</v>
      </c>
    </row>
    <row r="438" spans="1:23" s="86" customFormat="1" ht="45">
      <c r="A438" s="52" t="s">
        <v>308</v>
      </c>
      <c r="B438" s="8"/>
      <c r="C438" s="15" t="s">
        <v>64</v>
      </c>
      <c r="D438" s="315" t="s">
        <v>315</v>
      </c>
      <c r="E438" s="284"/>
      <c r="F438" s="270"/>
      <c r="G438" s="285">
        <v>38706</v>
      </c>
      <c r="H438" s="259">
        <v>38713</v>
      </c>
      <c r="I438" s="261" t="s">
        <v>279</v>
      </c>
      <c r="J438" s="298"/>
      <c r="K438" s="298"/>
      <c r="L438" s="301">
        <v>133.47</v>
      </c>
      <c r="M438" s="298">
        <v>133.47</v>
      </c>
      <c r="N438" s="298"/>
      <c r="O438" s="301">
        <f aca="true" t="shared" si="126" ref="O438:O444">+M438+N438</f>
        <v>133.47</v>
      </c>
      <c r="P438" s="85">
        <f aca="true" t="shared" si="127" ref="P438:P444">+M438*0.65</f>
        <v>86.7555</v>
      </c>
      <c r="Q438" s="85"/>
      <c r="R438" s="193">
        <f aca="true" t="shared" si="128" ref="R438:R444">+Q438+P438</f>
        <v>86.7555</v>
      </c>
      <c r="S438" s="150"/>
      <c r="T438" s="151"/>
      <c r="V438" s="303"/>
      <c r="W438" s="86">
        <f t="shared" si="125"/>
        <v>0</v>
      </c>
    </row>
    <row r="439" spans="1:23" s="86" customFormat="1" ht="45">
      <c r="A439" s="52" t="s">
        <v>308</v>
      </c>
      <c r="B439" s="8"/>
      <c r="C439" s="15" t="s">
        <v>64</v>
      </c>
      <c r="D439" s="315" t="s">
        <v>315</v>
      </c>
      <c r="E439" s="284"/>
      <c r="F439" s="270"/>
      <c r="G439" s="285">
        <v>38761</v>
      </c>
      <c r="H439" s="259">
        <v>38775</v>
      </c>
      <c r="I439" s="261" t="s">
        <v>279</v>
      </c>
      <c r="J439" s="298"/>
      <c r="K439" s="298"/>
      <c r="L439" s="301">
        <v>133.47</v>
      </c>
      <c r="M439" s="298">
        <v>133.47</v>
      </c>
      <c r="N439" s="298"/>
      <c r="O439" s="301">
        <f t="shared" si="126"/>
        <v>133.47</v>
      </c>
      <c r="P439" s="85">
        <f t="shared" si="127"/>
        <v>86.7555</v>
      </c>
      <c r="Q439" s="85"/>
      <c r="R439" s="193">
        <f t="shared" si="128"/>
        <v>86.7555</v>
      </c>
      <c r="S439" s="150"/>
      <c r="T439" s="151"/>
      <c r="V439" s="303"/>
      <c r="W439" s="86">
        <f t="shared" si="125"/>
        <v>0</v>
      </c>
    </row>
    <row r="440" spans="1:23" s="86" customFormat="1" ht="33.75">
      <c r="A440" s="52" t="s">
        <v>308</v>
      </c>
      <c r="B440" s="8"/>
      <c r="C440" s="15" t="s">
        <v>64</v>
      </c>
      <c r="D440" s="315" t="s">
        <v>60</v>
      </c>
      <c r="E440" s="284"/>
      <c r="F440" s="270"/>
      <c r="G440" s="285">
        <v>38810</v>
      </c>
      <c r="H440" s="259">
        <v>38834</v>
      </c>
      <c r="I440" s="261" t="s">
        <v>279</v>
      </c>
      <c r="J440" s="298"/>
      <c r="K440" s="298"/>
      <c r="L440" s="301">
        <v>133.47</v>
      </c>
      <c r="M440" s="298">
        <v>133.47</v>
      </c>
      <c r="N440" s="298"/>
      <c r="O440" s="301">
        <f t="shared" si="126"/>
        <v>133.47</v>
      </c>
      <c r="P440" s="85">
        <f t="shared" si="127"/>
        <v>86.7555</v>
      </c>
      <c r="Q440" s="85"/>
      <c r="R440" s="193">
        <f t="shared" si="128"/>
        <v>86.7555</v>
      </c>
      <c r="S440" s="150"/>
      <c r="T440" s="151"/>
      <c r="V440" s="303"/>
      <c r="W440" s="86">
        <f t="shared" si="125"/>
        <v>0</v>
      </c>
    </row>
    <row r="441" spans="1:23" s="86" customFormat="1" ht="33.75">
      <c r="A441" s="52" t="s">
        <v>308</v>
      </c>
      <c r="B441" s="8"/>
      <c r="C441" s="15" t="s">
        <v>64</v>
      </c>
      <c r="D441" s="315" t="s">
        <v>61</v>
      </c>
      <c r="E441" s="284"/>
      <c r="F441" s="270"/>
      <c r="G441" s="285">
        <v>38834</v>
      </c>
      <c r="H441" s="259">
        <v>38834</v>
      </c>
      <c r="I441" s="261" t="s">
        <v>279</v>
      </c>
      <c r="J441" s="298"/>
      <c r="K441" s="298"/>
      <c r="L441" s="301">
        <v>133.47</v>
      </c>
      <c r="M441" s="298">
        <v>133.47</v>
      </c>
      <c r="N441" s="298"/>
      <c r="O441" s="301">
        <f t="shared" si="126"/>
        <v>133.47</v>
      </c>
      <c r="P441" s="85">
        <f t="shared" si="127"/>
        <v>86.7555</v>
      </c>
      <c r="Q441" s="85"/>
      <c r="R441" s="193">
        <f t="shared" si="128"/>
        <v>86.7555</v>
      </c>
      <c r="S441" s="150"/>
      <c r="T441" s="151"/>
      <c r="V441" s="303"/>
      <c r="W441" s="86">
        <f t="shared" si="125"/>
        <v>0</v>
      </c>
    </row>
    <row r="442" spans="1:23" s="86" customFormat="1" ht="33.75">
      <c r="A442" s="52" t="s">
        <v>308</v>
      </c>
      <c r="B442" s="8"/>
      <c r="C442" s="15" t="s">
        <v>64</v>
      </c>
      <c r="D442" s="315" t="s">
        <v>62</v>
      </c>
      <c r="E442" s="284"/>
      <c r="F442" s="270"/>
      <c r="G442" s="285">
        <v>38881</v>
      </c>
      <c r="H442" s="259">
        <v>38895</v>
      </c>
      <c r="I442" s="261" t="s">
        <v>279</v>
      </c>
      <c r="J442" s="298"/>
      <c r="K442" s="298"/>
      <c r="L442" s="301">
        <v>240.45</v>
      </c>
      <c r="M442" s="298">
        <v>240.45</v>
      </c>
      <c r="N442" s="298"/>
      <c r="O442" s="301">
        <f t="shared" si="126"/>
        <v>240.45</v>
      </c>
      <c r="P442" s="85">
        <f t="shared" si="127"/>
        <v>156.2925</v>
      </c>
      <c r="Q442" s="85"/>
      <c r="R442" s="193">
        <f t="shared" si="128"/>
        <v>156.2925</v>
      </c>
      <c r="S442" s="150"/>
      <c r="T442" s="151"/>
      <c r="V442" s="303"/>
      <c r="W442" s="86">
        <f t="shared" si="125"/>
        <v>0</v>
      </c>
    </row>
    <row r="443" spans="1:23" s="86" customFormat="1" ht="33.75">
      <c r="A443" s="52" t="s">
        <v>308</v>
      </c>
      <c r="B443" s="8"/>
      <c r="C443" s="15" t="s">
        <v>108</v>
      </c>
      <c r="D443" s="315" t="s">
        <v>318</v>
      </c>
      <c r="E443" s="284" t="s">
        <v>319</v>
      </c>
      <c r="F443" s="270"/>
      <c r="G443" s="285">
        <v>38758</v>
      </c>
      <c r="H443" s="259">
        <v>38758</v>
      </c>
      <c r="I443" s="261" t="s">
        <v>322</v>
      </c>
      <c r="J443" s="298">
        <v>33</v>
      </c>
      <c r="K443" s="298"/>
      <c r="L443" s="301">
        <v>33</v>
      </c>
      <c r="M443" s="298">
        <v>33</v>
      </c>
      <c r="N443" s="298"/>
      <c r="O443" s="301">
        <f t="shared" si="126"/>
        <v>33</v>
      </c>
      <c r="P443" s="85">
        <f t="shared" si="127"/>
        <v>21.45</v>
      </c>
      <c r="Q443" s="85"/>
      <c r="R443" s="193">
        <f t="shared" si="128"/>
        <v>21.45</v>
      </c>
      <c r="S443" s="150"/>
      <c r="T443" s="151"/>
      <c r="V443" s="303"/>
      <c r="W443" s="86">
        <f t="shared" si="125"/>
        <v>0</v>
      </c>
    </row>
    <row r="444" spans="1:23" s="86" customFormat="1" ht="24.75" customHeight="1">
      <c r="A444" s="52" t="s">
        <v>308</v>
      </c>
      <c r="B444" s="8"/>
      <c r="C444" s="15" t="s">
        <v>108</v>
      </c>
      <c r="D444" s="315" t="s">
        <v>318</v>
      </c>
      <c r="E444" s="284" t="s">
        <v>413</v>
      </c>
      <c r="F444" s="270"/>
      <c r="G444" s="285">
        <v>38733</v>
      </c>
      <c r="H444" s="259">
        <v>38733</v>
      </c>
      <c r="I444" s="261" t="s">
        <v>322</v>
      </c>
      <c r="J444" s="298">
        <v>62</v>
      </c>
      <c r="K444" s="298"/>
      <c r="L444" s="301">
        <v>62</v>
      </c>
      <c r="M444" s="298">
        <v>62</v>
      </c>
      <c r="N444" s="298"/>
      <c r="O444" s="301">
        <f t="shared" si="126"/>
        <v>62</v>
      </c>
      <c r="P444" s="85">
        <f t="shared" si="127"/>
        <v>40.300000000000004</v>
      </c>
      <c r="Q444" s="85"/>
      <c r="R444" s="193">
        <f t="shared" si="128"/>
        <v>40.300000000000004</v>
      </c>
      <c r="S444" s="150"/>
      <c r="T444" s="151"/>
      <c r="V444" s="303"/>
      <c r="W444" s="86">
        <f t="shared" si="125"/>
        <v>0</v>
      </c>
    </row>
    <row r="445" spans="1:23" s="86" customFormat="1" ht="33" customHeight="1">
      <c r="A445" s="52" t="s">
        <v>308</v>
      </c>
      <c r="B445" s="8"/>
      <c r="C445" s="15" t="s">
        <v>108</v>
      </c>
      <c r="D445" s="315" t="s">
        <v>320</v>
      </c>
      <c r="E445" s="284" t="s">
        <v>321</v>
      </c>
      <c r="F445" s="270">
        <v>4814</v>
      </c>
      <c r="G445" s="285">
        <v>38686</v>
      </c>
      <c r="H445" s="259">
        <v>38686</v>
      </c>
      <c r="I445" s="261" t="s">
        <v>322</v>
      </c>
      <c r="J445" s="298">
        <v>1375</v>
      </c>
      <c r="K445" s="298"/>
      <c r="L445" s="301">
        <v>1375</v>
      </c>
      <c r="M445" s="298"/>
      <c r="N445" s="298"/>
      <c r="O445" s="301"/>
      <c r="P445" s="85"/>
      <c r="Q445" s="85"/>
      <c r="R445" s="193"/>
      <c r="S445" s="410" t="s">
        <v>403</v>
      </c>
      <c r="T445" s="405"/>
      <c r="V445" s="303"/>
      <c r="W445" s="86">
        <f t="shared" si="125"/>
        <v>0</v>
      </c>
    </row>
    <row r="446" spans="1:23" s="27" customFormat="1" ht="33.75">
      <c r="A446" s="52" t="s">
        <v>308</v>
      </c>
      <c r="B446" s="353" t="s">
        <v>394</v>
      </c>
      <c r="C446" s="15" t="s">
        <v>108</v>
      </c>
      <c r="D446" s="235" t="s">
        <v>405</v>
      </c>
      <c r="E446" s="310" t="s">
        <v>316</v>
      </c>
      <c r="F446" s="311" t="s">
        <v>317</v>
      </c>
      <c r="G446" s="312">
        <v>38651</v>
      </c>
      <c r="H446" s="316">
        <v>38665</v>
      </c>
      <c r="I446" s="317" t="s">
        <v>398</v>
      </c>
      <c r="J446" s="318">
        <v>198.17</v>
      </c>
      <c r="K446" s="318">
        <v>39.63</v>
      </c>
      <c r="L446" s="308">
        <v>237.8</v>
      </c>
      <c r="M446" s="233">
        <v>198.17</v>
      </c>
      <c r="N446" s="233">
        <v>39.63</v>
      </c>
      <c r="O446" s="308">
        <f>+N446+M446</f>
        <v>237.79999999999998</v>
      </c>
      <c r="P446" s="313">
        <f>+M446*0.65</f>
        <v>128.8105</v>
      </c>
      <c r="Q446" s="313">
        <f aca="true" t="shared" si="129" ref="P446:Q461">+N446*0.65</f>
        <v>25.759500000000003</v>
      </c>
      <c r="R446" s="314">
        <f aca="true" t="shared" si="130" ref="R446:R480">+Q446+P446</f>
        <v>154.57</v>
      </c>
      <c r="S446" s="419"/>
      <c r="T446" s="420"/>
      <c r="U446" s="86"/>
      <c r="V446" s="303"/>
      <c r="W446" s="86">
        <f t="shared" si="125"/>
        <v>0</v>
      </c>
    </row>
    <row r="447" spans="1:23" s="27" customFormat="1" ht="33.75">
      <c r="A447" s="53" t="s">
        <v>308</v>
      </c>
      <c r="B447" s="353" t="s">
        <v>394</v>
      </c>
      <c r="C447" s="15" t="s">
        <v>49</v>
      </c>
      <c r="D447" s="235" t="s">
        <v>405</v>
      </c>
      <c r="E447" s="310" t="s">
        <v>316</v>
      </c>
      <c r="F447" s="311" t="s">
        <v>406</v>
      </c>
      <c r="G447" s="312">
        <v>38651</v>
      </c>
      <c r="H447" s="316">
        <v>38771</v>
      </c>
      <c r="I447" s="317" t="s">
        <v>47</v>
      </c>
      <c r="J447" s="318">
        <v>198.17</v>
      </c>
      <c r="K447" s="318">
        <v>39.63</v>
      </c>
      <c r="L447" s="308">
        <v>237.8</v>
      </c>
      <c r="M447" s="233">
        <v>198.17</v>
      </c>
      <c r="N447" s="233">
        <v>39.63</v>
      </c>
      <c r="O447" s="308">
        <f>+N447+M447</f>
        <v>237.79999999999998</v>
      </c>
      <c r="P447" s="313">
        <f>+M447*0.65</f>
        <v>128.8105</v>
      </c>
      <c r="Q447" s="313">
        <f t="shared" si="129"/>
        <v>25.759500000000003</v>
      </c>
      <c r="R447" s="314">
        <f t="shared" si="130"/>
        <v>154.57</v>
      </c>
      <c r="S447" s="351"/>
      <c r="T447" s="352"/>
      <c r="U447" s="86"/>
      <c r="V447" s="303"/>
      <c r="W447" s="86">
        <f t="shared" si="125"/>
        <v>0</v>
      </c>
    </row>
    <row r="448" spans="1:23" s="27" customFormat="1" ht="22.5">
      <c r="A448" s="53" t="s">
        <v>308</v>
      </c>
      <c r="B448" s="353"/>
      <c r="C448" s="15" t="s">
        <v>49</v>
      </c>
      <c r="D448" s="235" t="s">
        <v>407</v>
      </c>
      <c r="E448" s="310" t="s">
        <v>408</v>
      </c>
      <c r="F448" s="311"/>
      <c r="G448" s="312">
        <v>38679</v>
      </c>
      <c r="H448" s="312">
        <v>38679</v>
      </c>
      <c r="I448" s="317" t="s">
        <v>409</v>
      </c>
      <c r="J448" s="318">
        <v>54</v>
      </c>
      <c r="K448" s="318"/>
      <c r="L448" s="308">
        <f>+K448+J448</f>
        <v>54</v>
      </c>
      <c r="M448" s="233">
        <v>54</v>
      </c>
      <c r="N448" s="233"/>
      <c r="O448" s="308">
        <f>+N448+M448</f>
        <v>54</v>
      </c>
      <c r="P448" s="313">
        <f>+M448*0.65</f>
        <v>35.1</v>
      </c>
      <c r="Q448" s="85"/>
      <c r="R448" s="314">
        <f t="shared" si="130"/>
        <v>35.1</v>
      </c>
      <c r="S448" s="351"/>
      <c r="T448" s="352"/>
      <c r="U448" s="86"/>
      <c r="V448" s="303"/>
      <c r="W448" s="86">
        <f t="shared" si="125"/>
        <v>0</v>
      </c>
    </row>
    <row r="449" spans="1:23" s="27" customFormat="1" ht="33.75">
      <c r="A449" s="53" t="s">
        <v>308</v>
      </c>
      <c r="B449" s="353" t="s">
        <v>394</v>
      </c>
      <c r="C449" s="15" t="s">
        <v>78</v>
      </c>
      <c r="D449" s="235" t="s">
        <v>405</v>
      </c>
      <c r="E449" s="310" t="s">
        <v>316</v>
      </c>
      <c r="F449" s="311" t="s">
        <v>411</v>
      </c>
      <c r="G449" s="312">
        <v>38651</v>
      </c>
      <c r="H449" s="316">
        <v>38673</v>
      </c>
      <c r="I449" s="317" t="s">
        <v>47</v>
      </c>
      <c r="J449" s="318">
        <v>198.17</v>
      </c>
      <c r="K449" s="318">
        <v>39.63</v>
      </c>
      <c r="L449" s="308">
        <v>237.8</v>
      </c>
      <c r="M449" s="233">
        <v>198.17</v>
      </c>
      <c r="N449" s="233">
        <v>39.63</v>
      </c>
      <c r="O449" s="308">
        <f>+N449+M449</f>
        <v>237.79999999999998</v>
      </c>
      <c r="P449" s="313">
        <f t="shared" si="129"/>
        <v>128.8105</v>
      </c>
      <c r="Q449" s="313">
        <f t="shared" si="129"/>
        <v>25.759500000000003</v>
      </c>
      <c r="R449" s="314">
        <f t="shared" si="130"/>
        <v>154.57</v>
      </c>
      <c r="S449" s="351"/>
      <c r="T449" s="352"/>
      <c r="U449" s="86"/>
      <c r="V449" s="303"/>
      <c r="W449" s="86">
        <f t="shared" si="125"/>
        <v>0</v>
      </c>
    </row>
    <row r="450" spans="1:23" s="86" customFormat="1" ht="33" customHeight="1">
      <c r="A450" s="52" t="s">
        <v>308</v>
      </c>
      <c r="B450" s="8"/>
      <c r="C450" s="15" t="s">
        <v>78</v>
      </c>
      <c r="D450" s="315" t="s">
        <v>323</v>
      </c>
      <c r="E450" s="284" t="s">
        <v>81</v>
      </c>
      <c r="F450" s="270">
        <v>168</v>
      </c>
      <c r="G450" s="285">
        <v>38681</v>
      </c>
      <c r="H450" s="259">
        <v>38681</v>
      </c>
      <c r="I450" s="261" t="s">
        <v>82</v>
      </c>
      <c r="J450" s="298">
        <v>500</v>
      </c>
      <c r="K450" s="298">
        <v>100</v>
      </c>
      <c r="L450" s="301">
        <v>600</v>
      </c>
      <c r="M450" s="298">
        <f>+O450/1.2</f>
        <v>62.5</v>
      </c>
      <c r="N450" s="298">
        <f>+M450*0.2</f>
        <v>12.5</v>
      </c>
      <c r="O450" s="301">
        <v>75</v>
      </c>
      <c r="P450" s="313">
        <f t="shared" si="129"/>
        <v>40.625</v>
      </c>
      <c r="Q450" s="313">
        <f t="shared" si="129"/>
        <v>8.125</v>
      </c>
      <c r="R450" s="193">
        <f t="shared" si="130"/>
        <v>48.75</v>
      </c>
      <c r="S450" s="410" t="s">
        <v>412</v>
      </c>
      <c r="T450" s="405"/>
      <c r="V450" s="303"/>
      <c r="W450" s="86">
        <f t="shared" si="125"/>
        <v>0</v>
      </c>
    </row>
    <row r="451" spans="1:23" s="86" customFormat="1" ht="33" customHeight="1">
      <c r="A451" s="52" t="s">
        <v>308</v>
      </c>
      <c r="B451" s="8"/>
      <c r="C451" s="15" t="s">
        <v>78</v>
      </c>
      <c r="D451" s="315" t="s">
        <v>324</v>
      </c>
      <c r="E451" s="284" t="s">
        <v>88</v>
      </c>
      <c r="F451" s="270">
        <v>33651</v>
      </c>
      <c r="G451" s="285">
        <v>38686</v>
      </c>
      <c r="H451" s="259">
        <v>38708</v>
      </c>
      <c r="I451" s="261" t="s">
        <v>82</v>
      </c>
      <c r="J451" s="298">
        <v>100</v>
      </c>
      <c r="K451" s="298">
        <v>20</v>
      </c>
      <c r="L451" s="301">
        <v>120</v>
      </c>
      <c r="M451" s="298">
        <f aca="true" t="shared" si="131" ref="M451:M480">+O451/1.2</f>
        <v>12.5</v>
      </c>
      <c r="N451" s="298">
        <f aca="true" t="shared" si="132" ref="N451:N480">+M451*0.2</f>
        <v>2.5</v>
      </c>
      <c r="O451" s="301">
        <v>15</v>
      </c>
      <c r="P451" s="313">
        <f aca="true" t="shared" si="133" ref="P451:Q480">+M451*0.65</f>
        <v>8.125</v>
      </c>
      <c r="Q451" s="313">
        <f t="shared" si="129"/>
        <v>1.625</v>
      </c>
      <c r="R451" s="193">
        <f t="shared" si="130"/>
        <v>9.75</v>
      </c>
      <c r="S451" s="410" t="s">
        <v>301</v>
      </c>
      <c r="T451" s="405"/>
      <c r="V451" s="303"/>
      <c r="W451" s="86">
        <f t="shared" si="125"/>
        <v>0</v>
      </c>
    </row>
    <row r="452" spans="1:23" s="86" customFormat="1" ht="33" customHeight="1">
      <c r="A452" s="52" t="s">
        <v>308</v>
      </c>
      <c r="B452" s="8"/>
      <c r="C452" s="15" t="s">
        <v>78</v>
      </c>
      <c r="D452" s="315" t="s">
        <v>324</v>
      </c>
      <c r="E452" s="284" t="s">
        <v>88</v>
      </c>
      <c r="F452" s="270">
        <v>33534</v>
      </c>
      <c r="G452" s="285">
        <v>38686</v>
      </c>
      <c r="H452" s="259">
        <v>38708</v>
      </c>
      <c r="I452" s="261" t="s">
        <v>82</v>
      </c>
      <c r="J452" s="298">
        <v>500</v>
      </c>
      <c r="K452" s="298">
        <v>100</v>
      </c>
      <c r="L452" s="301">
        <v>600</v>
      </c>
      <c r="M452" s="298">
        <f t="shared" si="131"/>
        <v>62.5</v>
      </c>
      <c r="N452" s="298">
        <f t="shared" si="132"/>
        <v>12.5</v>
      </c>
      <c r="O452" s="301">
        <v>75</v>
      </c>
      <c r="P452" s="313">
        <f t="shared" si="133"/>
        <v>40.625</v>
      </c>
      <c r="Q452" s="313">
        <f t="shared" si="129"/>
        <v>8.125</v>
      </c>
      <c r="R452" s="193">
        <f t="shared" si="130"/>
        <v>48.75</v>
      </c>
      <c r="S452" s="410" t="s">
        <v>301</v>
      </c>
      <c r="T452" s="405"/>
      <c r="V452" s="303"/>
      <c r="W452" s="86">
        <f t="shared" si="125"/>
        <v>0</v>
      </c>
    </row>
    <row r="453" spans="1:23" s="86" customFormat="1" ht="33" customHeight="1">
      <c r="A453" s="52" t="s">
        <v>308</v>
      </c>
      <c r="B453" s="8"/>
      <c r="C453" s="15" t="s">
        <v>78</v>
      </c>
      <c r="D453" s="315" t="s">
        <v>325</v>
      </c>
      <c r="E453" s="284" t="s">
        <v>84</v>
      </c>
      <c r="F453" s="270"/>
      <c r="G453" s="285"/>
      <c r="H453" s="259">
        <v>38708</v>
      </c>
      <c r="I453" s="261" t="s">
        <v>85</v>
      </c>
      <c r="J453" s="298">
        <f>1185.42/1.2</f>
        <v>987.8500000000001</v>
      </c>
      <c r="K453" s="298">
        <f>+J453*0.2</f>
        <v>197.57000000000005</v>
      </c>
      <c r="L453" s="301">
        <f>+K453+J453</f>
        <v>1185.42</v>
      </c>
      <c r="M453" s="298">
        <f t="shared" si="131"/>
        <v>123.48333333333335</v>
      </c>
      <c r="N453" s="298">
        <f t="shared" si="132"/>
        <v>24.696666666666673</v>
      </c>
      <c r="O453" s="301">
        <v>148.18</v>
      </c>
      <c r="P453" s="313">
        <f t="shared" si="133"/>
        <v>80.26416666666668</v>
      </c>
      <c r="Q453" s="313">
        <f t="shared" si="129"/>
        <v>16.05283333333334</v>
      </c>
      <c r="R453" s="193">
        <f t="shared" si="130"/>
        <v>96.31700000000002</v>
      </c>
      <c r="S453" s="389"/>
      <c r="T453" s="390"/>
      <c r="V453" s="303"/>
      <c r="W453" s="86">
        <f t="shared" si="125"/>
        <v>0</v>
      </c>
    </row>
    <row r="454" spans="1:23" s="86" customFormat="1" ht="33" customHeight="1">
      <c r="A454" s="52" t="s">
        <v>308</v>
      </c>
      <c r="B454" s="8"/>
      <c r="C454" s="15" t="s">
        <v>78</v>
      </c>
      <c r="D454" s="315" t="s">
        <v>326</v>
      </c>
      <c r="E454" s="284" t="s">
        <v>81</v>
      </c>
      <c r="F454" s="270">
        <v>187</v>
      </c>
      <c r="G454" s="285">
        <v>38708</v>
      </c>
      <c r="H454" s="259">
        <v>38708</v>
      </c>
      <c r="I454" s="261" t="s">
        <v>82</v>
      </c>
      <c r="J454" s="298">
        <v>500</v>
      </c>
      <c r="K454" s="298">
        <v>100</v>
      </c>
      <c r="L454" s="301">
        <v>600</v>
      </c>
      <c r="M454" s="298">
        <f t="shared" si="131"/>
        <v>60.6</v>
      </c>
      <c r="N454" s="298">
        <f t="shared" si="132"/>
        <v>12.120000000000001</v>
      </c>
      <c r="O454" s="301">
        <v>72.72</v>
      </c>
      <c r="P454" s="313">
        <f t="shared" si="133"/>
        <v>39.39</v>
      </c>
      <c r="Q454" s="313">
        <f t="shared" si="129"/>
        <v>7.878000000000001</v>
      </c>
      <c r="R454" s="193">
        <f t="shared" si="130"/>
        <v>47.268</v>
      </c>
      <c r="S454" s="410" t="s">
        <v>301</v>
      </c>
      <c r="T454" s="405"/>
      <c r="V454" s="303"/>
      <c r="W454" s="86">
        <f t="shared" si="125"/>
        <v>0</v>
      </c>
    </row>
    <row r="455" spans="1:23" s="86" customFormat="1" ht="33" customHeight="1">
      <c r="A455" s="52" t="s">
        <v>308</v>
      </c>
      <c r="B455" s="8"/>
      <c r="C455" s="15" t="s">
        <v>78</v>
      </c>
      <c r="D455" s="315" t="s">
        <v>327</v>
      </c>
      <c r="E455" s="284" t="s">
        <v>228</v>
      </c>
      <c r="F455" s="270" t="s">
        <v>396</v>
      </c>
      <c r="G455" s="285"/>
      <c r="H455" s="259">
        <v>38716</v>
      </c>
      <c r="I455" s="261" t="s">
        <v>85</v>
      </c>
      <c r="J455" s="298"/>
      <c r="K455" s="298"/>
      <c r="L455" s="301">
        <v>76.06</v>
      </c>
      <c r="M455" s="298">
        <f t="shared" si="131"/>
        <v>15.041666666666668</v>
      </c>
      <c r="N455" s="298">
        <f t="shared" si="132"/>
        <v>3.0083333333333337</v>
      </c>
      <c r="O455" s="301">
        <v>18.05</v>
      </c>
      <c r="P455" s="313">
        <f t="shared" si="133"/>
        <v>9.777083333333334</v>
      </c>
      <c r="Q455" s="313">
        <f t="shared" si="129"/>
        <v>1.955416666666667</v>
      </c>
      <c r="R455" s="193">
        <f t="shared" si="130"/>
        <v>11.7325</v>
      </c>
      <c r="S455" s="410" t="s">
        <v>301</v>
      </c>
      <c r="T455" s="405"/>
      <c r="V455" s="303"/>
      <c r="W455" s="86">
        <f t="shared" si="125"/>
        <v>0</v>
      </c>
    </row>
    <row r="456" spans="1:23" s="86" customFormat="1" ht="33" customHeight="1">
      <c r="A456" s="52" t="s">
        <v>308</v>
      </c>
      <c r="B456" s="8"/>
      <c r="C456" s="15" t="s">
        <v>78</v>
      </c>
      <c r="D456" s="315" t="s">
        <v>328</v>
      </c>
      <c r="E456" s="284" t="s">
        <v>88</v>
      </c>
      <c r="F456" s="270">
        <v>36672</v>
      </c>
      <c r="G456" s="285">
        <v>38715</v>
      </c>
      <c r="H456" s="259">
        <v>38743</v>
      </c>
      <c r="I456" s="261" t="s">
        <v>82</v>
      </c>
      <c r="J456" s="298">
        <v>500</v>
      </c>
      <c r="K456" s="298">
        <v>100</v>
      </c>
      <c r="L456" s="301">
        <v>600</v>
      </c>
      <c r="M456" s="298">
        <f t="shared" si="131"/>
        <v>60.6</v>
      </c>
      <c r="N456" s="298">
        <f t="shared" si="132"/>
        <v>12.120000000000001</v>
      </c>
      <c r="O456" s="301">
        <v>72.72</v>
      </c>
      <c r="P456" s="313">
        <f t="shared" si="133"/>
        <v>39.39</v>
      </c>
      <c r="Q456" s="313">
        <f t="shared" si="129"/>
        <v>7.878000000000001</v>
      </c>
      <c r="R456" s="193">
        <f t="shared" si="130"/>
        <v>47.268</v>
      </c>
      <c r="S456" s="410" t="s">
        <v>301</v>
      </c>
      <c r="T456" s="405"/>
      <c r="V456" s="303"/>
      <c r="W456" s="86">
        <f t="shared" si="125"/>
        <v>0</v>
      </c>
    </row>
    <row r="457" spans="1:23" s="86" customFormat="1" ht="33" customHeight="1">
      <c r="A457" s="52" t="s">
        <v>308</v>
      </c>
      <c r="B457" s="8"/>
      <c r="C457" s="15" t="s">
        <v>78</v>
      </c>
      <c r="D457" s="315" t="s">
        <v>328</v>
      </c>
      <c r="E457" s="284" t="s">
        <v>88</v>
      </c>
      <c r="F457" s="270">
        <v>36788</v>
      </c>
      <c r="G457" s="285">
        <v>38715</v>
      </c>
      <c r="H457" s="259">
        <v>38743</v>
      </c>
      <c r="I457" s="261" t="s">
        <v>82</v>
      </c>
      <c r="J457" s="298">
        <v>100</v>
      </c>
      <c r="K457" s="298">
        <v>20</v>
      </c>
      <c r="L457" s="301">
        <v>120</v>
      </c>
      <c r="M457" s="298">
        <f t="shared" si="131"/>
        <v>12.116666666666667</v>
      </c>
      <c r="N457" s="298">
        <f t="shared" si="132"/>
        <v>2.423333333333334</v>
      </c>
      <c r="O457" s="301">
        <v>14.54</v>
      </c>
      <c r="P457" s="313">
        <f t="shared" si="133"/>
        <v>7.875833333333334</v>
      </c>
      <c r="Q457" s="313">
        <f t="shared" si="129"/>
        <v>1.575166666666667</v>
      </c>
      <c r="R457" s="193">
        <f t="shared" si="130"/>
        <v>9.451</v>
      </c>
      <c r="S457" s="410" t="s">
        <v>301</v>
      </c>
      <c r="T457" s="405"/>
      <c r="V457" s="303"/>
      <c r="W457" s="86">
        <f t="shared" si="125"/>
        <v>0</v>
      </c>
    </row>
    <row r="458" spans="1:23" s="86" customFormat="1" ht="33" customHeight="1">
      <c r="A458" s="52" t="s">
        <v>308</v>
      </c>
      <c r="B458" s="8"/>
      <c r="C458" s="15" t="s">
        <v>78</v>
      </c>
      <c r="D458" s="315" t="s">
        <v>329</v>
      </c>
      <c r="E458" s="284" t="s">
        <v>84</v>
      </c>
      <c r="F458" s="270"/>
      <c r="G458" s="285"/>
      <c r="H458" s="259">
        <v>38743</v>
      </c>
      <c r="I458" s="261" t="s">
        <v>85</v>
      </c>
      <c r="J458" s="298"/>
      <c r="K458" s="298"/>
      <c r="L458" s="301">
        <v>1632.72</v>
      </c>
      <c r="M458" s="298">
        <f t="shared" si="131"/>
        <v>164.9</v>
      </c>
      <c r="N458" s="298">
        <f t="shared" si="132"/>
        <v>32.980000000000004</v>
      </c>
      <c r="O458" s="301">
        <v>197.88</v>
      </c>
      <c r="P458" s="313">
        <f t="shared" si="133"/>
        <v>107.185</v>
      </c>
      <c r="Q458" s="313">
        <f t="shared" si="129"/>
        <v>21.437000000000005</v>
      </c>
      <c r="R458" s="193">
        <f t="shared" si="130"/>
        <v>128.622</v>
      </c>
      <c r="S458" s="410" t="s">
        <v>301</v>
      </c>
      <c r="T458" s="405"/>
      <c r="V458" s="303"/>
      <c r="W458" s="86">
        <f t="shared" si="125"/>
        <v>0</v>
      </c>
    </row>
    <row r="459" spans="1:23" s="86" customFormat="1" ht="33" customHeight="1">
      <c r="A459" s="52" t="s">
        <v>308</v>
      </c>
      <c r="B459" s="8"/>
      <c r="C459" s="15" t="s">
        <v>78</v>
      </c>
      <c r="D459" s="315" t="s">
        <v>330</v>
      </c>
      <c r="E459" s="284" t="s">
        <v>81</v>
      </c>
      <c r="F459" s="270">
        <v>13</v>
      </c>
      <c r="G459" s="285">
        <v>38743</v>
      </c>
      <c r="H459" s="259">
        <v>38743</v>
      </c>
      <c r="I459" s="261" t="s">
        <v>82</v>
      </c>
      <c r="J459" s="298">
        <v>500</v>
      </c>
      <c r="K459" s="298">
        <v>100</v>
      </c>
      <c r="L459" s="301">
        <v>600</v>
      </c>
      <c r="M459" s="298">
        <f t="shared" si="131"/>
        <v>55.55</v>
      </c>
      <c r="N459" s="298">
        <f t="shared" si="132"/>
        <v>11.11</v>
      </c>
      <c r="O459" s="301">
        <v>66.66</v>
      </c>
      <c r="P459" s="313">
        <f t="shared" si="133"/>
        <v>36.1075</v>
      </c>
      <c r="Q459" s="313">
        <f t="shared" si="129"/>
        <v>7.2215</v>
      </c>
      <c r="R459" s="193">
        <f t="shared" si="130"/>
        <v>43.329</v>
      </c>
      <c r="S459" s="410" t="s">
        <v>301</v>
      </c>
      <c r="T459" s="405"/>
      <c r="V459" s="303"/>
      <c r="W459" s="86">
        <f t="shared" si="125"/>
        <v>0</v>
      </c>
    </row>
    <row r="460" spans="1:23" s="86" customFormat="1" ht="33" customHeight="1">
      <c r="A460" s="52" t="s">
        <v>308</v>
      </c>
      <c r="B460" s="8"/>
      <c r="C460" s="15" t="s">
        <v>78</v>
      </c>
      <c r="D460" s="315" t="s">
        <v>331</v>
      </c>
      <c r="E460" s="284" t="s">
        <v>98</v>
      </c>
      <c r="F460" s="270"/>
      <c r="G460" s="285"/>
      <c r="H460" s="259">
        <v>38782</v>
      </c>
      <c r="I460" s="261" t="s">
        <v>219</v>
      </c>
      <c r="J460" s="298"/>
      <c r="K460" s="298"/>
      <c r="L460" s="301">
        <v>639.96</v>
      </c>
      <c r="M460" s="298">
        <f t="shared" si="131"/>
        <v>204.3</v>
      </c>
      <c r="N460" s="298">
        <f t="shared" si="132"/>
        <v>40.86000000000001</v>
      </c>
      <c r="O460" s="301">
        <v>245.16</v>
      </c>
      <c r="P460" s="313">
        <f t="shared" si="133"/>
        <v>132.79500000000002</v>
      </c>
      <c r="Q460" s="313">
        <f t="shared" si="129"/>
        <v>26.559000000000005</v>
      </c>
      <c r="R460" s="193">
        <f t="shared" si="130"/>
        <v>159.354</v>
      </c>
      <c r="S460" s="150"/>
      <c r="T460" s="151"/>
      <c r="V460" s="303"/>
      <c r="W460" s="86">
        <f t="shared" si="125"/>
        <v>0</v>
      </c>
    </row>
    <row r="461" spans="1:23" s="86" customFormat="1" ht="33" customHeight="1">
      <c r="A461" s="52" t="s">
        <v>308</v>
      </c>
      <c r="B461" s="8"/>
      <c r="C461" s="15" t="s">
        <v>78</v>
      </c>
      <c r="D461" s="315" t="s">
        <v>332</v>
      </c>
      <c r="E461" s="284" t="s">
        <v>88</v>
      </c>
      <c r="F461" s="270">
        <v>22</v>
      </c>
      <c r="G461" s="285">
        <v>38748</v>
      </c>
      <c r="H461" s="259">
        <v>38763</v>
      </c>
      <c r="I461" s="261" t="s">
        <v>82</v>
      </c>
      <c r="J461" s="298">
        <v>500</v>
      </c>
      <c r="K461" s="298">
        <v>100</v>
      </c>
      <c r="L461" s="301">
        <v>600</v>
      </c>
      <c r="M461" s="298">
        <f t="shared" si="131"/>
        <v>55.55</v>
      </c>
      <c r="N461" s="298">
        <f t="shared" si="132"/>
        <v>11.11</v>
      </c>
      <c r="O461" s="301">
        <v>66.66</v>
      </c>
      <c r="P461" s="313">
        <f t="shared" si="133"/>
        <v>36.1075</v>
      </c>
      <c r="Q461" s="313">
        <f t="shared" si="129"/>
        <v>7.2215</v>
      </c>
      <c r="R461" s="193">
        <f t="shared" si="130"/>
        <v>43.329</v>
      </c>
      <c r="S461" s="410" t="s">
        <v>301</v>
      </c>
      <c r="T461" s="405"/>
      <c r="V461" s="303"/>
      <c r="W461" s="86">
        <f t="shared" si="125"/>
        <v>0</v>
      </c>
    </row>
    <row r="462" spans="1:23" s="86" customFormat="1" ht="33" customHeight="1">
      <c r="A462" s="52" t="s">
        <v>308</v>
      </c>
      <c r="B462" s="8"/>
      <c r="C462" s="15" t="s">
        <v>78</v>
      </c>
      <c r="D462" s="315" t="s">
        <v>332</v>
      </c>
      <c r="E462" s="284" t="s">
        <v>88</v>
      </c>
      <c r="F462" s="270">
        <v>184</v>
      </c>
      <c r="G462" s="285">
        <v>38748</v>
      </c>
      <c r="H462" s="259">
        <v>38763</v>
      </c>
      <c r="I462" s="261" t="s">
        <v>82</v>
      </c>
      <c r="J462" s="298">
        <v>100</v>
      </c>
      <c r="K462" s="298">
        <v>20</v>
      </c>
      <c r="L462" s="301">
        <v>120</v>
      </c>
      <c r="M462" s="298">
        <f t="shared" si="131"/>
        <v>11.108333333333334</v>
      </c>
      <c r="N462" s="298">
        <f t="shared" si="132"/>
        <v>2.221666666666667</v>
      </c>
      <c r="O462" s="301">
        <v>13.33</v>
      </c>
      <c r="P462" s="313">
        <f t="shared" si="133"/>
        <v>7.220416666666668</v>
      </c>
      <c r="Q462" s="313">
        <f t="shared" si="133"/>
        <v>1.4440833333333336</v>
      </c>
      <c r="R462" s="193">
        <f t="shared" si="130"/>
        <v>8.664500000000002</v>
      </c>
      <c r="S462" s="410" t="s">
        <v>301</v>
      </c>
      <c r="T462" s="405"/>
      <c r="V462" s="303"/>
      <c r="W462" s="86">
        <f t="shared" si="125"/>
        <v>0</v>
      </c>
    </row>
    <row r="463" spans="1:23" s="86" customFormat="1" ht="33" customHeight="1">
      <c r="A463" s="52" t="s">
        <v>308</v>
      </c>
      <c r="B463" s="8"/>
      <c r="C463" s="15" t="s">
        <v>78</v>
      </c>
      <c r="D463" s="315" t="s">
        <v>333</v>
      </c>
      <c r="E463" s="284" t="s">
        <v>81</v>
      </c>
      <c r="F463" s="270">
        <v>28</v>
      </c>
      <c r="G463" s="285">
        <v>38772</v>
      </c>
      <c r="H463" s="259" t="s">
        <v>334</v>
      </c>
      <c r="I463" s="261" t="s">
        <v>82</v>
      </c>
      <c r="J463" s="298">
        <v>500</v>
      </c>
      <c r="K463" s="298">
        <v>100</v>
      </c>
      <c r="L463" s="301">
        <v>600</v>
      </c>
      <c r="M463" s="298">
        <f t="shared" si="131"/>
        <v>87.00000000000001</v>
      </c>
      <c r="N463" s="298">
        <f t="shared" si="132"/>
        <v>17.400000000000002</v>
      </c>
      <c r="O463" s="301">
        <v>104.4</v>
      </c>
      <c r="P463" s="313">
        <f t="shared" si="133"/>
        <v>56.55000000000001</v>
      </c>
      <c r="Q463" s="313">
        <f t="shared" si="133"/>
        <v>11.310000000000002</v>
      </c>
      <c r="R463" s="193">
        <f t="shared" si="130"/>
        <v>67.86000000000001</v>
      </c>
      <c r="S463" s="410" t="s">
        <v>301</v>
      </c>
      <c r="T463" s="405"/>
      <c r="V463" s="303"/>
      <c r="W463" s="86">
        <f t="shared" si="125"/>
        <v>0</v>
      </c>
    </row>
    <row r="464" spans="1:23" s="86" customFormat="1" ht="33" customHeight="1">
      <c r="A464" s="52" t="s">
        <v>308</v>
      </c>
      <c r="B464" s="8"/>
      <c r="C464" s="15" t="s">
        <v>78</v>
      </c>
      <c r="D464" s="315" t="s">
        <v>335</v>
      </c>
      <c r="E464" s="284" t="s">
        <v>228</v>
      </c>
      <c r="F464" s="270" t="s">
        <v>391</v>
      </c>
      <c r="G464" s="285"/>
      <c r="H464" s="259">
        <v>38776</v>
      </c>
      <c r="I464" s="261" t="s">
        <v>85</v>
      </c>
      <c r="J464" s="298"/>
      <c r="K464" s="298"/>
      <c r="L464" s="301">
        <v>110.86</v>
      </c>
      <c r="M464" s="298">
        <f t="shared" si="131"/>
        <v>22.75</v>
      </c>
      <c r="N464" s="298">
        <f t="shared" si="132"/>
        <v>4.55</v>
      </c>
      <c r="O464" s="301">
        <v>27.3</v>
      </c>
      <c r="P464" s="313">
        <f t="shared" si="133"/>
        <v>14.7875</v>
      </c>
      <c r="Q464" s="313">
        <f t="shared" si="133"/>
        <v>2.9575</v>
      </c>
      <c r="R464" s="193">
        <f t="shared" si="130"/>
        <v>17.745</v>
      </c>
      <c r="S464" s="410" t="s">
        <v>301</v>
      </c>
      <c r="T464" s="405"/>
      <c r="V464" s="303"/>
      <c r="W464" s="86">
        <f t="shared" si="125"/>
        <v>0</v>
      </c>
    </row>
    <row r="465" spans="1:23" s="86" customFormat="1" ht="33" customHeight="1">
      <c r="A465" s="52" t="s">
        <v>308</v>
      </c>
      <c r="B465" s="8"/>
      <c r="C465" s="15" t="s">
        <v>78</v>
      </c>
      <c r="D465" s="315" t="s">
        <v>336</v>
      </c>
      <c r="E465" s="284" t="s">
        <v>84</v>
      </c>
      <c r="F465" s="270"/>
      <c r="G465" s="285"/>
      <c r="H465" s="259">
        <v>38798</v>
      </c>
      <c r="I465" s="261" t="s">
        <v>85</v>
      </c>
      <c r="J465" s="298"/>
      <c r="K465" s="298"/>
      <c r="L465" s="301">
        <v>2997.26</v>
      </c>
      <c r="M465" s="298">
        <f t="shared" si="131"/>
        <v>434.6</v>
      </c>
      <c r="N465" s="298">
        <f t="shared" si="132"/>
        <v>86.92000000000002</v>
      </c>
      <c r="O465" s="301">
        <v>521.52</v>
      </c>
      <c r="P465" s="313">
        <f t="shared" si="133"/>
        <v>282.49</v>
      </c>
      <c r="Q465" s="313">
        <f t="shared" si="133"/>
        <v>56.49800000000001</v>
      </c>
      <c r="R465" s="193">
        <f t="shared" si="130"/>
        <v>338.988</v>
      </c>
      <c r="S465" s="150"/>
      <c r="T465" s="151"/>
      <c r="V465" s="303"/>
      <c r="W465" s="86">
        <f t="shared" si="125"/>
        <v>0</v>
      </c>
    </row>
    <row r="466" spans="1:23" s="86" customFormat="1" ht="33" customHeight="1">
      <c r="A466" s="52" t="s">
        <v>308</v>
      </c>
      <c r="B466" s="8"/>
      <c r="C466" s="15" t="s">
        <v>78</v>
      </c>
      <c r="D466" s="315" t="s">
        <v>337</v>
      </c>
      <c r="E466" s="284" t="s">
        <v>88</v>
      </c>
      <c r="F466" s="270">
        <v>3438</v>
      </c>
      <c r="G466" s="285">
        <v>38776</v>
      </c>
      <c r="H466" s="259">
        <v>38800</v>
      </c>
      <c r="I466" s="261" t="s">
        <v>82</v>
      </c>
      <c r="J466" s="298">
        <v>500</v>
      </c>
      <c r="K466" s="298">
        <v>100</v>
      </c>
      <c r="L466" s="301">
        <v>600</v>
      </c>
      <c r="M466" s="298">
        <f t="shared" si="131"/>
        <v>87.00000000000001</v>
      </c>
      <c r="N466" s="298">
        <f t="shared" si="132"/>
        <v>17.400000000000002</v>
      </c>
      <c r="O466" s="301">
        <v>104.4</v>
      </c>
      <c r="P466" s="313">
        <f t="shared" si="133"/>
        <v>56.55000000000001</v>
      </c>
      <c r="Q466" s="313">
        <f t="shared" si="133"/>
        <v>11.310000000000002</v>
      </c>
      <c r="R466" s="193">
        <f t="shared" si="130"/>
        <v>67.86000000000001</v>
      </c>
      <c r="S466" s="410" t="s">
        <v>301</v>
      </c>
      <c r="T466" s="405"/>
      <c r="V466" s="303"/>
      <c r="W466" s="86">
        <f t="shared" si="125"/>
        <v>0</v>
      </c>
    </row>
    <row r="467" spans="1:23" s="86" customFormat="1" ht="33" customHeight="1">
      <c r="A467" s="52" t="s">
        <v>308</v>
      </c>
      <c r="B467" s="8"/>
      <c r="C467" s="15" t="s">
        <v>78</v>
      </c>
      <c r="D467" s="315" t="s">
        <v>337</v>
      </c>
      <c r="E467" s="284" t="s">
        <v>88</v>
      </c>
      <c r="F467" s="270">
        <v>3552</v>
      </c>
      <c r="G467" s="285">
        <v>38776</v>
      </c>
      <c r="H467" s="259">
        <v>38800</v>
      </c>
      <c r="I467" s="261" t="s">
        <v>82</v>
      </c>
      <c r="J467" s="298">
        <v>100</v>
      </c>
      <c r="K467" s="298">
        <v>20</v>
      </c>
      <c r="L467" s="301">
        <v>120</v>
      </c>
      <c r="M467" s="298">
        <f t="shared" si="131"/>
        <v>17.4</v>
      </c>
      <c r="N467" s="298">
        <f t="shared" si="132"/>
        <v>3.48</v>
      </c>
      <c r="O467" s="301">
        <v>20.88</v>
      </c>
      <c r="P467" s="313">
        <f t="shared" si="133"/>
        <v>11.309999999999999</v>
      </c>
      <c r="Q467" s="313">
        <f t="shared" si="133"/>
        <v>2.262</v>
      </c>
      <c r="R467" s="193">
        <f t="shared" si="130"/>
        <v>13.572</v>
      </c>
      <c r="S467" s="410" t="s">
        <v>301</v>
      </c>
      <c r="T467" s="405"/>
      <c r="V467" s="303"/>
      <c r="W467" s="86">
        <f t="shared" si="125"/>
        <v>0</v>
      </c>
    </row>
    <row r="468" spans="1:23" s="86" customFormat="1" ht="33" customHeight="1">
      <c r="A468" s="52" t="s">
        <v>308</v>
      </c>
      <c r="B468" s="8"/>
      <c r="C468" s="15" t="s">
        <v>78</v>
      </c>
      <c r="D468" s="315" t="s">
        <v>338</v>
      </c>
      <c r="E468" s="284" t="s">
        <v>81</v>
      </c>
      <c r="F468" s="270">
        <v>33</v>
      </c>
      <c r="G468" s="285">
        <v>38801</v>
      </c>
      <c r="H468" s="259">
        <v>38801</v>
      </c>
      <c r="I468" s="261" t="s">
        <v>82</v>
      </c>
      <c r="J468" s="298">
        <v>500</v>
      </c>
      <c r="K468" s="298">
        <v>100</v>
      </c>
      <c r="L468" s="301">
        <v>600</v>
      </c>
      <c r="M468" s="298">
        <f t="shared" si="131"/>
        <v>62.05</v>
      </c>
      <c r="N468" s="298">
        <f t="shared" si="132"/>
        <v>12.41</v>
      </c>
      <c r="O468" s="301">
        <v>74.46</v>
      </c>
      <c r="P468" s="313">
        <f t="shared" si="133"/>
        <v>40.332499999999996</v>
      </c>
      <c r="Q468" s="313">
        <f t="shared" si="133"/>
        <v>8.0665</v>
      </c>
      <c r="R468" s="193">
        <f t="shared" si="130"/>
        <v>48.398999999999994</v>
      </c>
      <c r="S468" s="410" t="s">
        <v>301</v>
      </c>
      <c r="T468" s="405"/>
      <c r="V468" s="303"/>
      <c r="W468" s="86">
        <f t="shared" si="125"/>
        <v>0</v>
      </c>
    </row>
    <row r="469" spans="1:23" s="86" customFormat="1" ht="33" customHeight="1">
      <c r="A469" s="52" t="s">
        <v>308</v>
      </c>
      <c r="B469" s="8"/>
      <c r="C469" s="15" t="s">
        <v>78</v>
      </c>
      <c r="D469" s="315" t="s">
        <v>339</v>
      </c>
      <c r="E469" s="284" t="s">
        <v>84</v>
      </c>
      <c r="F469" s="270"/>
      <c r="G469" s="285"/>
      <c r="H469" s="259">
        <v>38831</v>
      </c>
      <c r="I469" s="261" t="s">
        <v>85</v>
      </c>
      <c r="J469" s="298"/>
      <c r="K469" s="298"/>
      <c r="L469" s="301">
        <v>1412</v>
      </c>
      <c r="M469" s="298">
        <f t="shared" si="131"/>
        <v>146.025</v>
      </c>
      <c r="N469" s="298">
        <f t="shared" si="132"/>
        <v>29.205000000000002</v>
      </c>
      <c r="O469" s="301">
        <v>175.23</v>
      </c>
      <c r="P469" s="313">
        <f t="shared" si="133"/>
        <v>94.91625</v>
      </c>
      <c r="Q469" s="313">
        <f t="shared" si="133"/>
        <v>18.98325</v>
      </c>
      <c r="R469" s="193">
        <f t="shared" si="130"/>
        <v>113.8995</v>
      </c>
      <c r="S469" s="150"/>
      <c r="T469" s="151"/>
      <c r="V469" s="303"/>
      <c r="W469" s="86">
        <f t="shared" si="125"/>
        <v>0</v>
      </c>
    </row>
    <row r="470" spans="1:23" s="86" customFormat="1" ht="33" customHeight="1">
      <c r="A470" s="52" t="s">
        <v>308</v>
      </c>
      <c r="B470" s="8"/>
      <c r="C470" s="15" t="s">
        <v>78</v>
      </c>
      <c r="D470" s="315" t="s">
        <v>340</v>
      </c>
      <c r="E470" s="284" t="s">
        <v>88</v>
      </c>
      <c r="F470" s="270">
        <v>6697</v>
      </c>
      <c r="G470" s="285">
        <v>38807</v>
      </c>
      <c r="H470" s="259">
        <v>38825</v>
      </c>
      <c r="I470" s="261" t="s">
        <v>82</v>
      </c>
      <c r="J470" s="298">
        <v>500</v>
      </c>
      <c r="K470" s="298">
        <v>100</v>
      </c>
      <c r="L470" s="301">
        <v>600</v>
      </c>
      <c r="M470" s="298">
        <f t="shared" si="131"/>
        <v>62.05</v>
      </c>
      <c r="N470" s="298">
        <f t="shared" si="132"/>
        <v>12.41</v>
      </c>
      <c r="O470" s="301">
        <v>74.46</v>
      </c>
      <c r="P470" s="313">
        <f t="shared" si="133"/>
        <v>40.332499999999996</v>
      </c>
      <c r="Q470" s="313">
        <f t="shared" si="133"/>
        <v>8.0665</v>
      </c>
      <c r="R470" s="193">
        <f t="shared" si="130"/>
        <v>48.398999999999994</v>
      </c>
      <c r="S470" s="410" t="s">
        <v>301</v>
      </c>
      <c r="T470" s="405"/>
      <c r="V470" s="303"/>
      <c r="W470" s="86">
        <f t="shared" si="125"/>
        <v>0</v>
      </c>
    </row>
    <row r="471" spans="1:23" s="86" customFormat="1" ht="33" customHeight="1">
      <c r="A471" s="52" t="s">
        <v>308</v>
      </c>
      <c r="B471" s="8"/>
      <c r="C471" s="15" t="s">
        <v>78</v>
      </c>
      <c r="D471" s="315" t="s">
        <v>340</v>
      </c>
      <c r="E471" s="284" t="s">
        <v>88</v>
      </c>
      <c r="F471" s="270">
        <v>6810</v>
      </c>
      <c r="G471" s="285">
        <v>38807</v>
      </c>
      <c r="H471" s="259">
        <v>38825</v>
      </c>
      <c r="I471" s="261" t="s">
        <v>82</v>
      </c>
      <c r="J471" s="298">
        <v>100</v>
      </c>
      <c r="K471" s="298">
        <v>20</v>
      </c>
      <c r="L471" s="301">
        <v>120</v>
      </c>
      <c r="M471" s="298">
        <f t="shared" si="131"/>
        <v>12.408333333333335</v>
      </c>
      <c r="N471" s="298">
        <f t="shared" si="132"/>
        <v>2.4816666666666674</v>
      </c>
      <c r="O471" s="301">
        <v>14.89</v>
      </c>
      <c r="P471" s="313">
        <f t="shared" si="133"/>
        <v>8.065416666666668</v>
      </c>
      <c r="Q471" s="313">
        <f t="shared" si="133"/>
        <v>1.6130833333333339</v>
      </c>
      <c r="R471" s="193">
        <f t="shared" si="130"/>
        <v>9.678500000000001</v>
      </c>
      <c r="S471" s="410" t="s">
        <v>301</v>
      </c>
      <c r="T471" s="405"/>
      <c r="V471" s="303"/>
      <c r="W471" s="86">
        <f t="shared" si="125"/>
        <v>0</v>
      </c>
    </row>
    <row r="472" spans="1:23" s="86" customFormat="1" ht="33" customHeight="1">
      <c r="A472" s="52" t="s">
        <v>308</v>
      </c>
      <c r="B472" s="8"/>
      <c r="C472" s="15" t="s">
        <v>78</v>
      </c>
      <c r="D472" s="315" t="s">
        <v>341</v>
      </c>
      <c r="E472" s="284" t="s">
        <v>81</v>
      </c>
      <c r="F472" s="270">
        <v>46</v>
      </c>
      <c r="G472" s="285">
        <v>38834</v>
      </c>
      <c r="H472" s="259">
        <v>38834</v>
      </c>
      <c r="I472" s="261" t="s">
        <v>82</v>
      </c>
      <c r="J472" s="298">
        <v>500</v>
      </c>
      <c r="K472" s="298">
        <v>100</v>
      </c>
      <c r="L472" s="301">
        <v>600</v>
      </c>
      <c r="M472" s="298">
        <f t="shared" si="131"/>
        <v>79.3</v>
      </c>
      <c r="N472" s="298">
        <f t="shared" si="132"/>
        <v>15.86</v>
      </c>
      <c r="O472" s="301">
        <v>95.16</v>
      </c>
      <c r="P472" s="313">
        <f t="shared" si="133"/>
        <v>51.545</v>
      </c>
      <c r="Q472" s="313">
        <f t="shared" si="133"/>
        <v>10.309</v>
      </c>
      <c r="R472" s="193">
        <f t="shared" si="130"/>
        <v>61.854</v>
      </c>
      <c r="S472" s="410" t="s">
        <v>301</v>
      </c>
      <c r="T472" s="405"/>
      <c r="V472" s="303"/>
      <c r="W472" s="86">
        <f t="shared" si="125"/>
        <v>0</v>
      </c>
    </row>
    <row r="473" spans="1:23" s="86" customFormat="1" ht="33" customHeight="1">
      <c r="A473" s="52" t="s">
        <v>308</v>
      </c>
      <c r="B473" s="8"/>
      <c r="C473" s="15" t="s">
        <v>78</v>
      </c>
      <c r="D473" s="315" t="s">
        <v>342</v>
      </c>
      <c r="E473" s="284" t="s">
        <v>228</v>
      </c>
      <c r="F473" s="270" t="s">
        <v>395</v>
      </c>
      <c r="G473" s="285"/>
      <c r="H473" s="259">
        <v>38836</v>
      </c>
      <c r="I473" s="261" t="s">
        <v>85</v>
      </c>
      <c r="J473" s="298"/>
      <c r="K473" s="298"/>
      <c r="L473" s="301">
        <v>1124.73</v>
      </c>
      <c r="M473" s="298">
        <f t="shared" si="131"/>
        <v>267.2166666666667</v>
      </c>
      <c r="N473" s="298">
        <f t="shared" si="132"/>
        <v>53.44333333333334</v>
      </c>
      <c r="O473" s="301">
        <v>320.66</v>
      </c>
      <c r="P473" s="313">
        <f t="shared" si="133"/>
        <v>173.69083333333336</v>
      </c>
      <c r="Q473" s="313">
        <f t="shared" si="133"/>
        <v>34.73816666666667</v>
      </c>
      <c r="R473" s="193">
        <f t="shared" si="130"/>
        <v>208.42900000000003</v>
      </c>
      <c r="S473" s="410" t="s">
        <v>301</v>
      </c>
      <c r="T473" s="405"/>
      <c r="V473" s="303"/>
      <c r="W473" s="86">
        <f t="shared" si="125"/>
        <v>0</v>
      </c>
    </row>
    <row r="474" spans="1:23" s="86" customFormat="1" ht="33" customHeight="1">
      <c r="A474" s="52" t="s">
        <v>308</v>
      </c>
      <c r="B474" s="8"/>
      <c r="C474" s="15" t="s">
        <v>78</v>
      </c>
      <c r="D474" s="315" t="s">
        <v>343</v>
      </c>
      <c r="E474" s="284" t="s">
        <v>84</v>
      </c>
      <c r="F474" s="270"/>
      <c r="G474" s="285"/>
      <c r="H474" s="259">
        <v>38860</v>
      </c>
      <c r="I474" s="261" t="s">
        <v>85</v>
      </c>
      <c r="J474" s="298"/>
      <c r="K474" s="298"/>
      <c r="L474" s="301">
        <v>902.88</v>
      </c>
      <c r="M474" s="298">
        <f t="shared" si="131"/>
        <v>119.33333333333333</v>
      </c>
      <c r="N474" s="298">
        <f t="shared" si="132"/>
        <v>23.866666666666667</v>
      </c>
      <c r="O474" s="301">
        <v>143.2</v>
      </c>
      <c r="P474" s="313">
        <f t="shared" si="133"/>
        <v>77.56666666666666</v>
      </c>
      <c r="Q474" s="313">
        <f t="shared" si="133"/>
        <v>15.513333333333334</v>
      </c>
      <c r="R474" s="193">
        <f t="shared" si="130"/>
        <v>93.08</v>
      </c>
      <c r="S474" s="150"/>
      <c r="T474" s="151"/>
      <c r="V474" s="303"/>
      <c r="W474" s="86">
        <f t="shared" si="125"/>
        <v>0</v>
      </c>
    </row>
    <row r="475" spans="1:23" s="86" customFormat="1" ht="33" customHeight="1">
      <c r="A475" s="52" t="s">
        <v>308</v>
      </c>
      <c r="B475" s="8"/>
      <c r="C475" s="15" t="s">
        <v>78</v>
      </c>
      <c r="D475" s="315" t="s">
        <v>344</v>
      </c>
      <c r="E475" s="284" t="s">
        <v>88</v>
      </c>
      <c r="F475" s="270">
        <v>9780</v>
      </c>
      <c r="G475" s="285">
        <v>38834</v>
      </c>
      <c r="H475" s="259">
        <v>38894</v>
      </c>
      <c r="I475" s="261" t="s">
        <v>82</v>
      </c>
      <c r="J475" s="298">
        <v>500</v>
      </c>
      <c r="K475" s="298">
        <v>100</v>
      </c>
      <c r="L475" s="301">
        <v>600</v>
      </c>
      <c r="M475" s="298">
        <f t="shared" si="131"/>
        <v>79.3</v>
      </c>
      <c r="N475" s="298">
        <f t="shared" si="132"/>
        <v>15.86</v>
      </c>
      <c r="O475" s="301">
        <v>95.16</v>
      </c>
      <c r="P475" s="313">
        <f t="shared" si="133"/>
        <v>51.545</v>
      </c>
      <c r="Q475" s="313">
        <f t="shared" si="133"/>
        <v>10.309</v>
      </c>
      <c r="R475" s="193">
        <f t="shared" si="130"/>
        <v>61.854</v>
      </c>
      <c r="S475" s="410" t="s">
        <v>301</v>
      </c>
      <c r="T475" s="405"/>
      <c r="V475" s="303"/>
      <c r="W475" s="86">
        <f t="shared" si="125"/>
        <v>0</v>
      </c>
    </row>
    <row r="476" spans="1:23" s="86" customFormat="1" ht="33" customHeight="1">
      <c r="A476" s="52" t="s">
        <v>308</v>
      </c>
      <c r="B476" s="8"/>
      <c r="C476" s="15" t="s">
        <v>78</v>
      </c>
      <c r="D476" s="315" t="s">
        <v>344</v>
      </c>
      <c r="E476" s="284" t="s">
        <v>88</v>
      </c>
      <c r="F476" s="270">
        <v>9929</v>
      </c>
      <c r="G476" s="285">
        <v>38834</v>
      </c>
      <c r="H476" s="259">
        <v>38863</v>
      </c>
      <c r="I476" s="261" t="s">
        <v>82</v>
      </c>
      <c r="J476" s="298">
        <v>100</v>
      </c>
      <c r="K476" s="298">
        <v>20</v>
      </c>
      <c r="L476" s="301">
        <v>120</v>
      </c>
      <c r="M476" s="298">
        <f t="shared" si="131"/>
        <v>15.858333333333334</v>
      </c>
      <c r="N476" s="298">
        <f t="shared" si="132"/>
        <v>3.171666666666667</v>
      </c>
      <c r="O476" s="301">
        <v>19.03</v>
      </c>
      <c r="P476" s="313">
        <f t="shared" si="133"/>
        <v>10.307916666666667</v>
      </c>
      <c r="Q476" s="313">
        <f t="shared" si="133"/>
        <v>2.0615833333333335</v>
      </c>
      <c r="R476" s="193">
        <f t="shared" si="130"/>
        <v>12.3695</v>
      </c>
      <c r="S476" s="410" t="s">
        <v>301</v>
      </c>
      <c r="T476" s="405"/>
      <c r="V476" s="303"/>
      <c r="W476" s="86">
        <f t="shared" si="125"/>
        <v>0</v>
      </c>
    </row>
    <row r="477" spans="1:23" s="86" customFormat="1" ht="33" customHeight="1">
      <c r="A477" s="52" t="s">
        <v>308</v>
      </c>
      <c r="B477" s="8"/>
      <c r="C477" s="15" t="s">
        <v>78</v>
      </c>
      <c r="D477" s="315" t="s">
        <v>345</v>
      </c>
      <c r="E477" s="284" t="s">
        <v>81</v>
      </c>
      <c r="F477" s="270">
        <v>56</v>
      </c>
      <c r="G477" s="285">
        <v>38862</v>
      </c>
      <c r="H477" s="259">
        <v>38863</v>
      </c>
      <c r="I477" s="261" t="s">
        <v>82</v>
      </c>
      <c r="J477" s="298">
        <v>500</v>
      </c>
      <c r="K477" s="298">
        <v>100</v>
      </c>
      <c r="L477" s="301">
        <v>600</v>
      </c>
      <c r="M477" s="298">
        <f t="shared" si="131"/>
        <v>68.2</v>
      </c>
      <c r="N477" s="298">
        <f t="shared" si="132"/>
        <v>13.64</v>
      </c>
      <c r="O477" s="301">
        <v>81.84</v>
      </c>
      <c r="P477" s="313">
        <f t="shared" si="133"/>
        <v>44.330000000000005</v>
      </c>
      <c r="Q477" s="313">
        <f t="shared" si="133"/>
        <v>8.866000000000001</v>
      </c>
      <c r="R477" s="193">
        <f t="shared" si="130"/>
        <v>53.196000000000005</v>
      </c>
      <c r="S477" s="410" t="s">
        <v>301</v>
      </c>
      <c r="T477" s="405"/>
      <c r="V477" s="303"/>
      <c r="W477" s="86">
        <f t="shared" si="125"/>
        <v>0</v>
      </c>
    </row>
    <row r="478" spans="1:23" s="86" customFormat="1" ht="33" customHeight="1">
      <c r="A478" s="52" t="s">
        <v>308</v>
      </c>
      <c r="B478" s="8"/>
      <c r="C478" s="15" t="s">
        <v>78</v>
      </c>
      <c r="D478" s="315" t="s">
        <v>346</v>
      </c>
      <c r="E478" s="284" t="s">
        <v>98</v>
      </c>
      <c r="F478" s="270"/>
      <c r="G478" s="285"/>
      <c r="H478" s="259">
        <v>38877</v>
      </c>
      <c r="I478" s="261" t="s">
        <v>85</v>
      </c>
      <c r="J478" s="298"/>
      <c r="K478" s="298"/>
      <c r="L478" s="301">
        <v>557.24</v>
      </c>
      <c r="M478" s="298">
        <f t="shared" si="131"/>
        <v>190.01666666666668</v>
      </c>
      <c r="N478" s="298">
        <f t="shared" si="132"/>
        <v>38.00333333333334</v>
      </c>
      <c r="O478" s="301">
        <v>228.02</v>
      </c>
      <c r="P478" s="313">
        <f t="shared" si="133"/>
        <v>123.51083333333335</v>
      </c>
      <c r="Q478" s="313">
        <f t="shared" si="133"/>
        <v>24.70216666666667</v>
      </c>
      <c r="R478" s="193">
        <f t="shared" si="130"/>
        <v>148.21300000000002</v>
      </c>
      <c r="S478" s="150"/>
      <c r="T478" s="151"/>
      <c r="V478" s="303"/>
      <c r="W478" s="86">
        <f t="shared" si="125"/>
        <v>0</v>
      </c>
    </row>
    <row r="479" spans="1:23" s="86" customFormat="1" ht="33" customHeight="1">
      <c r="A479" s="52" t="s">
        <v>308</v>
      </c>
      <c r="B479" s="8"/>
      <c r="C479" s="15" t="s">
        <v>78</v>
      </c>
      <c r="D479" s="315" t="s">
        <v>347</v>
      </c>
      <c r="E479" s="284" t="s">
        <v>84</v>
      </c>
      <c r="F479" s="270"/>
      <c r="G479" s="285"/>
      <c r="H479" s="259">
        <v>38890</v>
      </c>
      <c r="I479" s="261" t="s">
        <v>85</v>
      </c>
      <c r="J479" s="298"/>
      <c r="K479" s="298"/>
      <c r="L479" s="301">
        <v>1216.12</v>
      </c>
      <c r="M479" s="298">
        <f t="shared" si="131"/>
        <v>138.23333333333335</v>
      </c>
      <c r="N479" s="298">
        <f t="shared" si="132"/>
        <v>27.646666666666672</v>
      </c>
      <c r="O479" s="301">
        <v>165.88</v>
      </c>
      <c r="P479" s="313">
        <f t="shared" si="133"/>
        <v>89.85166666666667</v>
      </c>
      <c r="Q479" s="313">
        <f t="shared" si="133"/>
        <v>17.970333333333336</v>
      </c>
      <c r="R479" s="193">
        <f t="shared" si="130"/>
        <v>107.822</v>
      </c>
      <c r="S479" s="150"/>
      <c r="T479" s="151"/>
      <c r="V479" s="303"/>
      <c r="W479" s="86">
        <f t="shared" si="125"/>
        <v>0</v>
      </c>
    </row>
    <row r="480" spans="1:23" s="86" customFormat="1" ht="33" customHeight="1">
      <c r="A480" s="52" t="s">
        <v>308</v>
      </c>
      <c r="B480" s="8"/>
      <c r="C480" s="15" t="s">
        <v>78</v>
      </c>
      <c r="D480" s="315" t="s">
        <v>348</v>
      </c>
      <c r="E480" s="284" t="s">
        <v>81</v>
      </c>
      <c r="F480" s="270">
        <v>70</v>
      </c>
      <c r="G480" s="285">
        <v>38894</v>
      </c>
      <c r="H480" s="259">
        <v>38897</v>
      </c>
      <c r="I480" s="261" t="s">
        <v>82</v>
      </c>
      <c r="J480" s="298">
        <v>500</v>
      </c>
      <c r="K480" s="298">
        <v>100</v>
      </c>
      <c r="L480" s="301">
        <v>600</v>
      </c>
      <c r="M480" s="298">
        <f t="shared" si="131"/>
        <v>95.25</v>
      </c>
      <c r="N480" s="298">
        <f t="shared" si="132"/>
        <v>19.05</v>
      </c>
      <c r="O480" s="301">
        <v>114.3</v>
      </c>
      <c r="P480" s="313">
        <f t="shared" si="133"/>
        <v>61.9125</v>
      </c>
      <c r="Q480" s="313">
        <f t="shared" si="133"/>
        <v>12.3825</v>
      </c>
      <c r="R480" s="193">
        <f t="shared" si="130"/>
        <v>74.295</v>
      </c>
      <c r="S480" s="410" t="s">
        <v>301</v>
      </c>
      <c r="T480" s="405"/>
      <c r="V480" s="303"/>
      <c r="W480" s="86">
        <f t="shared" si="125"/>
        <v>0</v>
      </c>
    </row>
    <row r="481" spans="1:23" s="86" customFormat="1" ht="26.25" customHeight="1">
      <c r="A481" s="52" t="s">
        <v>308</v>
      </c>
      <c r="B481" s="8"/>
      <c r="C481" s="15" t="s">
        <v>42</v>
      </c>
      <c r="D481" s="315" t="s">
        <v>349</v>
      </c>
      <c r="E481" s="284" t="s">
        <v>350</v>
      </c>
      <c r="F481" s="270">
        <v>688</v>
      </c>
      <c r="G481" s="285">
        <v>38884</v>
      </c>
      <c r="H481" s="259">
        <v>38881</v>
      </c>
      <c r="I481" s="261" t="s">
        <v>351</v>
      </c>
      <c r="J481" s="298"/>
      <c r="K481" s="298"/>
      <c r="L481" s="301">
        <v>1000</v>
      </c>
      <c r="M481" s="298"/>
      <c r="N481" s="298"/>
      <c r="O481" s="301"/>
      <c r="P481" s="85"/>
      <c r="Q481" s="85"/>
      <c r="R481" s="193"/>
      <c r="S481" s="410" t="s">
        <v>397</v>
      </c>
      <c r="T481" s="405"/>
      <c r="V481" s="303"/>
      <c r="W481" s="86">
        <f t="shared" si="125"/>
        <v>0</v>
      </c>
    </row>
    <row r="482" spans="1:23" s="86" customFormat="1" ht="33" customHeight="1">
      <c r="A482" s="52" t="s">
        <v>308</v>
      </c>
      <c r="B482" s="350" t="s">
        <v>394</v>
      </c>
      <c r="C482" s="15" t="s">
        <v>42</v>
      </c>
      <c r="D482" s="315" t="s">
        <v>352</v>
      </c>
      <c r="E482" s="284" t="s">
        <v>353</v>
      </c>
      <c r="F482" s="270">
        <v>1324</v>
      </c>
      <c r="G482" s="285">
        <v>38810</v>
      </c>
      <c r="H482" s="259">
        <v>38897</v>
      </c>
      <c r="I482" s="261" t="s">
        <v>354</v>
      </c>
      <c r="J482" s="298"/>
      <c r="K482" s="298"/>
      <c r="L482" s="301">
        <v>144</v>
      </c>
      <c r="M482" s="298">
        <v>144</v>
      </c>
      <c r="N482" s="298"/>
      <c r="O482" s="301">
        <f>+N482+M482</f>
        <v>144</v>
      </c>
      <c r="P482" s="85">
        <f aca="true" t="shared" si="134" ref="P482:P490">+M482*0.65</f>
        <v>93.60000000000001</v>
      </c>
      <c r="Q482" s="85"/>
      <c r="R482" s="193">
        <f aca="true" t="shared" si="135" ref="R482:R490">+Q482+P482</f>
        <v>93.60000000000001</v>
      </c>
      <c r="S482" s="389"/>
      <c r="T482" s="390"/>
      <c r="V482" s="303"/>
      <c r="W482" s="86">
        <f>+V482*0.65-U482</f>
        <v>0</v>
      </c>
    </row>
    <row r="483" spans="1:22" s="86" customFormat="1" ht="33" customHeight="1">
      <c r="A483" s="52" t="s">
        <v>415</v>
      </c>
      <c r="B483" s="350"/>
      <c r="C483" s="15" t="s">
        <v>310</v>
      </c>
      <c r="D483" s="315" t="s">
        <v>311</v>
      </c>
      <c r="E483" s="284" t="s">
        <v>104</v>
      </c>
      <c r="F483" s="270">
        <v>6033017</v>
      </c>
      <c r="G483" s="285">
        <v>38947</v>
      </c>
      <c r="H483" s="259">
        <v>38967</v>
      </c>
      <c r="I483" s="261" t="s">
        <v>251</v>
      </c>
      <c r="J483" s="298"/>
      <c r="K483" s="298"/>
      <c r="L483" s="301">
        <v>73.47</v>
      </c>
      <c r="M483" s="298">
        <f>+O483/1.2</f>
        <v>61.225</v>
      </c>
      <c r="N483" s="298">
        <f>+M483*0.2</f>
        <v>12.245000000000001</v>
      </c>
      <c r="O483" s="301">
        <v>73.47</v>
      </c>
      <c r="P483" s="85">
        <f t="shared" si="134"/>
        <v>39.79625</v>
      </c>
      <c r="Q483" s="85">
        <f aca="true" t="shared" si="136" ref="Q483:Q490">+N483*0.65</f>
        <v>7.959250000000001</v>
      </c>
      <c r="R483" s="193">
        <f t="shared" si="135"/>
        <v>47.7555</v>
      </c>
      <c r="S483" s="389" t="s">
        <v>301</v>
      </c>
      <c r="T483" s="390"/>
      <c r="V483" s="303"/>
    </row>
    <row r="484" spans="1:22" s="86" customFormat="1" ht="33" customHeight="1">
      <c r="A484" s="52" t="s">
        <v>415</v>
      </c>
      <c r="B484" s="350"/>
      <c r="C484" s="15" t="s">
        <v>310</v>
      </c>
      <c r="D484" s="315" t="s">
        <v>311</v>
      </c>
      <c r="E484" s="284" t="s">
        <v>104</v>
      </c>
      <c r="F484" s="270">
        <v>6033018</v>
      </c>
      <c r="G484" s="285">
        <v>39015</v>
      </c>
      <c r="H484" s="259">
        <v>39035</v>
      </c>
      <c r="I484" s="261" t="s">
        <v>251</v>
      </c>
      <c r="J484" s="298"/>
      <c r="K484" s="298"/>
      <c r="L484" s="301">
        <v>83.16</v>
      </c>
      <c r="M484" s="298">
        <f>83.16/1.2</f>
        <v>69.3</v>
      </c>
      <c r="N484" s="298">
        <f>+M484*0.2</f>
        <v>13.86</v>
      </c>
      <c r="O484" s="301">
        <f aca="true" t="shared" si="137" ref="O484:O489">+N484+M484</f>
        <v>83.16</v>
      </c>
      <c r="P484" s="85">
        <f t="shared" si="134"/>
        <v>45.045</v>
      </c>
      <c r="Q484" s="85">
        <f t="shared" si="136"/>
        <v>9.009</v>
      </c>
      <c r="R484" s="193">
        <f t="shared" si="135"/>
        <v>54.054</v>
      </c>
      <c r="S484" s="389" t="s">
        <v>301</v>
      </c>
      <c r="T484" s="390"/>
      <c r="V484" s="303"/>
    </row>
    <row r="485" spans="1:22" s="86" customFormat="1" ht="33" customHeight="1">
      <c r="A485" s="52" t="s">
        <v>415</v>
      </c>
      <c r="B485" s="350"/>
      <c r="C485" s="15" t="s">
        <v>310</v>
      </c>
      <c r="D485" s="315" t="s">
        <v>312</v>
      </c>
      <c r="E485" s="284" t="s">
        <v>313</v>
      </c>
      <c r="F485" s="270"/>
      <c r="G485" s="285">
        <v>39021</v>
      </c>
      <c r="H485" s="259">
        <v>39058</v>
      </c>
      <c r="I485" s="261" t="s">
        <v>251</v>
      </c>
      <c r="J485" s="298"/>
      <c r="K485" s="298"/>
      <c r="L485" s="301">
        <v>307.2</v>
      </c>
      <c r="M485" s="298">
        <v>307.2</v>
      </c>
      <c r="N485" s="298"/>
      <c r="O485" s="301">
        <f t="shared" si="137"/>
        <v>307.2</v>
      </c>
      <c r="P485" s="85">
        <f t="shared" si="134"/>
        <v>199.68</v>
      </c>
      <c r="Q485" s="85">
        <f t="shared" si="136"/>
        <v>0</v>
      </c>
      <c r="R485" s="193">
        <f t="shared" si="135"/>
        <v>199.68</v>
      </c>
      <c r="S485" s="306"/>
      <c r="T485" s="307"/>
      <c r="V485" s="303"/>
    </row>
    <row r="486" spans="1:22" s="86" customFormat="1" ht="33" customHeight="1">
      <c r="A486" s="52" t="s">
        <v>415</v>
      </c>
      <c r="B486" s="350"/>
      <c r="C486" s="15" t="s">
        <v>64</v>
      </c>
      <c r="D486" s="315" t="s">
        <v>423</v>
      </c>
      <c r="E486" s="284"/>
      <c r="F486" s="270"/>
      <c r="G486" s="285">
        <v>38912</v>
      </c>
      <c r="H486" s="259">
        <v>38925</v>
      </c>
      <c r="I486" s="261" t="s">
        <v>424</v>
      </c>
      <c r="J486" s="298"/>
      <c r="K486" s="298"/>
      <c r="L486" s="301">
        <v>133.47</v>
      </c>
      <c r="M486" s="286">
        <v>133.47</v>
      </c>
      <c r="N486" s="298"/>
      <c r="O486" s="301">
        <f t="shared" si="137"/>
        <v>133.47</v>
      </c>
      <c r="P486" s="85">
        <f t="shared" si="134"/>
        <v>86.7555</v>
      </c>
      <c r="Q486" s="85">
        <f t="shared" si="136"/>
        <v>0</v>
      </c>
      <c r="R486" s="193">
        <f t="shared" si="135"/>
        <v>86.7555</v>
      </c>
      <c r="S486" s="306"/>
      <c r="T486" s="307"/>
      <c r="V486" s="303"/>
    </row>
    <row r="487" spans="1:22" s="86" customFormat="1" ht="33" customHeight="1">
      <c r="A487" s="52" t="s">
        <v>415</v>
      </c>
      <c r="B487" s="350"/>
      <c r="C487" s="15" t="s">
        <v>64</v>
      </c>
      <c r="D487" s="315" t="s">
        <v>423</v>
      </c>
      <c r="E487" s="284"/>
      <c r="F487" s="270"/>
      <c r="G487" s="285">
        <v>38992</v>
      </c>
      <c r="H487" s="259">
        <v>39017</v>
      </c>
      <c r="I487" s="261" t="s">
        <v>424</v>
      </c>
      <c r="J487" s="298"/>
      <c r="K487" s="298"/>
      <c r="L487" s="301">
        <v>133.47</v>
      </c>
      <c r="M487" s="286">
        <v>133.47</v>
      </c>
      <c r="N487" s="298"/>
      <c r="O487" s="301">
        <f t="shared" si="137"/>
        <v>133.47</v>
      </c>
      <c r="P487" s="85">
        <f t="shared" si="134"/>
        <v>86.7555</v>
      </c>
      <c r="Q487" s="85">
        <f t="shared" si="136"/>
        <v>0</v>
      </c>
      <c r="R487" s="193">
        <f t="shared" si="135"/>
        <v>86.7555</v>
      </c>
      <c r="S487" s="306"/>
      <c r="T487" s="307"/>
      <c r="V487" s="303"/>
    </row>
    <row r="488" spans="1:22" s="86" customFormat="1" ht="33" customHeight="1">
      <c r="A488" s="52" t="s">
        <v>415</v>
      </c>
      <c r="B488" s="350"/>
      <c r="C488" s="15" t="s">
        <v>49</v>
      </c>
      <c r="D488" s="315" t="s">
        <v>429</v>
      </c>
      <c r="E488" s="284" t="s">
        <v>430</v>
      </c>
      <c r="F488" s="270" t="s">
        <v>431</v>
      </c>
      <c r="G488" s="285">
        <v>38994</v>
      </c>
      <c r="H488" s="259">
        <v>38994</v>
      </c>
      <c r="I488" s="261" t="s">
        <v>432</v>
      </c>
      <c r="J488" s="298">
        <v>876.11</v>
      </c>
      <c r="K488" s="298"/>
      <c r="L488" s="301">
        <f>+K488+J488</f>
        <v>876.11</v>
      </c>
      <c r="M488" s="298">
        <v>876.11</v>
      </c>
      <c r="N488" s="298"/>
      <c r="O488" s="301">
        <f t="shared" si="137"/>
        <v>876.11</v>
      </c>
      <c r="P488" s="85">
        <f t="shared" si="134"/>
        <v>569.4715</v>
      </c>
      <c r="Q488" s="85">
        <f t="shared" si="136"/>
        <v>0</v>
      </c>
      <c r="R488" s="193">
        <f t="shared" si="135"/>
        <v>569.4715</v>
      </c>
      <c r="S488" s="306"/>
      <c r="T488" s="307"/>
      <c r="V488" s="303"/>
    </row>
    <row r="489" spans="1:22" s="86" customFormat="1" ht="22.5">
      <c r="A489" s="52" t="s">
        <v>415</v>
      </c>
      <c r="B489" s="350"/>
      <c r="C489" s="15" t="s">
        <v>42</v>
      </c>
      <c r="D489" s="315" t="s">
        <v>437</v>
      </c>
      <c r="E489" s="284" t="s">
        <v>438</v>
      </c>
      <c r="F489" s="270">
        <v>140</v>
      </c>
      <c r="G489" s="285">
        <v>38996</v>
      </c>
      <c r="H489" s="259">
        <v>39003</v>
      </c>
      <c r="I489" s="261" t="s">
        <v>351</v>
      </c>
      <c r="J489" s="298">
        <v>2500</v>
      </c>
      <c r="K489" s="298">
        <v>500</v>
      </c>
      <c r="L489" s="301">
        <v>3000</v>
      </c>
      <c r="M489" s="298">
        <v>2500</v>
      </c>
      <c r="N489" s="298">
        <v>500</v>
      </c>
      <c r="O489" s="301">
        <f t="shared" si="137"/>
        <v>3000</v>
      </c>
      <c r="P489" s="85">
        <f t="shared" si="134"/>
        <v>1625</v>
      </c>
      <c r="Q489" s="85">
        <f t="shared" si="136"/>
        <v>325</v>
      </c>
      <c r="R489" s="193">
        <f t="shared" si="135"/>
        <v>1950</v>
      </c>
      <c r="S489" s="306"/>
      <c r="T489" s="307"/>
      <c r="V489" s="303"/>
    </row>
    <row r="490" spans="1:22" s="86" customFormat="1" ht="22.5">
      <c r="A490" s="52" t="s">
        <v>415</v>
      </c>
      <c r="B490" s="350"/>
      <c r="C490" s="15" t="s">
        <v>78</v>
      </c>
      <c r="D490" s="315" t="s">
        <v>439</v>
      </c>
      <c r="E490" s="284" t="s">
        <v>81</v>
      </c>
      <c r="F490" s="270">
        <v>84</v>
      </c>
      <c r="G490" s="285">
        <v>38924</v>
      </c>
      <c r="H490" s="259">
        <v>38925</v>
      </c>
      <c r="I490" s="261" t="s">
        <v>82</v>
      </c>
      <c r="J490" s="298">
        <v>500</v>
      </c>
      <c r="K490" s="298">
        <v>100</v>
      </c>
      <c r="L490" s="301">
        <v>600</v>
      </c>
      <c r="M490" s="286">
        <f>+O490/1.2</f>
        <v>92.25</v>
      </c>
      <c r="N490" s="286">
        <f>+M490*0.2</f>
        <v>18.45</v>
      </c>
      <c r="O490" s="301">
        <v>110.7</v>
      </c>
      <c r="P490" s="85">
        <f t="shared" si="134"/>
        <v>59.9625</v>
      </c>
      <c r="Q490" s="85">
        <f t="shared" si="136"/>
        <v>11.9925</v>
      </c>
      <c r="R490" s="193">
        <f t="shared" si="135"/>
        <v>71.955</v>
      </c>
      <c r="S490" s="389" t="s">
        <v>301</v>
      </c>
      <c r="T490" s="390"/>
      <c r="V490" s="303"/>
    </row>
    <row r="491" spans="1:22" s="86" customFormat="1" ht="22.5">
      <c r="A491" s="52" t="s">
        <v>415</v>
      </c>
      <c r="B491" s="350"/>
      <c r="C491" s="15" t="s">
        <v>78</v>
      </c>
      <c r="D491" s="315" t="s">
        <v>440</v>
      </c>
      <c r="E491" s="284" t="s">
        <v>88</v>
      </c>
      <c r="F491" s="270">
        <v>13047</v>
      </c>
      <c r="G491" s="285">
        <v>38867</v>
      </c>
      <c r="H491" s="259">
        <v>38912</v>
      </c>
      <c r="I491" s="261" t="s">
        <v>82</v>
      </c>
      <c r="J491" s="298">
        <v>500</v>
      </c>
      <c r="K491" s="298">
        <v>100</v>
      </c>
      <c r="L491" s="301">
        <v>600</v>
      </c>
      <c r="M491" s="286">
        <f aca="true" t="shared" si="138" ref="M491:M501">+O491/1.2</f>
        <v>68.2</v>
      </c>
      <c r="N491" s="286">
        <f aca="true" t="shared" si="139" ref="N491:N501">+M491*0.2</f>
        <v>13.64</v>
      </c>
      <c r="O491" s="301">
        <v>81.84</v>
      </c>
      <c r="P491" s="85">
        <f aca="true" t="shared" si="140" ref="P491:P501">+M491*0.65</f>
        <v>44.330000000000005</v>
      </c>
      <c r="Q491" s="85">
        <f aca="true" t="shared" si="141" ref="Q491:Q501">+N491*0.65</f>
        <v>8.866000000000001</v>
      </c>
      <c r="R491" s="193">
        <f aca="true" t="shared" si="142" ref="R491:R501">+Q491+P491</f>
        <v>53.196000000000005</v>
      </c>
      <c r="S491" s="389" t="s">
        <v>301</v>
      </c>
      <c r="T491" s="390"/>
      <c r="V491" s="303"/>
    </row>
    <row r="492" spans="1:22" s="86" customFormat="1" ht="22.5">
      <c r="A492" s="52" t="s">
        <v>415</v>
      </c>
      <c r="B492" s="350"/>
      <c r="C492" s="15" t="s">
        <v>78</v>
      </c>
      <c r="D492" s="315" t="s">
        <v>440</v>
      </c>
      <c r="E492" s="284" t="s">
        <v>88</v>
      </c>
      <c r="F492" s="270">
        <v>13158</v>
      </c>
      <c r="G492" s="285">
        <v>38867</v>
      </c>
      <c r="H492" s="259">
        <v>38912</v>
      </c>
      <c r="I492" s="261" t="s">
        <v>82</v>
      </c>
      <c r="J492" s="298">
        <v>100</v>
      </c>
      <c r="K492" s="298">
        <v>20</v>
      </c>
      <c r="L492" s="301">
        <v>120</v>
      </c>
      <c r="M492" s="286">
        <f t="shared" si="138"/>
        <v>13.641666666666667</v>
      </c>
      <c r="N492" s="286">
        <f t="shared" si="139"/>
        <v>2.7283333333333335</v>
      </c>
      <c r="O492" s="301">
        <v>16.37</v>
      </c>
      <c r="P492" s="85">
        <f t="shared" si="140"/>
        <v>8.867083333333333</v>
      </c>
      <c r="Q492" s="85">
        <f t="shared" si="141"/>
        <v>1.7734166666666669</v>
      </c>
      <c r="R492" s="193">
        <f t="shared" si="142"/>
        <v>10.6405</v>
      </c>
      <c r="S492" s="389" t="s">
        <v>301</v>
      </c>
      <c r="T492" s="390"/>
      <c r="V492" s="303"/>
    </row>
    <row r="493" spans="1:22" s="86" customFormat="1" ht="22.5">
      <c r="A493" s="52" t="s">
        <v>415</v>
      </c>
      <c r="B493" s="350"/>
      <c r="C493" s="15" t="s">
        <v>78</v>
      </c>
      <c r="D493" s="315" t="s">
        <v>441</v>
      </c>
      <c r="E493" s="284" t="s">
        <v>88</v>
      </c>
      <c r="F493" s="270">
        <v>16122</v>
      </c>
      <c r="G493" s="285">
        <v>38896</v>
      </c>
      <c r="H493" s="259">
        <v>38918</v>
      </c>
      <c r="I493" s="261" t="s">
        <v>82</v>
      </c>
      <c r="J493" s="298">
        <v>500</v>
      </c>
      <c r="K493" s="298">
        <v>100</v>
      </c>
      <c r="L493" s="301">
        <v>600</v>
      </c>
      <c r="M493" s="286">
        <f t="shared" si="138"/>
        <v>95.25</v>
      </c>
      <c r="N493" s="286">
        <f t="shared" si="139"/>
        <v>19.05</v>
      </c>
      <c r="O493" s="301">
        <v>114.3</v>
      </c>
      <c r="P493" s="85">
        <f t="shared" si="140"/>
        <v>61.9125</v>
      </c>
      <c r="Q493" s="85">
        <f t="shared" si="141"/>
        <v>12.3825</v>
      </c>
      <c r="R493" s="193">
        <f t="shared" si="142"/>
        <v>74.295</v>
      </c>
      <c r="S493" s="389" t="s">
        <v>301</v>
      </c>
      <c r="T493" s="390"/>
      <c r="V493" s="303"/>
    </row>
    <row r="494" spans="1:22" s="86" customFormat="1" ht="22.5">
      <c r="A494" s="52" t="s">
        <v>415</v>
      </c>
      <c r="B494" s="350"/>
      <c r="C494" s="15" t="s">
        <v>78</v>
      </c>
      <c r="D494" s="315" t="s">
        <v>441</v>
      </c>
      <c r="E494" s="284" t="s">
        <v>88</v>
      </c>
      <c r="F494" s="270">
        <v>16230</v>
      </c>
      <c r="G494" s="285">
        <v>38896</v>
      </c>
      <c r="H494" s="259">
        <v>38918</v>
      </c>
      <c r="I494" s="261" t="s">
        <v>82</v>
      </c>
      <c r="J494" s="298">
        <v>100</v>
      </c>
      <c r="K494" s="298">
        <v>20</v>
      </c>
      <c r="L494" s="301">
        <v>120</v>
      </c>
      <c r="M494" s="286">
        <f t="shared" si="138"/>
        <v>19.05</v>
      </c>
      <c r="N494" s="286">
        <f t="shared" si="139"/>
        <v>3.8100000000000005</v>
      </c>
      <c r="O494" s="301">
        <v>22.86</v>
      </c>
      <c r="P494" s="85">
        <f t="shared" si="140"/>
        <v>12.3825</v>
      </c>
      <c r="Q494" s="85">
        <f t="shared" si="141"/>
        <v>2.4765000000000006</v>
      </c>
      <c r="R494" s="193">
        <f t="shared" si="142"/>
        <v>14.859000000000002</v>
      </c>
      <c r="S494" s="389" t="s">
        <v>301</v>
      </c>
      <c r="T494" s="390"/>
      <c r="V494" s="303"/>
    </row>
    <row r="495" spans="1:22" s="86" customFormat="1" ht="22.5">
      <c r="A495" s="52" t="s">
        <v>415</v>
      </c>
      <c r="B495" s="350"/>
      <c r="C495" s="15" t="s">
        <v>78</v>
      </c>
      <c r="D495" s="315" t="s">
        <v>442</v>
      </c>
      <c r="E495" s="284" t="s">
        <v>81</v>
      </c>
      <c r="F495" s="270">
        <v>87</v>
      </c>
      <c r="G495" s="285">
        <v>38957</v>
      </c>
      <c r="H495" s="259">
        <v>38957</v>
      </c>
      <c r="I495" s="261" t="s">
        <v>82</v>
      </c>
      <c r="J495" s="298">
        <v>500</v>
      </c>
      <c r="K495" s="298">
        <v>100</v>
      </c>
      <c r="L495" s="301">
        <v>600</v>
      </c>
      <c r="M495" s="286">
        <f t="shared" si="138"/>
        <v>96.35000000000001</v>
      </c>
      <c r="N495" s="286">
        <f t="shared" si="139"/>
        <v>19.270000000000003</v>
      </c>
      <c r="O495" s="301">
        <v>115.62</v>
      </c>
      <c r="P495" s="85">
        <f t="shared" si="140"/>
        <v>62.627500000000005</v>
      </c>
      <c r="Q495" s="85">
        <f t="shared" si="141"/>
        <v>12.525500000000003</v>
      </c>
      <c r="R495" s="193">
        <f t="shared" si="142"/>
        <v>75.153</v>
      </c>
      <c r="S495" s="389" t="s">
        <v>301</v>
      </c>
      <c r="T495" s="390"/>
      <c r="V495" s="303"/>
    </row>
    <row r="496" spans="1:22" s="86" customFormat="1" ht="22.5">
      <c r="A496" s="52" t="s">
        <v>415</v>
      </c>
      <c r="B496" s="350"/>
      <c r="C496" s="15" t="s">
        <v>78</v>
      </c>
      <c r="D496" s="315" t="s">
        <v>443</v>
      </c>
      <c r="E496" s="284" t="s">
        <v>81</v>
      </c>
      <c r="F496" s="270">
        <v>108</v>
      </c>
      <c r="G496" s="285">
        <v>38986</v>
      </c>
      <c r="H496" s="259">
        <v>38986</v>
      </c>
      <c r="I496" s="261" t="s">
        <v>82</v>
      </c>
      <c r="J496" s="298">
        <v>500</v>
      </c>
      <c r="K496" s="298">
        <v>100</v>
      </c>
      <c r="L496" s="301">
        <v>600</v>
      </c>
      <c r="M496" s="286">
        <f t="shared" si="138"/>
        <v>116.55000000000001</v>
      </c>
      <c r="N496" s="286">
        <f t="shared" si="139"/>
        <v>23.310000000000002</v>
      </c>
      <c r="O496" s="301">
        <v>139.86</v>
      </c>
      <c r="P496" s="85">
        <f t="shared" si="140"/>
        <v>75.75750000000001</v>
      </c>
      <c r="Q496" s="85">
        <f t="shared" si="141"/>
        <v>15.151500000000002</v>
      </c>
      <c r="R496" s="193">
        <f t="shared" si="142"/>
        <v>90.909</v>
      </c>
      <c r="S496" s="389" t="s">
        <v>301</v>
      </c>
      <c r="T496" s="390"/>
      <c r="V496" s="303"/>
    </row>
    <row r="497" spans="1:22" s="86" customFormat="1" ht="22.5">
      <c r="A497" s="52" t="s">
        <v>415</v>
      </c>
      <c r="B497" s="350"/>
      <c r="C497" s="15" t="s">
        <v>78</v>
      </c>
      <c r="D497" s="315" t="s">
        <v>444</v>
      </c>
      <c r="E497" s="284" t="s">
        <v>88</v>
      </c>
      <c r="F497" s="270">
        <v>19251</v>
      </c>
      <c r="G497" s="285">
        <v>38924</v>
      </c>
      <c r="H497" s="259">
        <v>38957</v>
      </c>
      <c r="I497" s="261" t="s">
        <v>82</v>
      </c>
      <c r="J497" s="298">
        <v>500</v>
      </c>
      <c r="K497" s="298">
        <v>100</v>
      </c>
      <c r="L497" s="301">
        <v>600</v>
      </c>
      <c r="M497" s="286">
        <f t="shared" si="138"/>
        <v>92.25</v>
      </c>
      <c r="N497" s="286">
        <f t="shared" si="139"/>
        <v>18.45</v>
      </c>
      <c r="O497" s="301">
        <v>110.7</v>
      </c>
      <c r="P497" s="85">
        <f t="shared" si="140"/>
        <v>59.9625</v>
      </c>
      <c r="Q497" s="85">
        <f t="shared" si="141"/>
        <v>11.9925</v>
      </c>
      <c r="R497" s="193">
        <f t="shared" si="142"/>
        <v>71.955</v>
      </c>
      <c r="S497" s="389" t="s">
        <v>301</v>
      </c>
      <c r="T497" s="390"/>
      <c r="V497" s="303"/>
    </row>
    <row r="498" spans="1:22" s="86" customFormat="1" ht="22.5">
      <c r="A498" s="52" t="s">
        <v>415</v>
      </c>
      <c r="B498" s="350"/>
      <c r="C498" s="15" t="s">
        <v>78</v>
      </c>
      <c r="D498" s="315" t="s">
        <v>444</v>
      </c>
      <c r="E498" s="284" t="s">
        <v>88</v>
      </c>
      <c r="F498" s="270">
        <v>19414</v>
      </c>
      <c r="G498" s="285">
        <v>38924</v>
      </c>
      <c r="H498" s="259">
        <v>38957</v>
      </c>
      <c r="I498" s="261" t="s">
        <v>82</v>
      </c>
      <c r="J498" s="298">
        <v>100</v>
      </c>
      <c r="K498" s="298">
        <v>20</v>
      </c>
      <c r="L498" s="301">
        <v>120</v>
      </c>
      <c r="M498" s="286">
        <f t="shared" si="138"/>
        <v>18.450000000000003</v>
      </c>
      <c r="N498" s="286">
        <f t="shared" si="139"/>
        <v>3.690000000000001</v>
      </c>
      <c r="O498" s="301">
        <v>22.14</v>
      </c>
      <c r="P498" s="85">
        <f t="shared" si="140"/>
        <v>11.992500000000001</v>
      </c>
      <c r="Q498" s="85">
        <f t="shared" si="141"/>
        <v>2.3985000000000007</v>
      </c>
      <c r="R498" s="193">
        <f t="shared" si="142"/>
        <v>14.391000000000002</v>
      </c>
      <c r="S498" s="389" t="s">
        <v>301</v>
      </c>
      <c r="T498" s="390"/>
      <c r="V498" s="303"/>
    </row>
    <row r="499" spans="1:22" s="86" customFormat="1" ht="22.5">
      <c r="A499" s="52" t="s">
        <v>415</v>
      </c>
      <c r="B499" s="350"/>
      <c r="C499" s="15" t="s">
        <v>78</v>
      </c>
      <c r="D499" s="315" t="s">
        <v>445</v>
      </c>
      <c r="E499" s="284" t="s">
        <v>88</v>
      </c>
      <c r="F499" s="270">
        <v>22623</v>
      </c>
      <c r="G499" s="285">
        <v>38960</v>
      </c>
      <c r="H499" s="259">
        <v>38994</v>
      </c>
      <c r="I499" s="261" t="s">
        <v>82</v>
      </c>
      <c r="J499" s="298">
        <v>500</v>
      </c>
      <c r="K499" s="298">
        <v>100</v>
      </c>
      <c r="L499" s="301">
        <v>600</v>
      </c>
      <c r="M499" s="286">
        <f t="shared" si="138"/>
        <v>96.35000000000001</v>
      </c>
      <c r="N499" s="286">
        <f t="shared" si="139"/>
        <v>19.270000000000003</v>
      </c>
      <c r="O499" s="301">
        <v>115.62</v>
      </c>
      <c r="P499" s="85">
        <f t="shared" si="140"/>
        <v>62.627500000000005</v>
      </c>
      <c r="Q499" s="85">
        <f t="shared" si="141"/>
        <v>12.525500000000003</v>
      </c>
      <c r="R499" s="193">
        <f t="shared" si="142"/>
        <v>75.153</v>
      </c>
      <c r="S499" s="389" t="s">
        <v>301</v>
      </c>
      <c r="T499" s="390"/>
      <c r="V499" s="303"/>
    </row>
    <row r="500" spans="1:22" s="86" customFormat="1" ht="22.5">
      <c r="A500" s="52" t="s">
        <v>415</v>
      </c>
      <c r="B500" s="350"/>
      <c r="C500" s="15" t="s">
        <v>78</v>
      </c>
      <c r="D500" s="315" t="s">
        <v>445</v>
      </c>
      <c r="E500" s="284" t="s">
        <v>88</v>
      </c>
      <c r="F500" s="270">
        <v>22731</v>
      </c>
      <c r="G500" s="285">
        <v>38960</v>
      </c>
      <c r="H500" s="259">
        <v>38994</v>
      </c>
      <c r="I500" s="261" t="s">
        <v>82</v>
      </c>
      <c r="J500" s="298">
        <v>100</v>
      </c>
      <c r="K500" s="298">
        <v>20</v>
      </c>
      <c r="L500" s="301">
        <v>120</v>
      </c>
      <c r="M500" s="286">
        <f t="shared" si="138"/>
        <v>19.26666666666667</v>
      </c>
      <c r="N500" s="286">
        <f t="shared" si="139"/>
        <v>3.853333333333334</v>
      </c>
      <c r="O500" s="301">
        <v>23.12</v>
      </c>
      <c r="P500" s="85">
        <f t="shared" si="140"/>
        <v>12.523333333333335</v>
      </c>
      <c r="Q500" s="85">
        <f t="shared" si="141"/>
        <v>2.504666666666667</v>
      </c>
      <c r="R500" s="193">
        <f t="shared" si="142"/>
        <v>15.028000000000002</v>
      </c>
      <c r="S500" s="389" t="s">
        <v>301</v>
      </c>
      <c r="T500" s="390"/>
      <c r="V500" s="303"/>
    </row>
    <row r="501" spans="1:22" s="86" customFormat="1" ht="22.5">
      <c r="A501" s="52" t="s">
        <v>415</v>
      </c>
      <c r="B501" s="350"/>
      <c r="C501" s="15" t="s">
        <v>78</v>
      </c>
      <c r="D501" s="315" t="s">
        <v>446</v>
      </c>
      <c r="E501" s="284" t="s">
        <v>81</v>
      </c>
      <c r="F501" s="270">
        <v>125</v>
      </c>
      <c r="G501" s="285">
        <v>39016</v>
      </c>
      <c r="H501" s="259">
        <v>39016</v>
      </c>
      <c r="I501" s="261" t="s">
        <v>82</v>
      </c>
      <c r="J501" s="298">
        <v>600</v>
      </c>
      <c r="K501" s="298">
        <v>120</v>
      </c>
      <c r="L501" s="301">
        <v>720</v>
      </c>
      <c r="M501" s="286">
        <f t="shared" si="138"/>
        <v>149.45833333333334</v>
      </c>
      <c r="N501" s="286">
        <f t="shared" si="139"/>
        <v>29.89166666666667</v>
      </c>
      <c r="O501" s="301">
        <v>179.35</v>
      </c>
      <c r="P501" s="85">
        <f t="shared" si="140"/>
        <v>97.14791666666667</v>
      </c>
      <c r="Q501" s="85">
        <f t="shared" si="141"/>
        <v>19.429583333333337</v>
      </c>
      <c r="R501" s="193">
        <f t="shared" si="142"/>
        <v>116.57750000000001</v>
      </c>
      <c r="S501" s="389" t="s">
        <v>301</v>
      </c>
      <c r="T501" s="390"/>
      <c r="V501" s="303"/>
    </row>
    <row r="502" spans="1:22" s="86" customFormat="1" ht="22.5">
      <c r="A502" s="52" t="s">
        <v>461</v>
      </c>
      <c r="B502" s="350"/>
      <c r="C502" s="15" t="s">
        <v>42</v>
      </c>
      <c r="D502" s="315" t="s">
        <v>352</v>
      </c>
      <c r="E502" s="284" t="s">
        <v>470</v>
      </c>
      <c r="F502" s="270">
        <v>377</v>
      </c>
      <c r="G502" s="285">
        <v>38992</v>
      </c>
      <c r="H502" s="259">
        <v>39056</v>
      </c>
      <c r="I502" s="261" t="s">
        <v>471</v>
      </c>
      <c r="J502" s="298"/>
      <c r="K502" s="298"/>
      <c r="L502" s="301">
        <v>350</v>
      </c>
      <c r="M502" s="286"/>
      <c r="N502" s="286"/>
      <c r="O502" s="301"/>
      <c r="P502" s="85"/>
      <c r="Q502" s="85"/>
      <c r="R502" s="193"/>
      <c r="S502" s="410" t="s">
        <v>146</v>
      </c>
      <c r="T502" s="418"/>
      <c r="V502" s="303"/>
    </row>
    <row r="503" spans="1:22" s="86" customFormat="1" ht="22.5">
      <c r="A503" s="52" t="s">
        <v>461</v>
      </c>
      <c r="B503" s="350"/>
      <c r="C503" s="15" t="s">
        <v>42</v>
      </c>
      <c r="D503" s="315" t="s">
        <v>352</v>
      </c>
      <c r="E503" s="284" t="s">
        <v>470</v>
      </c>
      <c r="F503" s="270">
        <v>1479</v>
      </c>
      <c r="G503" s="285">
        <v>39048</v>
      </c>
      <c r="H503" s="259">
        <v>39056</v>
      </c>
      <c r="I503" s="261" t="s">
        <v>471</v>
      </c>
      <c r="J503" s="298"/>
      <c r="K503" s="298"/>
      <c r="L503" s="301">
        <v>165</v>
      </c>
      <c r="M503" s="286"/>
      <c r="N503" s="286"/>
      <c r="O503" s="301"/>
      <c r="P503" s="85"/>
      <c r="Q503" s="85"/>
      <c r="R503" s="193"/>
      <c r="S503" s="410" t="s">
        <v>146</v>
      </c>
      <c r="T503" s="418"/>
      <c r="V503" s="303"/>
    </row>
    <row r="504" spans="1:22" s="86" customFormat="1" ht="22.5">
      <c r="A504" s="52" t="s">
        <v>461</v>
      </c>
      <c r="B504" s="350"/>
      <c r="C504" s="15" t="s">
        <v>42</v>
      </c>
      <c r="D504" s="315" t="s">
        <v>352</v>
      </c>
      <c r="E504" s="284" t="s">
        <v>472</v>
      </c>
      <c r="F504" s="270">
        <v>33</v>
      </c>
      <c r="G504" s="285">
        <v>39428</v>
      </c>
      <c r="H504" s="259">
        <v>39428</v>
      </c>
      <c r="I504" s="261" t="s">
        <v>473</v>
      </c>
      <c r="J504" s="298">
        <v>158.18</v>
      </c>
      <c r="K504" s="298">
        <v>15.82</v>
      </c>
      <c r="L504" s="301">
        <v>174</v>
      </c>
      <c r="M504" s="286"/>
      <c r="N504" s="286"/>
      <c r="O504" s="301"/>
      <c r="P504" s="85"/>
      <c r="Q504" s="85"/>
      <c r="R504" s="193"/>
      <c r="S504" s="410" t="s">
        <v>146</v>
      </c>
      <c r="T504" s="418"/>
      <c r="V504" s="303"/>
    </row>
    <row r="505" spans="1:22" s="86" customFormat="1" ht="33.75">
      <c r="A505" s="52" t="s">
        <v>461</v>
      </c>
      <c r="B505" s="350"/>
      <c r="C505" s="15" t="s">
        <v>177</v>
      </c>
      <c r="D505" s="309" t="s">
        <v>474</v>
      </c>
      <c r="E505" s="310" t="s">
        <v>475</v>
      </c>
      <c r="F505" s="311">
        <v>51</v>
      </c>
      <c r="G505" s="312">
        <v>38991</v>
      </c>
      <c r="H505" s="316">
        <v>39017</v>
      </c>
      <c r="I505" s="317" t="s">
        <v>428</v>
      </c>
      <c r="J505" s="318">
        <v>2922.35</v>
      </c>
      <c r="K505" s="318">
        <v>557.7</v>
      </c>
      <c r="L505" s="354">
        <f>+K505+J505</f>
        <v>3480.05</v>
      </c>
      <c r="M505" s="318">
        <v>2922.35</v>
      </c>
      <c r="N505" s="318">
        <v>557.7</v>
      </c>
      <c r="O505" s="354">
        <f aca="true" t="shared" si="143" ref="O505:O512">+N505+M505</f>
        <v>3480.05</v>
      </c>
      <c r="P505" s="85">
        <f aca="true" t="shared" si="144" ref="P505:Q511">+M505*0.65</f>
        <v>1899.5275</v>
      </c>
      <c r="Q505" s="85">
        <f t="shared" si="144"/>
        <v>362.50500000000005</v>
      </c>
      <c r="R505" s="193">
        <f aca="true" t="shared" si="145" ref="R505:R512">+Q505+P505</f>
        <v>2262.0325</v>
      </c>
      <c r="S505" s="306"/>
      <c r="T505" s="307"/>
      <c r="V505" s="303"/>
    </row>
    <row r="506" spans="1:22" s="86" customFormat="1" ht="33.75">
      <c r="A506" s="52" t="s">
        <v>461</v>
      </c>
      <c r="B506" s="350"/>
      <c r="C506" s="15" t="s">
        <v>64</v>
      </c>
      <c r="D506" s="355" t="s">
        <v>423</v>
      </c>
      <c r="E506" s="310"/>
      <c r="F506" s="311"/>
      <c r="G506" s="312"/>
      <c r="H506" s="316">
        <v>39048</v>
      </c>
      <c r="I506" s="317" t="s">
        <v>424</v>
      </c>
      <c r="J506" s="318">
        <v>142.32</v>
      </c>
      <c r="K506" s="318"/>
      <c r="L506" s="354">
        <v>142.32</v>
      </c>
      <c r="M506" s="318">
        <v>142.32</v>
      </c>
      <c r="N506" s="318"/>
      <c r="O506" s="354">
        <f t="shared" si="143"/>
        <v>142.32</v>
      </c>
      <c r="P506" s="85">
        <f t="shared" si="144"/>
        <v>92.508</v>
      </c>
      <c r="Q506" s="85">
        <f t="shared" si="144"/>
        <v>0</v>
      </c>
      <c r="R506" s="193">
        <f t="shared" si="145"/>
        <v>92.508</v>
      </c>
      <c r="S506" s="306"/>
      <c r="T506" s="307"/>
      <c r="V506" s="303"/>
    </row>
    <row r="507" spans="1:22" s="86" customFormat="1" ht="33.75">
      <c r="A507" s="52" t="s">
        <v>461</v>
      </c>
      <c r="B507" s="350"/>
      <c r="C507" s="15" t="s">
        <v>64</v>
      </c>
      <c r="D507" s="355" t="s">
        <v>423</v>
      </c>
      <c r="E507" s="310"/>
      <c r="F507" s="311"/>
      <c r="G507" s="312"/>
      <c r="H507" s="316">
        <v>39062</v>
      </c>
      <c r="I507" s="317" t="s">
        <v>424</v>
      </c>
      <c r="J507" s="318">
        <v>142.32</v>
      </c>
      <c r="K507" s="318"/>
      <c r="L507" s="354">
        <v>142.32</v>
      </c>
      <c r="M507" s="318">
        <v>142.32</v>
      </c>
      <c r="N507" s="318"/>
      <c r="O507" s="354">
        <f t="shared" si="143"/>
        <v>142.32</v>
      </c>
      <c r="P507" s="85">
        <f t="shared" si="144"/>
        <v>92.508</v>
      </c>
      <c r="Q507" s="85">
        <f t="shared" si="144"/>
        <v>0</v>
      </c>
      <c r="R507" s="193">
        <f t="shared" si="145"/>
        <v>92.508</v>
      </c>
      <c r="S507" s="306"/>
      <c r="T507" s="307"/>
      <c r="V507" s="303"/>
    </row>
    <row r="508" spans="1:22" s="86" customFormat="1" ht="33.75">
      <c r="A508" s="52" t="s">
        <v>461</v>
      </c>
      <c r="B508" s="350"/>
      <c r="C508" s="15" t="s">
        <v>64</v>
      </c>
      <c r="D508" s="355" t="s">
        <v>423</v>
      </c>
      <c r="E508" s="310"/>
      <c r="F508" s="311"/>
      <c r="G508" s="312"/>
      <c r="H508" s="316">
        <v>39085</v>
      </c>
      <c r="I508" s="317" t="s">
        <v>424</v>
      </c>
      <c r="J508" s="318">
        <v>142.32</v>
      </c>
      <c r="K508" s="318"/>
      <c r="L508" s="354">
        <v>142.32</v>
      </c>
      <c r="M508" s="318">
        <v>142.32</v>
      </c>
      <c r="N508" s="318"/>
      <c r="O508" s="354">
        <f t="shared" si="143"/>
        <v>142.32</v>
      </c>
      <c r="P508" s="85">
        <f t="shared" si="144"/>
        <v>92.508</v>
      </c>
      <c r="Q508" s="85">
        <f t="shared" si="144"/>
        <v>0</v>
      </c>
      <c r="R508" s="193">
        <f t="shared" si="145"/>
        <v>92.508</v>
      </c>
      <c r="S508" s="306"/>
      <c r="T508" s="307"/>
      <c r="V508" s="303"/>
    </row>
    <row r="509" spans="1:22" s="86" customFormat="1" ht="22.5">
      <c r="A509" s="52" t="s">
        <v>461</v>
      </c>
      <c r="B509" s="8"/>
      <c r="C509" s="15" t="s">
        <v>157</v>
      </c>
      <c r="D509" s="355" t="s">
        <v>311</v>
      </c>
      <c r="E509" s="310" t="s">
        <v>104</v>
      </c>
      <c r="F509" s="311">
        <v>6033019</v>
      </c>
      <c r="G509" s="312">
        <v>39078</v>
      </c>
      <c r="H509" s="316">
        <v>39098</v>
      </c>
      <c r="I509" s="317" t="s">
        <v>251</v>
      </c>
      <c r="J509" s="318">
        <v>232.65</v>
      </c>
      <c r="K509" s="318">
        <f>+J509*0.2</f>
        <v>46.53</v>
      </c>
      <c r="L509" s="354">
        <f>+K509+J509</f>
        <v>279.18</v>
      </c>
      <c r="M509" s="318">
        <v>120.633333333333</v>
      </c>
      <c r="N509" s="318">
        <f>+M509*0.2</f>
        <v>24.1266666666666</v>
      </c>
      <c r="O509" s="354">
        <f t="shared" si="143"/>
        <v>144.7599999999996</v>
      </c>
      <c r="P509" s="85">
        <f t="shared" si="144"/>
        <v>78.41166666666645</v>
      </c>
      <c r="Q509" s="85">
        <f t="shared" si="144"/>
        <v>15.682333333333291</v>
      </c>
      <c r="R509" s="193">
        <f t="shared" si="145"/>
        <v>94.09399999999974</v>
      </c>
      <c r="S509" s="389" t="s">
        <v>301</v>
      </c>
      <c r="T509" s="390"/>
      <c r="V509" s="303"/>
    </row>
    <row r="510" spans="1:22" s="86" customFormat="1" ht="22.5">
      <c r="A510" s="52" t="s">
        <v>461</v>
      </c>
      <c r="B510" s="8"/>
      <c r="C510" s="15" t="s">
        <v>157</v>
      </c>
      <c r="D510" s="315" t="s">
        <v>311</v>
      </c>
      <c r="E510" s="284" t="s">
        <v>104</v>
      </c>
      <c r="F510" s="270">
        <v>6033020</v>
      </c>
      <c r="G510" s="285">
        <v>39129</v>
      </c>
      <c r="H510" s="259">
        <v>39149</v>
      </c>
      <c r="I510" s="261" t="s">
        <v>251</v>
      </c>
      <c r="J510" s="298">
        <v>267.14</v>
      </c>
      <c r="K510" s="298">
        <f>+J510*0.2</f>
        <v>53.428</v>
      </c>
      <c r="L510" s="301">
        <f>+K510+J510</f>
        <v>320.568</v>
      </c>
      <c r="M510" s="318">
        <v>121.916666666667</v>
      </c>
      <c r="N510" s="318">
        <f>+M510*0.2</f>
        <v>24.3833333333334</v>
      </c>
      <c r="O510" s="354">
        <f t="shared" si="143"/>
        <v>146.3000000000004</v>
      </c>
      <c r="P510" s="85">
        <f t="shared" si="144"/>
        <v>79.24583333333355</v>
      </c>
      <c r="Q510" s="85">
        <f t="shared" si="144"/>
        <v>15.849166666666711</v>
      </c>
      <c r="R510" s="193">
        <f t="shared" si="145"/>
        <v>95.09500000000025</v>
      </c>
      <c r="S510" s="389" t="s">
        <v>301</v>
      </c>
      <c r="T510" s="390"/>
      <c r="V510" s="303"/>
    </row>
    <row r="511" spans="1:22" s="86" customFormat="1" ht="22.5">
      <c r="A511" s="52" t="s">
        <v>461</v>
      </c>
      <c r="B511" s="8"/>
      <c r="C511" s="15" t="s">
        <v>157</v>
      </c>
      <c r="D511" s="315" t="s">
        <v>312</v>
      </c>
      <c r="E511" s="284" t="s">
        <v>313</v>
      </c>
      <c r="F511" s="270"/>
      <c r="G511" s="285">
        <v>39141</v>
      </c>
      <c r="H511" s="259"/>
      <c r="I511" s="261" t="s">
        <v>251</v>
      </c>
      <c r="J511" s="298">
        <v>768.6</v>
      </c>
      <c r="K511" s="298"/>
      <c r="L511" s="301">
        <v>768.6</v>
      </c>
      <c r="M511" s="286">
        <v>768.6</v>
      </c>
      <c r="N511" s="286"/>
      <c r="O511" s="301">
        <f t="shared" si="143"/>
        <v>768.6</v>
      </c>
      <c r="P511" s="85">
        <f t="shared" si="144"/>
        <v>499.59000000000003</v>
      </c>
      <c r="Q511" s="85">
        <f t="shared" si="144"/>
        <v>0</v>
      </c>
      <c r="R511" s="193">
        <f t="shared" si="145"/>
        <v>499.59000000000003</v>
      </c>
      <c r="S511" s="306"/>
      <c r="T511" s="307"/>
      <c r="V511" s="303"/>
    </row>
    <row r="512" spans="1:22" s="86" customFormat="1" ht="67.5">
      <c r="A512" s="52" t="s">
        <v>461</v>
      </c>
      <c r="B512" s="350"/>
      <c r="C512" s="15" t="s">
        <v>49</v>
      </c>
      <c r="D512" s="315" t="s">
        <v>429</v>
      </c>
      <c r="E512" s="284" t="s">
        <v>430</v>
      </c>
      <c r="F512" s="270" t="s">
        <v>481</v>
      </c>
      <c r="G512" s="261" t="s">
        <v>482</v>
      </c>
      <c r="H512" s="264" t="s">
        <v>482</v>
      </c>
      <c r="I512" s="261" t="s">
        <v>483</v>
      </c>
      <c r="J512" s="298">
        <v>750.31</v>
      </c>
      <c r="K512" s="298"/>
      <c r="L512" s="301">
        <f>+K512+J512</f>
        <v>750.31</v>
      </c>
      <c r="M512" s="286">
        <v>750.31</v>
      </c>
      <c r="N512" s="286"/>
      <c r="O512" s="301">
        <f t="shared" si="143"/>
        <v>750.31</v>
      </c>
      <c r="P512" s="85">
        <f aca="true" t="shared" si="146" ref="P512:P527">+M512*0.65</f>
        <v>487.70149999999995</v>
      </c>
      <c r="Q512" s="85"/>
      <c r="R512" s="193">
        <f t="shared" si="145"/>
        <v>487.70149999999995</v>
      </c>
      <c r="S512" s="306"/>
      <c r="T512" s="307"/>
      <c r="V512" s="303"/>
    </row>
    <row r="513" spans="1:22" s="86" customFormat="1" ht="22.5">
      <c r="A513" s="52" t="s">
        <v>488</v>
      </c>
      <c r="B513" s="350"/>
      <c r="C513" s="15" t="s">
        <v>78</v>
      </c>
      <c r="D513" s="315" t="s">
        <v>491</v>
      </c>
      <c r="E513" s="284" t="s">
        <v>81</v>
      </c>
      <c r="F513" s="270">
        <v>64</v>
      </c>
      <c r="G513" s="261">
        <v>39167</v>
      </c>
      <c r="H513" s="264">
        <v>39168</v>
      </c>
      <c r="I513" s="261" t="s">
        <v>82</v>
      </c>
      <c r="J513" s="298">
        <v>500</v>
      </c>
      <c r="K513" s="298">
        <v>100</v>
      </c>
      <c r="L513" s="301">
        <v>600</v>
      </c>
      <c r="M513" s="286">
        <f>+J513*7.1%</f>
        <v>35.5</v>
      </c>
      <c r="N513" s="286">
        <f>+K513*7.1%</f>
        <v>7.1</v>
      </c>
      <c r="O513" s="301">
        <f>+N513+M513</f>
        <v>42.6</v>
      </c>
      <c r="P513" s="85">
        <f t="shared" si="146"/>
        <v>23.075</v>
      </c>
      <c r="Q513" s="85">
        <f aca="true" t="shared" si="147" ref="Q513:Q527">+N513*0.65</f>
        <v>4.615</v>
      </c>
      <c r="R513" s="193">
        <f aca="true" t="shared" si="148" ref="R513:R527">+Q513+P513</f>
        <v>27.689999999999998</v>
      </c>
      <c r="S513" s="387" t="s">
        <v>605</v>
      </c>
      <c r="T513" s="388"/>
      <c r="V513" s="303"/>
    </row>
    <row r="514" spans="1:22" s="86" customFormat="1" ht="40.5" customHeight="1">
      <c r="A514" s="52" t="s">
        <v>488</v>
      </c>
      <c r="B514" s="350"/>
      <c r="C514" s="15" t="s">
        <v>78</v>
      </c>
      <c r="D514" s="315" t="s">
        <v>492</v>
      </c>
      <c r="E514" s="284" t="s">
        <v>84</v>
      </c>
      <c r="F514" s="270" t="s">
        <v>504</v>
      </c>
      <c r="G514" s="261">
        <v>39174</v>
      </c>
      <c r="H514" s="264">
        <v>39198</v>
      </c>
      <c r="I514" s="261" t="s">
        <v>85</v>
      </c>
      <c r="J514" s="298">
        <v>1091.35</v>
      </c>
      <c r="K514" s="298">
        <v>237.93</v>
      </c>
      <c r="L514" s="301">
        <f>+K514+J514</f>
        <v>1329.28</v>
      </c>
      <c r="M514" s="286">
        <f aca="true" t="shared" si="149" ref="M514:M519">+O514/1.2</f>
        <v>84.46666666666667</v>
      </c>
      <c r="N514" s="286">
        <f aca="true" t="shared" si="150" ref="N514:N519">+M514*0.2</f>
        <v>16.893333333333334</v>
      </c>
      <c r="O514" s="301">
        <v>101.36</v>
      </c>
      <c r="P514" s="85">
        <f t="shared" si="146"/>
        <v>54.903333333333336</v>
      </c>
      <c r="Q514" s="85">
        <f t="shared" si="147"/>
        <v>10.980666666666668</v>
      </c>
      <c r="R514" s="193">
        <f t="shared" si="148"/>
        <v>65.884</v>
      </c>
      <c r="S514" s="387" t="s">
        <v>606</v>
      </c>
      <c r="T514" s="388"/>
      <c r="V514" s="303"/>
    </row>
    <row r="515" spans="1:22" s="86" customFormat="1" ht="22.5">
      <c r="A515" s="52" t="s">
        <v>488</v>
      </c>
      <c r="B515" s="350"/>
      <c r="C515" s="15" t="s">
        <v>78</v>
      </c>
      <c r="D515" s="315" t="s">
        <v>493</v>
      </c>
      <c r="E515" s="284" t="s">
        <v>81</v>
      </c>
      <c r="F515" s="270">
        <v>83</v>
      </c>
      <c r="G515" s="261">
        <v>39198</v>
      </c>
      <c r="H515" s="264">
        <v>39199</v>
      </c>
      <c r="I515" s="261" t="s">
        <v>82</v>
      </c>
      <c r="J515" s="298">
        <v>700</v>
      </c>
      <c r="K515" s="298">
        <v>140</v>
      </c>
      <c r="L515" s="301">
        <f>+K515+J515</f>
        <v>840</v>
      </c>
      <c r="M515" s="286">
        <f t="shared" si="149"/>
        <v>32.35</v>
      </c>
      <c r="N515" s="286">
        <f t="shared" si="150"/>
        <v>6.470000000000001</v>
      </c>
      <c r="O515" s="301">
        <v>38.82</v>
      </c>
      <c r="P515" s="85">
        <f t="shared" si="146"/>
        <v>21.027500000000003</v>
      </c>
      <c r="Q515" s="85">
        <f t="shared" si="147"/>
        <v>4.205500000000001</v>
      </c>
      <c r="R515" s="193">
        <f t="shared" si="148"/>
        <v>25.233000000000004</v>
      </c>
      <c r="S515" s="387" t="s">
        <v>605</v>
      </c>
      <c r="T515" s="388"/>
      <c r="V515" s="303"/>
    </row>
    <row r="516" spans="1:22" s="86" customFormat="1" ht="22.5">
      <c r="A516" s="52" t="s">
        <v>488</v>
      </c>
      <c r="B516" s="350"/>
      <c r="C516" s="15" t="s">
        <v>78</v>
      </c>
      <c r="D516" s="315" t="s">
        <v>494</v>
      </c>
      <c r="E516" s="284" t="s">
        <v>228</v>
      </c>
      <c r="F516" s="270" t="s">
        <v>505</v>
      </c>
      <c r="G516" s="261">
        <v>39162</v>
      </c>
      <c r="H516" s="264">
        <v>39200</v>
      </c>
      <c r="I516" s="261" t="s">
        <v>85</v>
      </c>
      <c r="J516" s="298">
        <v>366.27</v>
      </c>
      <c r="K516" s="298">
        <v>73.26</v>
      </c>
      <c r="L516" s="301">
        <v>439.53</v>
      </c>
      <c r="M516" s="286">
        <f t="shared" si="149"/>
        <v>160.63333333333333</v>
      </c>
      <c r="N516" s="286">
        <f t="shared" si="150"/>
        <v>32.126666666666665</v>
      </c>
      <c r="O516" s="301">
        <v>192.76</v>
      </c>
      <c r="P516" s="85">
        <f t="shared" si="146"/>
        <v>104.41166666666666</v>
      </c>
      <c r="Q516" s="85">
        <f t="shared" si="147"/>
        <v>20.88233333333333</v>
      </c>
      <c r="R516" s="193">
        <f t="shared" si="148"/>
        <v>125.294</v>
      </c>
      <c r="S516" s="387" t="s">
        <v>605</v>
      </c>
      <c r="T516" s="388"/>
      <c r="V516" s="303"/>
    </row>
    <row r="517" spans="1:22" s="86" customFormat="1" ht="22.5">
      <c r="A517" s="52" t="s">
        <v>488</v>
      </c>
      <c r="B517" s="350"/>
      <c r="C517" s="15" t="s">
        <v>78</v>
      </c>
      <c r="D517" s="315" t="s">
        <v>495</v>
      </c>
      <c r="E517" s="284" t="s">
        <v>84</v>
      </c>
      <c r="F517" s="270" t="s">
        <v>506</v>
      </c>
      <c r="G517" s="261">
        <v>39203</v>
      </c>
      <c r="H517" s="264">
        <v>39223</v>
      </c>
      <c r="I517" s="261" t="s">
        <v>85</v>
      </c>
      <c r="J517" s="298">
        <v>843.7</v>
      </c>
      <c r="K517" s="298">
        <v>183.9</v>
      </c>
      <c r="L517" s="301">
        <f>+K517+J517</f>
        <v>1027.6000000000001</v>
      </c>
      <c r="M517" s="286">
        <f t="shared" si="149"/>
        <v>59.49166666666667</v>
      </c>
      <c r="N517" s="286">
        <f t="shared" si="150"/>
        <v>11.898333333333333</v>
      </c>
      <c r="O517" s="301">
        <v>71.39</v>
      </c>
      <c r="P517" s="85">
        <f t="shared" si="146"/>
        <v>38.669583333333335</v>
      </c>
      <c r="Q517" s="85">
        <f t="shared" si="147"/>
        <v>7.7339166666666666</v>
      </c>
      <c r="R517" s="193">
        <f t="shared" si="148"/>
        <v>46.4035</v>
      </c>
      <c r="S517" s="387" t="s">
        <v>606</v>
      </c>
      <c r="T517" s="388"/>
      <c r="V517" s="303"/>
    </row>
    <row r="518" spans="1:22" s="86" customFormat="1" ht="27" customHeight="1">
      <c r="A518" s="52" t="s">
        <v>488</v>
      </c>
      <c r="B518" s="350"/>
      <c r="C518" s="15" t="s">
        <v>78</v>
      </c>
      <c r="D518" s="315" t="s">
        <v>496</v>
      </c>
      <c r="E518" s="284" t="s">
        <v>98</v>
      </c>
      <c r="F518" s="270">
        <v>1007744</v>
      </c>
      <c r="G518" s="261">
        <v>39191</v>
      </c>
      <c r="H518" s="264">
        <v>39226</v>
      </c>
      <c r="I518" s="261" t="s">
        <v>85</v>
      </c>
      <c r="J518" s="298"/>
      <c r="K518" s="298"/>
      <c r="L518" s="301">
        <v>839.74</v>
      </c>
      <c r="M518" s="286">
        <f t="shared" si="149"/>
        <v>306.925</v>
      </c>
      <c r="N518" s="286">
        <f t="shared" si="150"/>
        <v>61.385000000000005</v>
      </c>
      <c r="O518" s="301">
        <v>368.31</v>
      </c>
      <c r="P518" s="85">
        <f t="shared" si="146"/>
        <v>199.50125000000003</v>
      </c>
      <c r="Q518" s="85">
        <f t="shared" si="147"/>
        <v>39.90025000000001</v>
      </c>
      <c r="R518" s="193">
        <f t="shared" si="148"/>
        <v>239.40150000000003</v>
      </c>
      <c r="S518" s="387" t="s">
        <v>606</v>
      </c>
      <c r="T518" s="388"/>
      <c r="V518" s="303"/>
    </row>
    <row r="519" spans="1:22" s="86" customFormat="1" ht="22.5">
      <c r="A519" s="52" t="s">
        <v>488</v>
      </c>
      <c r="B519" s="350"/>
      <c r="C519" s="15" t="s">
        <v>78</v>
      </c>
      <c r="D519" s="315" t="s">
        <v>497</v>
      </c>
      <c r="E519" s="284" t="s">
        <v>81</v>
      </c>
      <c r="F519" s="270">
        <v>104</v>
      </c>
      <c r="G519" s="261">
        <v>39226</v>
      </c>
      <c r="H519" s="264">
        <v>39227</v>
      </c>
      <c r="I519" s="261" t="s">
        <v>82</v>
      </c>
      <c r="J519" s="298">
        <v>600</v>
      </c>
      <c r="K519" s="298">
        <f>+J519*0.2</f>
        <v>120</v>
      </c>
      <c r="L519" s="301">
        <f>+K519+J519</f>
        <v>720</v>
      </c>
      <c r="M519" s="286">
        <f t="shared" si="149"/>
        <v>30.3</v>
      </c>
      <c r="N519" s="286">
        <f t="shared" si="150"/>
        <v>6.0600000000000005</v>
      </c>
      <c r="O519" s="301">
        <v>36.36</v>
      </c>
      <c r="P519" s="85">
        <f t="shared" si="146"/>
        <v>19.695</v>
      </c>
      <c r="Q519" s="85">
        <f t="shared" si="147"/>
        <v>3.9390000000000005</v>
      </c>
      <c r="R519" s="193">
        <f t="shared" si="148"/>
        <v>23.634</v>
      </c>
      <c r="S519" s="387" t="s">
        <v>605</v>
      </c>
      <c r="T519" s="388"/>
      <c r="V519" s="303"/>
    </row>
    <row r="520" spans="1:22" s="86" customFormat="1" ht="22.5">
      <c r="A520" s="52" t="s">
        <v>488</v>
      </c>
      <c r="B520" s="350"/>
      <c r="C520" s="15" t="s">
        <v>157</v>
      </c>
      <c r="D520" s="315" t="s">
        <v>311</v>
      </c>
      <c r="E520" s="284" t="s">
        <v>104</v>
      </c>
      <c r="F520" s="270">
        <v>6033012</v>
      </c>
      <c r="G520" s="261">
        <v>39188</v>
      </c>
      <c r="H520" s="264">
        <v>39209</v>
      </c>
      <c r="I520" s="261" t="s">
        <v>251</v>
      </c>
      <c r="J520" s="298"/>
      <c r="K520" s="298"/>
      <c r="L520" s="301">
        <v>81.79</v>
      </c>
      <c r="M520" s="286">
        <f>+L520</f>
        <v>81.79</v>
      </c>
      <c r="N520" s="286"/>
      <c r="O520" s="301">
        <f aca="true" t="shared" si="151" ref="O520:O527">+N520+M520</f>
        <v>81.79</v>
      </c>
      <c r="P520" s="85">
        <f t="shared" si="146"/>
        <v>53.163500000000006</v>
      </c>
      <c r="Q520" s="85">
        <f t="shared" si="147"/>
        <v>0</v>
      </c>
      <c r="R520" s="193">
        <f t="shared" si="148"/>
        <v>53.163500000000006</v>
      </c>
      <c r="S520" s="306"/>
      <c r="T520" s="307"/>
      <c r="V520" s="303"/>
    </row>
    <row r="521" spans="1:22" s="86" customFormat="1" ht="22.5">
      <c r="A521" s="52" t="s">
        <v>488</v>
      </c>
      <c r="B521" s="350"/>
      <c r="C521" s="15" t="s">
        <v>157</v>
      </c>
      <c r="D521" s="315" t="s">
        <v>311</v>
      </c>
      <c r="E521" s="284" t="s">
        <v>104</v>
      </c>
      <c r="F521" s="270">
        <v>6033013</v>
      </c>
      <c r="G521" s="261">
        <v>39249</v>
      </c>
      <c r="H521" s="264">
        <v>39269</v>
      </c>
      <c r="I521" s="261" t="s">
        <v>251</v>
      </c>
      <c r="J521" s="298"/>
      <c r="K521" s="298"/>
      <c r="L521" s="301">
        <v>107.86</v>
      </c>
      <c r="M521" s="286">
        <f>+L521</f>
        <v>107.86</v>
      </c>
      <c r="N521" s="286"/>
      <c r="O521" s="301">
        <f t="shared" si="151"/>
        <v>107.86</v>
      </c>
      <c r="P521" s="85">
        <f t="shared" si="146"/>
        <v>70.10900000000001</v>
      </c>
      <c r="Q521" s="85">
        <f t="shared" si="147"/>
        <v>0</v>
      </c>
      <c r="R521" s="193">
        <f t="shared" si="148"/>
        <v>70.10900000000001</v>
      </c>
      <c r="S521" s="306"/>
      <c r="T521" s="307"/>
      <c r="V521" s="303"/>
    </row>
    <row r="522" spans="1:22" s="86" customFormat="1" ht="11.25">
      <c r="A522" s="52" t="s">
        <v>488</v>
      </c>
      <c r="B522" s="350"/>
      <c r="C522" s="15" t="s">
        <v>157</v>
      </c>
      <c r="D522" s="315" t="s">
        <v>312</v>
      </c>
      <c r="E522" s="284" t="s">
        <v>313</v>
      </c>
      <c r="F522" s="270"/>
      <c r="G522" s="261">
        <v>39263</v>
      </c>
      <c r="H522" s="264">
        <v>39280</v>
      </c>
      <c r="I522" s="261" t="s">
        <v>500</v>
      </c>
      <c r="J522" s="298"/>
      <c r="K522" s="298"/>
      <c r="L522" s="301">
        <v>963</v>
      </c>
      <c r="M522" s="286">
        <f>+L522</f>
        <v>963</v>
      </c>
      <c r="N522" s="286"/>
      <c r="O522" s="301">
        <f t="shared" si="151"/>
        <v>963</v>
      </c>
      <c r="P522" s="85">
        <f t="shared" si="146"/>
        <v>625.95</v>
      </c>
      <c r="Q522" s="85">
        <f t="shared" si="147"/>
        <v>0</v>
      </c>
      <c r="R522" s="193">
        <f t="shared" si="148"/>
        <v>625.95</v>
      </c>
      <c r="S522" s="306"/>
      <c r="T522" s="307"/>
      <c r="V522" s="303"/>
    </row>
    <row r="523" spans="1:22" s="86" customFormat="1" ht="33.75">
      <c r="A523" s="52" t="s">
        <v>488</v>
      </c>
      <c r="B523" s="350"/>
      <c r="C523" s="9" t="s">
        <v>179</v>
      </c>
      <c r="D523" s="315" t="s">
        <v>423</v>
      </c>
      <c r="E523" s="284"/>
      <c r="F523" s="270"/>
      <c r="G523" s="261"/>
      <c r="H523" s="264">
        <v>39168</v>
      </c>
      <c r="I523" s="261" t="s">
        <v>424</v>
      </c>
      <c r="J523" s="286">
        <v>142.32</v>
      </c>
      <c r="K523" s="298"/>
      <c r="L523" s="301">
        <f>+K523+J523</f>
        <v>142.32</v>
      </c>
      <c r="M523" s="286">
        <v>142.32</v>
      </c>
      <c r="N523" s="286"/>
      <c r="O523" s="301">
        <f t="shared" si="151"/>
        <v>142.32</v>
      </c>
      <c r="P523" s="85">
        <f t="shared" si="146"/>
        <v>92.508</v>
      </c>
      <c r="Q523" s="85">
        <f t="shared" si="147"/>
        <v>0</v>
      </c>
      <c r="R523" s="193">
        <f t="shared" si="148"/>
        <v>92.508</v>
      </c>
      <c r="S523" s="306"/>
      <c r="T523" s="307"/>
      <c r="V523" s="303"/>
    </row>
    <row r="524" spans="1:22" s="86" customFormat="1" ht="33.75">
      <c r="A524" s="52" t="s">
        <v>488</v>
      </c>
      <c r="B524" s="350"/>
      <c r="C524" s="9" t="s">
        <v>179</v>
      </c>
      <c r="D524" s="315" t="s">
        <v>423</v>
      </c>
      <c r="E524" s="284"/>
      <c r="F524" s="270"/>
      <c r="G524" s="261"/>
      <c r="H524" s="264">
        <v>39199</v>
      </c>
      <c r="I524" s="261" t="s">
        <v>424</v>
      </c>
      <c r="J524" s="286">
        <v>142.32</v>
      </c>
      <c r="K524" s="298"/>
      <c r="L524" s="301">
        <f>+K524+J524</f>
        <v>142.32</v>
      </c>
      <c r="M524" s="286">
        <v>142.32</v>
      </c>
      <c r="N524" s="286"/>
      <c r="O524" s="301">
        <f t="shared" si="151"/>
        <v>142.32</v>
      </c>
      <c r="P524" s="85">
        <f t="shared" si="146"/>
        <v>92.508</v>
      </c>
      <c r="Q524" s="85">
        <f t="shared" si="147"/>
        <v>0</v>
      </c>
      <c r="R524" s="193">
        <f t="shared" si="148"/>
        <v>92.508</v>
      </c>
      <c r="S524" s="306"/>
      <c r="T524" s="307"/>
      <c r="V524" s="303"/>
    </row>
    <row r="525" spans="1:22" s="86" customFormat="1" ht="45">
      <c r="A525" s="52" t="s">
        <v>488</v>
      </c>
      <c r="B525" s="350"/>
      <c r="C525" s="9" t="s">
        <v>179</v>
      </c>
      <c r="D525" s="315" t="s">
        <v>507</v>
      </c>
      <c r="E525" s="284"/>
      <c r="F525" s="270"/>
      <c r="G525" s="261"/>
      <c r="H525" s="264">
        <v>39199</v>
      </c>
      <c r="I525" s="261" t="s">
        <v>424</v>
      </c>
      <c r="J525" s="286">
        <v>90.14</v>
      </c>
      <c r="K525" s="298"/>
      <c r="L525" s="301">
        <f>+K525+J525</f>
        <v>90.14</v>
      </c>
      <c r="M525" s="286">
        <v>90.14</v>
      </c>
      <c r="N525" s="286"/>
      <c r="O525" s="301">
        <f t="shared" si="151"/>
        <v>90.14</v>
      </c>
      <c r="P525" s="85">
        <f t="shared" si="146"/>
        <v>58.591</v>
      </c>
      <c r="Q525" s="85">
        <f t="shared" si="147"/>
        <v>0</v>
      </c>
      <c r="R525" s="193">
        <f t="shared" si="148"/>
        <v>58.591</v>
      </c>
      <c r="S525" s="306"/>
      <c r="T525" s="307"/>
      <c r="V525" s="303"/>
    </row>
    <row r="526" spans="1:22" s="86" customFormat="1" ht="33.75">
      <c r="A526" s="52" t="s">
        <v>488</v>
      </c>
      <c r="B526" s="350"/>
      <c r="C526" s="9" t="s">
        <v>179</v>
      </c>
      <c r="D526" s="315" t="s">
        <v>423</v>
      </c>
      <c r="E526" s="284"/>
      <c r="F526" s="270"/>
      <c r="G526" s="261"/>
      <c r="H526" s="264">
        <v>39260</v>
      </c>
      <c r="I526" s="261" t="s">
        <v>424</v>
      </c>
      <c r="J526" s="286">
        <v>142.32</v>
      </c>
      <c r="K526" s="298"/>
      <c r="L526" s="301">
        <f>+K526+J526</f>
        <v>142.32</v>
      </c>
      <c r="M526" s="286">
        <v>142.32</v>
      </c>
      <c r="N526" s="286"/>
      <c r="O526" s="301">
        <f t="shared" si="151"/>
        <v>142.32</v>
      </c>
      <c r="P526" s="85">
        <f t="shared" si="146"/>
        <v>92.508</v>
      </c>
      <c r="Q526" s="85">
        <f t="shared" si="147"/>
        <v>0</v>
      </c>
      <c r="R526" s="193">
        <f t="shared" si="148"/>
        <v>92.508</v>
      </c>
      <c r="S526" s="306"/>
      <c r="T526" s="307"/>
      <c r="V526" s="303"/>
    </row>
    <row r="527" spans="1:22" s="86" customFormat="1" ht="45">
      <c r="A527" s="52" t="s">
        <v>488</v>
      </c>
      <c r="B527" s="350"/>
      <c r="C527" s="9" t="s">
        <v>179</v>
      </c>
      <c r="D527" s="315" t="s">
        <v>508</v>
      </c>
      <c r="E527" s="284"/>
      <c r="F527" s="270"/>
      <c r="G527" s="261"/>
      <c r="H527" s="264">
        <v>39260</v>
      </c>
      <c r="I527" s="261" t="s">
        <v>424</v>
      </c>
      <c r="J527" s="286">
        <v>47.3</v>
      </c>
      <c r="K527" s="298"/>
      <c r="L527" s="301">
        <f>+K527+J527</f>
        <v>47.3</v>
      </c>
      <c r="M527" s="286">
        <v>47.3</v>
      </c>
      <c r="N527" s="286"/>
      <c r="O527" s="301">
        <f t="shared" si="151"/>
        <v>47.3</v>
      </c>
      <c r="P527" s="85">
        <f t="shared" si="146"/>
        <v>30.744999999999997</v>
      </c>
      <c r="Q527" s="85">
        <f t="shared" si="147"/>
        <v>0</v>
      </c>
      <c r="R527" s="193">
        <f t="shared" si="148"/>
        <v>30.744999999999997</v>
      </c>
      <c r="S527" s="306"/>
      <c r="T527" s="307"/>
      <c r="V527" s="303"/>
    </row>
    <row r="528" spans="1:22" s="86" customFormat="1" ht="33.75">
      <c r="A528" s="52" t="s">
        <v>488</v>
      </c>
      <c r="B528" s="350"/>
      <c r="C528" s="15" t="s">
        <v>177</v>
      </c>
      <c r="D528" s="315" t="s">
        <v>518</v>
      </c>
      <c r="E528" s="284" t="s">
        <v>519</v>
      </c>
      <c r="F528" s="270" t="s">
        <v>520</v>
      </c>
      <c r="G528" s="261">
        <v>39163</v>
      </c>
      <c r="H528" s="264">
        <v>39163</v>
      </c>
      <c r="I528" s="261" t="s">
        <v>283</v>
      </c>
      <c r="J528" s="298">
        <v>290.49</v>
      </c>
      <c r="K528" s="298" t="s">
        <v>520</v>
      </c>
      <c r="L528" s="301">
        <v>290.49</v>
      </c>
      <c r="M528" s="286"/>
      <c r="N528" s="286"/>
      <c r="O528" s="301"/>
      <c r="P528" s="85"/>
      <c r="Q528" s="85"/>
      <c r="R528" s="193"/>
      <c r="S528" s="474" t="s">
        <v>610</v>
      </c>
      <c r="T528" s="475"/>
      <c r="V528" s="303"/>
    </row>
    <row r="529" spans="1:22" s="86" customFormat="1" ht="33.75">
      <c r="A529" s="52" t="s">
        <v>488</v>
      </c>
      <c r="B529" s="350"/>
      <c r="C529" s="15" t="s">
        <v>177</v>
      </c>
      <c r="D529" s="315" t="s">
        <v>521</v>
      </c>
      <c r="E529" s="284" t="s">
        <v>519</v>
      </c>
      <c r="F529" s="270" t="s">
        <v>520</v>
      </c>
      <c r="G529" s="261">
        <v>39189</v>
      </c>
      <c r="H529" s="264">
        <v>39189</v>
      </c>
      <c r="I529" s="261" t="s">
        <v>283</v>
      </c>
      <c r="J529" s="298">
        <v>290.49</v>
      </c>
      <c r="K529" s="298" t="s">
        <v>520</v>
      </c>
      <c r="L529" s="301">
        <v>290.49</v>
      </c>
      <c r="M529" s="286"/>
      <c r="N529" s="286"/>
      <c r="O529" s="301"/>
      <c r="P529" s="85"/>
      <c r="Q529" s="85"/>
      <c r="R529" s="193"/>
      <c r="S529" s="476"/>
      <c r="T529" s="477"/>
      <c r="V529" s="303"/>
    </row>
    <row r="530" spans="1:22" s="86" customFormat="1" ht="33.75">
      <c r="A530" s="52" t="s">
        <v>488</v>
      </c>
      <c r="B530" s="350"/>
      <c r="C530" s="15" t="s">
        <v>177</v>
      </c>
      <c r="D530" s="315" t="s">
        <v>522</v>
      </c>
      <c r="E530" s="284" t="s">
        <v>519</v>
      </c>
      <c r="F530" s="270" t="s">
        <v>520</v>
      </c>
      <c r="G530" s="261">
        <v>39237</v>
      </c>
      <c r="H530" s="264">
        <v>39237</v>
      </c>
      <c r="I530" s="261" t="s">
        <v>283</v>
      </c>
      <c r="J530" s="298">
        <v>231.37</v>
      </c>
      <c r="K530" s="298" t="s">
        <v>520</v>
      </c>
      <c r="L530" s="301">
        <v>231.37</v>
      </c>
      <c r="M530" s="286"/>
      <c r="N530" s="286"/>
      <c r="O530" s="301"/>
      <c r="P530" s="85"/>
      <c r="Q530" s="85"/>
      <c r="R530" s="193"/>
      <c r="S530" s="476"/>
      <c r="T530" s="477"/>
      <c r="V530" s="303"/>
    </row>
    <row r="531" spans="1:22" s="86" customFormat="1" ht="33.75">
      <c r="A531" s="52" t="s">
        <v>488</v>
      </c>
      <c r="B531" s="350"/>
      <c r="C531" s="15" t="s">
        <v>177</v>
      </c>
      <c r="D531" s="315" t="s">
        <v>523</v>
      </c>
      <c r="E531" s="284" t="s">
        <v>519</v>
      </c>
      <c r="F531" s="270" t="s">
        <v>520</v>
      </c>
      <c r="G531" s="261">
        <v>39255</v>
      </c>
      <c r="H531" s="264">
        <v>39255</v>
      </c>
      <c r="I531" s="261" t="s">
        <v>283</v>
      </c>
      <c r="J531" s="298">
        <v>484.49</v>
      </c>
      <c r="K531" s="298" t="s">
        <v>520</v>
      </c>
      <c r="L531" s="301">
        <v>484.49</v>
      </c>
      <c r="M531" s="286"/>
      <c r="N531" s="286"/>
      <c r="O531" s="301"/>
      <c r="P531" s="85"/>
      <c r="Q531" s="85"/>
      <c r="R531" s="193"/>
      <c r="S531" s="444"/>
      <c r="T531" s="478"/>
      <c r="V531" s="303"/>
    </row>
    <row r="532" spans="1:22" s="86" customFormat="1" ht="22.5">
      <c r="A532" s="52" t="s">
        <v>488</v>
      </c>
      <c r="B532" s="350"/>
      <c r="C532" s="15" t="s">
        <v>157</v>
      </c>
      <c r="D532" s="315" t="s">
        <v>311</v>
      </c>
      <c r="E532" s="284" t="s">
        <v>104</v>
      </c>
      <c r="F532" s="270">
        <v>6033014</v>
      </c>
      <c r="G532" s="261">
        <v>39312</v>
      </c>
      <c r="H532" s="264">
        <v>39332</v>
      </c>
      <c r="I532" s="261" t="s">
        <v>251</v>
      </c>
      <c r="J532" s="298"/>
      <c r="K532" s="298"/>
      <c r="L532" s="301">
        <v>237.54</v>
      </c>
      <c r="M532" s="286">
        <f>+L532</f>
        <v>237.54</v>
      </c>
      <c r="N532" s="286"/>
      <c r="O532" s="301">
        <f>+N532+M532</f>
        <v>237.54</v>
      </c>
      <c r="P532" s="85">
        <f>+M532*0.65</f>
        <v>154.401</v>
      </c>
      <c r="Q532" s="85">
        <f>+N532*0.65</f>
        <v>0</v>
      </c>
      <c r="R532" s="193">
        <f>+Q532+P532</f>
        <v>154.401</v>
      </c>
      <c r="S532" s="410" t="s">
        <v>616</v>
      </c>
      <c r="T532" s="405"/>
      <c r="V532" s="303"/>
    </row>
    <row r="533" spans="1:22" s="86" customFormat="1" ht="22.5">
      <c r="A533" s="52" t="s">
        <v>488</v>
      </c>
      <c r="B533" s="350"/>
      <c r="C533" s="15" t="s">
        <v>157</v>
      </c>
      <c r="D533" s="315" t="s">
        <v>311</v>
      </c>
      <c r="E533" s="284" t="s">
        <v>104</v>
      </c>
      <c r="F533" s="270">
        <v>6033015</v>
      </c>
      <c r="G533" s="261">
        <v>39373</v>
      </c>
      <c r="H533" s="264">
        <v>39393</v>
      </c>
      <c r="I533" s="261" t="s">
        <v>251</v>
      </c>
      <c r="J533" s="298"/>
      <c r="K533" s="298"/>
      <c r="L533" s="301">
        <v>297.14</v>
      </c>
      <c r="M533" s="286">
        <f>+L533</f>
        <v>297.14</v>
      </c>
      <c r="N533" s="286"/>
      <c r="O533" s="301">
        <f>+N533+M533</f>
        <v>297.14</v>
      </c>
      <c r="P533" s="85">
        <f>+M533*0.65</f>
        <v>193.141</v>
      </c>
      <c r="Q533" s="85">
        <f>+N533*0.65</f>
        <v>0</v>
      </c>
      <c r="R533" s="193">
        <f>+Q533+P533</f>
        <v>193.141</v>
      </c>
      <c r="S533" s="410" t="s">
        <v>616</v>
      </c>
      <c r="T533" s="405"/>
      <c r="V533" s="303"/>
    </row>
    <row r="534" spans="1:22" s="86" customFormat="1" ht="11.25">
      <c r="A534" s="52" t="s">
        <v>488</v>
      </c>
      <c r="B534" s="350"/>
      <c r="C534" s="15" t="s">
        <v>157</v>
      </c>
      <c r="D534" s="315" t="s">
        <v>312</v>
      </c>
      <c r="E534" s="284" t="s">
        <v>313</v>
      </c>
      <c r="F534" s="270"/>
      <c r="G534" s="261">
        <v>39386</v>
      </c>
      <c r="H534" s="264"/>
      <c r="I534" s="261"/>
      <c r="J534" s="298"/>
      <c r="K534" s="298"/>
      <c r="L534" s="301">
        <v>769</v>
      </c>
      <c r="M534" s="286"/>
      <c r="N534" s="286"/>
      <c r="O534" s="301"/>
      <c r="P534" s="85"/>
      <c r="Q534" s="85"/>
      <c r="R534" s="193"/>
      <c r="S534" s="410" t="s">
        <v>617</v>
      </c>
      <c r="T534" s="405"/>
      <c r="V534" s="303"/>
    </row>
    <row r="535" spans="1:22" s="86" customFormat="1" ht="45">
      <c r="A535" s="52" t="s">
        <v>488</v>
      </c>
      <c r="B535" s="8"/>
      <c r="C535" s="15" t="s">
        <v>179</v>
      </c>
      <c r="D535" s="315" t="s">
        <v>554</v>
      </c>
      <c r="E535" s="284"/>
      <c r="F535" s="270"/>
      <c r="G535" s="261"/>
      <c r="H535" s="264">
        <v>39266</v>
      </c>
      <c r="I535" s="261" t="s">
        <v>424</v>
      </c>
      <c r="J535" s="298"/>
      <c r="K535" s="298"/>
      <c r="L535" s="301"/>
      <c r="M535" s="286">
        <v>143.32</v>
      </c>
      <c r="N535" s="286"/>
      <c r="O535" s="301">
        <f>+N535+M535</f>
        <v>143.32</v>
      </c>
      <c r="P535" s="85">
        <f aca="true" t="shared" si="152" ref="P535:Q538">+M535*0.65</f>
        <v>93.158</v>
      </c>
      <c r="Q535" s="85">
        <f t="shared" si="152"/>
        <v>0</v>
      </c>
      <c r="R535" s="193">
        <f>+Q535+P535</f>
        <v>93.158</v>
      </c>
      <c r="S535" s="306"/>
      <c r="T535" s="307"/>
      <c r="V535" s="303"/>
    </row>
    <row r="536" spans="1:22" s="86" customFormat="1" ht="45">
      <c r="A536" s="52" t="s">
        <v>488</v>
      </c>
      <c r="B536" s="8"/>
      <c r="C536" s="15" t="s">
        <v>179</v>
      </c>
      <c r="D536" s="315" t="s">
        <v>554</v>
      </c>
      <c r="E536" s="284"/>
      <c r="F536" s="270"/>
      <c r="G536" s="261"/>
      <c r="H536" s="264">
        <v>39289</v>
      </c>
      <c r="I536" s="261" t="s">
        <v>424</v>
      </c>
      <c r="J536" s="298"/>
      <c r="K536" s="298"/>
      <c r="L536" s="301"/>
      <c r="M536" s="286">
        <v>143.32</v>
      </c>
      <c r="N536" s="286"/>
      <c r="O536" s="301">
        <f>+N536+M536</f>
        <v>143.32</v>
      </c>
      <c r="P536" s="85">
        <f t="shared" si="152"/>
        <v>93.158</v>
      </c>
      <c r="Q536" s="85">
        <f t="shared" si="152"/>
        <v>0</v>
      </c>
      <c r="R536" s="193">
        <f>+Q536+P536</f>
        <v>93.158</v>
      </c>
      <c r="S536" s="306"/>
      <c r="T536" s="307"/>
      <c r="V536" s="303"/>
    </row>
    <row r="537" spans="1:22" s="86" customFormat="1" ht="56.25">
      <c r="A537" s="52" t="s">
        <v>488</v>
      </c>
      <c r="B537" s="8"/>
      <c r="C537" s="15" t="s">
        <v>179</v>
      </c>
      <c r="D537" s="315" t="s">
        <v>555</v>
      </c>
      <c r="E537" s="284"/>
      <c r="F537" s="270"/>
      <c r="G537" s="261"/>
      <c r="H537" s="264">
        <v>39329</v>
      </c>
      <c r="I537" s="261" t="s">
        <v>424</v>
      </c>
      <c r="J537" s="298"/>
      <c r="K537" s="298"/>
      <c r="L537" s="301"/>
      <c r="M537" s="286">
        <v>143.32</v>
      </c>
      <c r="N537" s="286"/>
      <c r="O537" s="301">
        <f>+N537+M537</f>
        <v>143.32</v>
      </c>
      <c r="P537" s="85">
        <f t="shared" si="152"/>
        <v>93.158</v>
      </c>
      <c r="Q537" s="85">
        <f t="shared" si="152"/>
        <v>0</v>
      </c>
      <c r="R537" s="193">
        <f>+Q537+P537</f>
        <v>93.158</v>
      </c>
      <c r="S537" s="306"/>
      <c r="T537" s="307"/>
      <c r="V537" s="303"/>
    </row>
    <row r="538" spans="1:22" s="86" customFormat="1" ht="45">
      <c r="A538" s="52" t="s">
        <v>488</v>
      </c>
      <c r="B538" s="8"/>
      <c r="C538" s="15" t="s">
        <v>179</v>
      </c>
      <c r="D538" s="315" t="s">
        <v>554</v>
      </c>
      <c r="E538" s="284"/>
      <c r="F538" s="270"/>
      <c r="G538" s="261"/>
      <c r="H538" s="264">
        <v>39359</v>
      </c>
      <c r="I538" s="261" t="s">
        <v>424</v>
      </c>
      <c r="J538" s="298"/>
      <c r="K538" s="298"/>
      <c r="L538" s="301"/>
      <c r="M538" s="286">
        <v>143.32</v>
      </c>
      <c r="N538" s="286"/>
      <c r="O538" s="301">
        <f>+N538+M538</f>
        <v>143.32</v>
      </c>
      <c r="P538" s="85">
        <f t="shared" si="152"/>
        <v>93.158</v>
      </c>
      <c r="Q538" s="85">
        <f t="shared" si="152"/>
        <v>0</v>
      </c>
      <c r="R538" s="193">
        <f>+Q538+P538</f>
        <v>93.158</v>
      </c>
      <c r="S538" s="306"/>
      <c r="T538" s="307"/>
      <c r="V538" s="303"/>
    </row>
    <row r="539" spans="1:22" s="86" customFormat="1" ht="33.75">
      <c r="A539" s="52" t="s">
        <v>488</v>
      </c>
      <c r="B539" s="8"/>
      <c r="C539" s="15" t="s">
        <v>177</v>
      </c>
      <c r="D539" s="315" t="s">
        <v>562</v>
      </c>
      <c r="E539" s="284" t="s">
        <v>519</v>
      </c>
      <c r="F539" s="270" t="s">
        <v>520</v>
      </c>
      <c r="G539" s="261">
        <v>39360</v>
      </c>
      <c r="H539" s="264">
        <v>39360</v>
      </c>
      <c r="I539" s="261" t="s">
        <v>283</v>
      </c>
      <c r="J539" s="298">
        <v>291</v>
      </c>
      <c r="K539" s="298" t="s">
        <v>520</v>
      </c>
      <c r="L539" s="301">
        <v>291</v>
      </c>
      <c r="M539" s="286"/>
      <c r="N539" s="286"/>
      <c r="O539" s="301"/>
      <c r="P539" s="85"/>
      <c r="Q539" s="85"/>
      <c r="R539" s="193"/>
      <c r="S539" s="410" t="s">
        <v>617</v>
      </c>
      <c r="T539" s="405"/>
      <c r="V539" s="303"/>
    </row>
    <row r="540" spans="1:22" s="86" customFormat="1" ht="45">
      <c r="A540" s="52" t="s">
        <v>488</v>
      </c>
      <c r="B540" s="8"/>
      <c r="C540" s="15" t="s">
        <v>177</v>
      </c>
      <c r="D540" s="315" t="s">
        <v>563</v>
      </c>
      <c r="E540" s="284" t="s">
        <v>564</v>
      </c>
      <c r="F540" s="270" t="s">
        <v>565</v>
      </c>
      <c r="G540" s="261">
        <v>39359</v>
      </c>
      <c r="H540" s="264">
        <v>39359</v>
      </c>
      <c r="I540" s="261" t="s">
        <v>283</v>
      </c>
      <c r="J540" s="298">
        <v>104</v>
      </c>
      <c r="K540" s="298" t="s">
        <v>520</v>
      </c>
      <c r="L540" s="301">
        <v>104</v>
      </c>
      <c r="M540" s="286"/>
      <c r="N540" s="286"/>
      <c r="O540" s="301"/>
      <c r="P540" s="85"/>
      <c r="Q540" s="85"/>
      <c r="R540" s="193"/>
      <c r="S540" s="410" t="s">
        <v>617</v>
      </c>
      <c r="T540" s="405"/>
      <c r="V540" s="303"/>
    </row>
    <row r="541" spans="1:22" s="86" customFormat="1" ht="33.75">
      <c r="A541" s="52" t="s">
        <v>488</v>
      </c>
      <c r="B541" s="8"/>
      <c r="C541" s="15" t="s">
        <v>177</v>
      </c>
      <c r="D541" s="315" t="s">
        <v>566</v>
      </c>
      <c r="E541" s="284" t="s">
        <v>519</v>
      </c>
      <c r="F541" s="270" t="s">
        <v>520</v>
      </c>
      <c r="G541" s="261">
        <v>39290</v>
      </c>
      <c r="H541" s="264">
        <v>39290</v>
      </c>
      <c r="I541" s="261" t="s">
        <v>283</v>
      </c>
      <c r="J541" s="298">
        <v>315.2</v>
      </c>
      <c r="K541" s="298" t="s">
        <v>520</v>
      </c>
      <c r="L541" s="301">
        <v>315.2</v>
      </c>
      <c r="M541" s="286"/>
      <c r="N541" s="286"/>
      <c r="O541" s="301"/>
      <c r="P541" s="85"/>
      <c r="Q541" s="85"/>
      <c r="R541" s="193"/>
      <c r="S541" s="410" t="s">
        <v>617</v>
      </c>
      <c r="T541" s="405"/>
      <c r="V541" s="303"/>
    </row>
    <row r="542" spans="1:22" s="86" customFormat="1" ht="33.75">
      <c r="A542" s="52" t="s">
        <v>488</v>
      </c>
      <c r="B542" s="8"/>
      <c r="C542" s="15" t="s">
        <v>177</v>
      </c>
      <c r="D542" s="315" t="s">
        <v>567</v>
      </c>
      <c r="E542" s="284" t="s">
        <v>568</v>
      </c>
      <c r="F542" s="270" t="s">
        <v>569</v>
      </c>
      <c r="G542" s="261">
        <v>39192</v>
      </c>
      <c r="H542" s="264">
        <v>39217</v>
      </c>
      <c r="I542" s="261" t="s">
        <v>47</v>
      </c>
      <c r="J542" s="298">
        <v>200</v>
      </c>
      <c r="K542" s="298" t="s">
        <v>520</v>
      </c>
      <c r="L542" s="301">
        <v>200</v>
      </c>
      <c r="M542" s="286"/>
      <c r="N542" s="286"/>
      <c r="O542" s="301"/>
      <c r="P542" s="85"/>
      <c r="Q542" s="85"/>
      <c r="R542" s="193"/>
      <c r="S542" s="410" t="s">
        <v>617</v>
      </c>
      <c r="T542" s="405"/>
      <c r="V542" s="303"/>
    </row>
    <row r="543" spans="1:22" s="86" customFormat="1" ht="33.75">
      <c r="A543" s="52" t="s">
        <v>488</v>
      </c>
      <c r="B543" s="8"/>
      <c r="C543" s="15" t="s">
        <v>177</v>
      </c>
      <c r="D543" s="315" t="s">
        <v>570</v>
      </c>
      <c r="E543" s="284" t="s">
        <v>519</v>
      </c>
      <c r="F543" s="270" t="s">
        <v>520</v>
      </c>
      <c r="G543" s="261">
        <v>39267</v>
      </c>
      <c r="H543" s="264">
        <v>39267</v>
      </c>
      <c r="I543" s="261" t="s">
        <v>283</v>
      </c>
      <c r="J543" s="298">
        <v>283.5</v>
      </c>
      <c r="K543" s="298" t="s">
        <v>520</v>
      </c>
      <c r="L543" s="301">
        <v>283.5</v>
      </c>
      <c r="M543" s="286"/>
      <c r="N543" s="286"/>
      <c r="O543" s="301"/>
      <c r="P543" s="85"/>
      <c r="Q543" s="85"/>
      <c r="R543" s="193"/>
      <c r="S543" s="410" t="s">
        <v>617</v>
      </c>
      <c r="T543" s="405"/>
      <c r="V543" s="303"/>
    </row>
    <row r="544" spans="1:22" s="86" customFormat="1" ht="33.75">
      <c r="A544" s="52" t="s">
        <v>488</v>
      </c>
      <c r="B544" s="8"/>
      <c r="C544" s="15" t="s">
        <v>177</v>
      </c>
      <c r="D544" s="315" t="s">
        <v>571</v>
      </c>
      <c r="E544" s="284" t="s">
        <v>519</v>
      </c>
      <c r="F544" s="270" t="s">
        <v>520</v>
      </c>
      <c r="G544" s="261">
        <v>39282</v>
      </c>
      <c r="H544" s="264">
        <v>39282</v>
      </c>
      <c r="I544" s="261" t="s">
        <v>283</v>
      </c>
      <c r="J544" s="298">
        <v>325</v>
      </c>
      <c r="K544" s="298" t="s">
        <v>520</v>
      </c>
      <c r="L544" s="301">
        <v>325</v>
      </c>
      <c r="M544" s="286"/>
      <c r="N544" s="286"/>
      <c r="O544" s="301"/>
      <c r="P544" s="85"/>
      <c r="Q544" s="85"/>
      <c r="R544" s="193"/>
      <c r="S544" s="410" t="s">
        <v>617</v>
      </c>
      <c r="T544" s="405"/>
      <c r="V544" s="303"/>
    </row>
    <row r="545" spans="1:22" s="86" customFormat="1" ht="33.75">
      <c r="A545" s="52" t="s">
        <v>488</v>
      </c>
      <c r="B545" s="8"/>
      <c r="C545" s="15" t="s">
        <v>177</v>
      </c>
      <c r="D545" s="315" t="s">
        <v>571</v>
      </c>
      <c r="E545" s="284" t="s">
        <v>572</v>
      </c>
      <c r="F545" s="270" t="s">
        <v>520</v>
      </c>
      <c r="G545" s="261">
        <v>39283</v>
      </c>
      <c r="H545" s="264">
        <v>39283</v>
      </c>
      <c r="I545" s="261" t="s">
        <v>283</v>
      </c>
      <c r="J545" s="298">
        <v>201.84</v>
      </c>
      <c r="K545" s="298" t="s">
        <v>520</v>
      </c>
      <c r="L545" s="301">
        <v>201.84</v>
      </c>
      <c r="M545" s="286"/>
      <c r="N545" s="286"/>
      <c r="O545" s="301"/>
      <c r="P545" s="85"/>
      <c r="Q545" s="85"/>
      <c r="R545" s="193"/>
      <c r="S545" s="410" t="s">
        <v>617</v>
      </c>
      <c r="T545" s="405"/>
      <c r="V545" s="303"/>
    </row>
    <row r="546" spans="1:22" s="86" customFormat="1" ht="33.75">
      <c r="A546" s="52" t="s">
        <v>488</v>
      </c>
      <c r="B546" s="8"/>
      <c r="C546" s="15" t="s">
        <v>177</v>
      </c>
      <c r="D546" s="315" t="s">
        <v>573</v>
      </c>
      <c r="E546" s="284" t="s">
        <v>519</v>
      </c>
      <c r="F546" s="270" t="s">
        <v>520</v>
      </c>
      <c r="G546" s="261">
        <v>39330</v>
      </c>
      <c r="H546" s="264">
        <v>39330</v>
      </c>
      <c r="I546" s="261" t="s">
        <v>283</v>
      </c>
      <c r="J546" s="298">
        <v>283.5</v>
      </c>
      <c r="K546" s="298" t="s">
        <v>520</v>
      </c>
      <c r="L546" s="301">
        <v>283.5</v>
      </c>
      <c r="M546" s="286"/>
      <c r="N546" s="286"/>
      <c r="O546" s="301"/>
      <c r="P546" s="85"/>
      <c r="Q546" s="85"/>
      <c r="R546" s="193"/>
      <c r="S546" s="410" t="s">
        <v>617</v>
      </c>
      <c r="T546" s="405"/>
      <c r="V546" s="303"/>
    </row>
    <row r="547" spans="1:22" s="86" customFormat="1" ht="67.5">
      <c r="A547" s="52" t="s">
        <v>488</v>
      </c>
      <c r="B547" s="8"/>
      <c r="C547" s="15" t="s">
        <v>49</v>
      </c>
      <c r="D547" s="315" t="s">
        <v>429</v>
      </c>
      <c r="E547" s="284" t="s">
        <v>430</v>
      </c>
      <c r="F547" s="270" t="s">
        <v>588</v>
      </c>
      <c r="G547" s="261" t="s">
        <v>589</v>
      </c>
      <c r="H547" s="264" t="s">
        <v>589</v>
      </c>
      <c r="I547" s="261" t="s">
        <v>590</v>
      </c>
      <c r="J547" s="298">
        <f>115.47+115.47+105.23</f>
        <v>336.17</v>
      </c>
      <c r="K547" s="298"/>
      <c r="L547" s="301">
        <f>+K547+J547</f>
        <v>336.17</v>
      </c>
      <c r="M547" s="286">
        <v>336.17</v>
      </c>
      <c r="N547" s="286"/>
      <c r="O547" s="301">
        <f>+N547+M547</f>
        <v>336.17</v>
      </c>
      <c r="P547" s="85">
        <f>+M547*0.65</f>
        <v>218.5105</v>
      </c>
      <c r="Q547" s="85">
        <f>+N547*0.65</f>
        <v>0</v>
      </c>
      <c r="R547" s="193">
        <f>+Q547+P547</f>
        <v>218.5105</v>
      </c>
      <c r="S547" s="306"/>
      <c r="T547" s="307"/>
      <c r="V547" s="303"/>
    </row>
    <row r="548" spans="1:22" s="86" customFormat="1" ht="22.5">
      <c r="A548" s="52" t="s">
        <v>488</v>
      </c>
      <c r="B548" s="8"/>
      <c r="C548" s="15" t="s">
        <v>49</v>
      </c>
      <c r="D548" s="315" t="s">
        <v>591</v>
      </c>
      <c r="E548" s="284" t="s">
        <v>592</v>
      </c>
      <c r="F548" s="270" t="s">
        <v>593</v>
      </c>
      <c r="G548" s="261">
        <v>39155</v>
      </c>
      <c r="H548" s="264">
        <v>39176</v>
      </c>
      <c r="I548" s="261" t="s">
        <v>479</v>
      </c>
      <c r="J548" s="298">
        <v>750</v>
      </c>
      <c r="K548" s="298">
        <v>150</v>
      </c>
      <c r="L548" s="301">
        <v>900</v>
      </c>
      <c r="M548" s="286"/>
      <c r="N548" s="286"/>
      <c r="O548" s="301"/>
      <c r="P548" s="85"/>
      <c r="Q548" s="85"/>
      <c r="R548" s="193"/>
      <c r="S548" s="410" t="s">
        <v>607</v>
      </c>
      <c r="T548" s="405"/>
      <c r="V548" s="303"/>
    </row>
    <row r="549" spans="1:22" s="86" customFormat="1" ht="45">
      <c r="A549" s="52" t="s">
        <v>488</v>
      </c>
      <c r="B549" s="8"/>
      <c r="C549" s="15" t="s">
        <v>49</v>
      </c>
      <c r="D549" s="315" t="s">
        <v>594</v>
      </c>
      <c r="E549" s="284" t="s">
        <v>430</v>
      </c>
      <c r="F549" s="270"/>
      <c r="G549" s="261" t="s">
        <v>595</v>
      </c>
      <c r="H549" s="264" t="s">
        <v>596</v>
      </c>
      <c r="I549" s="261" t="s">
        <v>597</v>
      </c>
      <c r="J549" s="298">
        <v>752.95</v>
      </c>
      <c r="K549" s="298"/>
      <c r="L549" s="301">
        <f>+K549+J549</f>
        <v>752.95</v>
      </c>
      <c r="M549" s="286">
        <v>752.95</v>
      </c>
      <c r="N549" s="286"/>
      <c r="O549" s="301">
        <f>+N549+M549</f>
        <v>752.95</v>
      </c>
      <c r="P549" s="85">
        <f aca="true" t="shared" si="153" ref="P549:Q552">+M549*0.65</f>
        <v>489.4175</v>
      </c>
      <c r="Q549" s="85">
        <f t="shared" si="153"/>
        <v>0</v>
      </c>
      <c r="R549" s="193">
        <f>+Q549+P549</f>
        <v>489.4175</v>
      </c>
      <c r="S549" s="306"/>
      <c r="T549" s="307"/>
      <c r="V549" s="303"/>
    </row>
    <row r="550" spans="1:22" s="86" customFormat="1" ht="22.5">
      <c r="A550" s="52" t="s">
        <v>488</v>
      </c>
      <c r="B550" s="8"/>
      <c r="C550" s="15" t="s">
        <v>49</v>
      </c>
      <c r="D550" s="315" t="s">
        <v>598</v>
      </c>
      <c r="E550" s="284" t="s">
        <v>599</v>
      </c>
      <c r="F550" s="270">
        <v>4523</v>
      </c>
      <c r="G550" s="261">
        <v>39281</v>
      </c>
      <c r="H550" s="264">
        <v>39301</v>
      </c>
      <c r="I550" s="261" t="s">
        <v>585</v>
      </c>
      <c r="J550" s="298">
        <v>18</v>
      </c>
      <c r="K550" s="298"/>
      <c r="L550" s="301">
        <v>18</v>
      </c>
      <c r="M550" s="286">
        <v>18</v>
      </c>
      <c r="N550" s="286"/>
      <c r="O550" s="301">
        <f>+N550+M550</f>
        <v>18</v>
      </c>
      <c r="P550" s="85">
        <f t="shared" si="153"/>
        <v>11.700000000000001</v>
      </c>
      <c r="Q550" s="85">
        <f t="shared" si="153"/>
        <v>0</v>
      </c>
      <c r="R550" s="193">
        <f>+Q550+P550</f>
        <v>11.700000000000001</v>
      </c>
      <c r="S550" s="306"/>
      <c r="T550" s="307"/>
      <c r="V550" s="303"/>
    </row>
    <row r="551" spans="1:22" s="86" customFormat="1" ht="22.5">
      <c r="A551" s="52" t="s">
        <v>488</v>
      </c>
      <c r="B551" s="8"/>
      <c r="C551" s="15" t="s">
        <v>49</v>
      </c>
      <c r="D551" s="315" t="s">
        <v>598</v>
      </c>
      <c r="E551" s="284" t="s">
        <v>599</v>
      </c>
      <c r="F551" s="270">
        <v>5151</v>
      </c>
      <c r="G551" s="261">
        <v>39329</v>
      </c>
      <c r="H551" s="264">
        <v>39365</v>
      </c>
      <c r="I551" s="261" t="s">
        <v>585</v>
      </c>
      <c r="J551" s="298">
        <v>24</v>
      </c>
      <c r="K551" s="298"/>
      <c r="L551" s="301">
        <v>24</v>
      </c>
      <c r="M551" s="286">
        <v>24</v>
      </c>
      <c r="N551" s="286"/>
      <c r="O551" s="301">
        <f>+N551+M551</f>
        <v>24</v>
      </c>
      <c r="P551" s="85">
        <f t="shared" si="153"/>
        <v>15.600000000000001</v>
      </c>
      <c r="Q551" s="85">
        <f t="shared" si="153"/>
        <v>0</v>
      </c>
      <c r="R551" s="193">
        <f>+Q551+P551</f>
        <v>15.600000000000001</v>
      </c>
      <c r="S551" s="306"/>
      <c r="T551" s="307"/>
      <c r="V551" s="303"/>
    </row>
    <row r="552" spans="1:22" s="86" customFormat="1" ht="57.75" customHeight="1">
      <c r="A552" s="52" t="s">
        <v>488</v>
      </c>
      <c r="B552" s="8"/>
      <c r="C552" s="15" t="s">
        <v>49</v>
      </c>
      <c r="D552" s="315" t="s">
        <v>598</v>
      </c>
      <c r="E552" s="284" t="s">
        <v>564</v>
      </c>
      <c r="F552" s="270">
        <v>3087</v>
      </c>
      <c r="G552" s="261">
        <v>39359</v>
      </c>
      <c r="H552" s="264">
        <v>39365</v>
      </c>
      <c r="I552" s="261" t="s">
        <v>585</v>
      </c>
      <c r="J552" s="298">
        <v>78</v>
      </c>
      <c r="K552" s="298"/>
      <c r="L552" s="301">
        <v>78</v>
      </c>
      <c r="M552" s="286">
        <v>26</v>
      </c>
      <c r="N552" s="286"/>
      <c r="O552" s="301">
        <f>+N552+M552</f>
        <v>26</v>
      </c>
      <c r="P552" s="85">
        <f t="shared" si="153"/>
        <v>16.900000000000002</v>
      </c>
      <c r="Q552" s="85">
        <f t="shared" si="153"/>
        <v>0</v>
      </c>
      <c r="R552" s="193">
        <f>+Q552+P552</f>
        <v>16.900000000000002</v>
      </c>
      <c r="S552" s="410" t="s">
        <v>611</v>
      </c>
      <c r="T552" s="405"/>
      <c r="V552" s="303"/>
    </row>
    <row r="553" spans="1:22" s="86" customFormat="1" ht="22.5">
      <c r="A553" s="52" t="s">
        <v>488</v>
      </c>
      <c r="B553" s="8"/>
      <c r="C553" s="105" t="s">
        <v>78</v>
      </c>
      <c r="D553" s="315" t="s">
        <v>629</v>
      </c>
      <c r="E553" s="284" t="s">
        <v>81</v>
      </c>
      <c r="F553" s="270">
        <v>230</v>
      </c>
      <c r="G553" s="261">
        <v>39412</v>
      </c>
      <c r="H553" s="264">
        <v>39413</v>
      </c>
      <c r="I553" s="261" t="s">
        <v>82</v>
      </c>
      <c r="J553" s="298">
        <v>750</v>
      </c>
      <c r="K553" s="298">
        <v>150</v>
      </c>
      <c r="L553" s="301">
        <v>900</v>
      </c>
      <c r="M553" s="286">
        <v>68.04</v>
      </c>
      <c r="N553" s="286"/>
      <c r="O553" s="301">
        <f>+N553+M553</f>
        <v>68.04</v>
      </c>
      <c r="P553" s="85">
        <f>+M553*0.65</f>
        <v>44.226000000000006</v>
      </c>
      <c r="Q553" s="85">
        <f>+N553*0.65</f>
        <v>0</v>
      </c>
      <c r="R553" s="193">
        <f>+Q553+P553</f>
        <v>44.226000000000006</v>
      </c>
      <c r="S553" s="403" t="s">
        <v>699</v>
      </c>
      <c r="T553" s="404"/>
      <c r="V553" s="303"/>
    </row>
    <row r="554" spans="1:22" s="86" customFormat="1" ht="22.5">
      <c r="A554" s="52" t="s">
        <v>488</v>
      </c>
      <c r="B554" s="8"/>
      <c r="C554" s="105" t="s">
        <v>78</v>
      </c>
      <c r="D554" s="315" t="s">
        <v>630</v>
      </c>
      <c r="E554" s="284" t="s">
        <v>81</v>
      </c>
      <c r="F554" s="270">
        <v>213</v>
      </c>
      <c r="G554" s="261">
        <v>39436</v>
      </c>
      <c r="H554" s="264">
        <v>39437</v>
      </c>
      <c r="I554" s="261" t="s">
        <v>82</v>
      </c>
      <c r="J554" s="298">
        <v>800</v>
      </c>
      <c r="K554" s="298">
        <v>160</v>
      </c>
      <c r="L554" s="301">
        <v>960</v>
      </c>
      <c r="M554" s="286">
        <v>229.35</v>
      </c>
      <c r="N554" s="286"/>
      <c r="O554" s="301">
        <f aca="true" t="shared" si="154" ref="O554:O574">+N554+M554</f>
        <v>229.35</v>
      </c>
      <c r="P554" s="85">
        <f aca="true" t="shared" si="155" ref="P554:P574">+M554*0.65</f>
        <v>149.07750000000001</v>
      </c>
      <c r="Q554" s="85">
        <f aca="true" t="shared" si="156" ref="Q554:Q574">+N554*0.65</f>
        <v>0</v>
      </c>
      <c r="R554" s="193">
        <f aca="true" t="shared" si="157" ref="R554:R574">+Q554+P554</f>
        <v>149.07750000000001</v>
      </c>
      <c r="S554" s="403" t="s">
        <v>699</v>
      </c>
      <c r="T554" s="404"/>
      <c r="V554" s="303"/>
    </row>
    <row r="555" spans="1:22" s="86" customFormat="1" ht="22.5">
      <c r="A555" s="52" t="s">
        <v>488</v>
      </c>
      <c r="B555" s="8"/>
      <c r="C555" s="105" t="s">
        <v>78</v>
      </c>
      <c r="D555" s="315" t="s">
        <v>631</v>
      </c>
      <c r="E555" s="284" t="s">
        <v>81</v>
      </c>
      <c r="F555" s="270">
        <v>3</v>
      </c>
      <c r="G555" s="261">
        <v>39472</v>
      </c>
      <c r="H555" s="264">
        <v>39472</v>
      </c>
      <c r="I555" s="261" t="s">
        <v>82</v>
      </c>
      <c r="J555" s="298">
        <v>700</v>
      </c>
      <c r="K555" s="298">
        <v>140</v>
      </c>
      <c r="L555" s="301">
        <v>840</v>
      </c>
      <c r="M555" s="286">
        <v>56.7</v>
      </c>
      <c r="N555" s="286"/>
      <c r="O555" s="301">
        <f t="shared" si="154"/>
        <v>56.7</v>
      </c>
      <c r="P555" s="85">
        <f t="shared" si="155"/>
        <v>36.855000000000004</v>
      </c>
      <c r="Q555" s="85">
        <f t="shared" si="156"/>
        <v>0</v>
      </c>
      <c r="R555" s="193">
        <f t="shared" si="157"/>
        <v>36.855000000000004</v>
      </c>
      <c r="S555" s="403" t="s">
        <v>699</v>
      </c>
      <c r="T555" s="404"/>
      <c r="V555" s="303"/>
    </row>
    <row r="556" spans="1:22" s="86" customFormat="1" ht="22.5">
      <c r="A556" s="52" t="s">
        <v>488</v>
      </c>
      <c r="B556" s="8"/>
      <c r="C556" s="105" t="s">
        <v>78</v>
      </c>
      <c r="D556" s="315" t="s">
        <v>632</v>
      </c>
      <c r="E556" s="284" t="s">
        <v>81</v>
      </c>
      <c r="F556" s="270">
        <v>28</v>
      </c>
      <c r="G556" s="261">
        <v>39504</v>
      </c>
      <c r="H556" s="264">
        <v>39505</v>
      </c>
      <c r="I556" s="261" t="s">
        <v>82</v>
      </c>
      <c r="J556" s="298">
        <v>700</v>
      </c>
      <c r="K556" s="298">
        <v>140</v>
      </c>
      <c r="L556" s="301">
        <v>840</v>
      </c>
      <c r="M556" s="286">
        <v>49.98</v>
      </c>
      <c r="N556" s="286"/>
      <c r="O556" s="301">
        <f t="shared" si="154"/>
        <v>49.98</v>
      </c>
      <c r="P556" s="85">
        <f t="shared" si="155"/>
        <v>32.487</v>
      </c>
      <c r="Q556" s="85">
        <f t="shared" si="156"/>
        <v>0</v>
      </c>
      <c r="R556" s="193">
        <f t="shared" si="157"/>
        <v>32.487</v>
      </c>
      <c r="S556" s="403" t="s">
        <v>699</v>
      </c>
      <c r="T556" s="404"/>
      <c r="V556" s="303"/>
    </row>
    <row r="557" spans="1:22" s="86" customFormat="1" ht="22.5">
      <c r="A557" s="52" t="s">
        <v>488</v>
      </c>
      <c r="B557" s="8"/>
      <c r="C557" s="105" t="s">
        <v>78</v>
      </c>
      <c r="D557" s="315" t="s">
        <v>633</v>
      </c>
      <c r="E557" s="284" t="s">
        <v>634</v>
      </c>
      <c r="F557" s="270">
        <v>125</v>
      </c>
      <c r="G557" s="261">
        <v>39435</v>
      </c>
      <c r="H557" s="264">
        <v>39437</v>
      </c>
      <c r="I557" s="261" t="s">
        <v>635</v>
      </c>
      <c r="J557" s="298">
        <v>1500</v>
      </c>
      <c r="K557" s="298">
        <v>300</v>
      </c>
      <c r="L557" s="301">
        <v>1800</v>
      </c>
      <c r="M557" s="286">
        <v>430.02</v>
      </c>
      <c r="N557" s="286"/>
      <c r="O557" s="301">
        <f t="shared" si="154"/>
        <v>430.02</v>
      </c>
      <c r="P557" s="85">
        <f t="shared" si="155"/>
        <v>279.513</v>
      </c>
      <c r="Q557" s="85">
        <f t="shared" si="156"/>
        <v>0</v>
      </c>
      <c r="R557" s="193">
        <f t="shared" si="157"/>
        <v>279.513</v>
      </c>
      <c r="S557" s="403" t="s">
        <v>699</v>
      </c>
      <c r="T557" s="404"/>
      <c r="V557" s="303"/>
    </row>
    <row r="558" spans="1:22" s="86" customFormat="1" ht="22.5">
      <c r="A558" s="52" t="s">
        <v>488</v>
      </c>
      <c r="B558" s="8"/>
      <c r="C558" s="105" t="s">
        <v>78</v>
      </c>
      <c r="D558" s="315" t="s">
        <v>636</v>
      </c>
      <c r="E558" s="284"/>
      <c r="F558" s="270"/>
      <c r="G558" s="261"/>
      <c r="H558" s="264"/>
      <c r="I558" s="261"/>
      <c r="J558" s="298"/>
      <c r="K558" s="298"/>
      <c r="L558" s="301">
        <v>89.6</v>
      </c>
      <c r="M558" s="286">
        <v>89.6</v>
      </c>
      <c r="N558" s="286"/>
      <c r="O558" s="301">
        <f t="shared" si="154"/>
        <v>89.6</v>
      </c>
      <c r="P558" s="85">
        <f t="shared" si="155"/>
        <v>58.239999999999995</v>
      </c>
      <c r="Q558" s="85">
        <f t="shared" si="156"/>
        <v>0</v>
      </c>
      <c r="R558" s="193">
        <f t="shared" si="157"/>
        <v>58.239999999999995</v>
      </c>
      <c r="S558" s="403" t="s">
        <v>699</v>
      </c>
      <c r="T558" s="404"/>
      <c r="V558" s="303"/>
    </row>
    <row r="559" spans="1:22" s="86" customFormat="1" ht="22.5">
      <c r="A559" s="52" t="s">
        <v>488</v>
      </c>
      <c r="B559" s="8"/>
      <c r="C559" s="105" t="s">
        <v>78</v>
      </c>
      <c r="D559" s="315" t="s">
        <v>637</v>
      </c>
      <c r="E559" s="284"/>
      <c r="F559" s="270"/>
      <c r="G559" s="261"/>
      <c r="H559" s="264"/>
      <c r="I559" s="261"/>
      <c r="J559" s="298"/>
      <c r="K559" s="298"/>
      <c r="L559" s="301">
        <v>89.5</v>
      </c>
      <c r="M559" s="286">
        <v>89.5</v>
      </c>
      <c r="N559" s="286"/>
      <c r="O559" s="301">
        <f t="shared" si="154"/>
        <v>89.5</v>
      </c>
      <c r="P559" s="85">
        <f t="shared" si="155"/>
        <v>58.175000000000004</v>
      </c>
      <c r="Q559" s="85">
        <f t="shared" si="156"/>
        <v>0</v>
      </c>
      <c r="R559" s="193">
        <f t="shared" si="157"/>
        <v>58.175000000000004</v>
      </c>
      <c r="S559" s="403" t="s">
        <v>699</v>
      </c>
      <c r="T559" s="404"/>
      <c r="V559" s="303"/>
    </row>
    <row r="560" spans="1:22" s="86" customFormat="1" ht="22.5">
      <c r="A560" s="52" t="s">
        <v>488</v>
      </c>
      <c r="B560" s="8"/>
      <c r="C560" s="105" t="s">
        <v>78</v>
      </c>
      <c r="D560" s="315" t="s">
        <v>638</v>
      </c>
      <c r="E560" s="284"/>
      <c r="F560" s="270"/>
      <c r="G560" s="261"/>
      <c r="H560" s="264"/>
      <c r="I560" s="261"/>
      <c r="J560" s="298"/>
      <c r="K560" s="298"/>
      <c r="L560" s="301">
        <v>140.1</v>
      </c>
      <c r="M560" s="286">
        <v>140.1</v>
      </c>
      <c r="N560" s="286"/>
      <c r="O560" s="301">
        <f t="shared" si="154"/>
        <v>140.1</v>
      </c>
      <c r="P560" s="85">
        <f t="shared" si="155"/>
        <v>91.065</v>
      </c>
      <c r="Q560" s="85">
        <f t="shared" si="156"/>
        <v>0</v>
      </c>
      <c r="R560" s="193">
        <f t="shared" si="157"/>
        <v>91.065</v>
      </c>
      <c r="S560" s="403" t="s">
        <v>699</v>
      </c>
      <c r="T560" s="404"/>
      <c r="V560" s="303"/>
    </row>
    <row r="561" spans="1:22" s="86" customFormat="1" ht="45">
      <c r="A561" s="52" t="s">
        <v>488</v>
      </c>
      <c r="B561" s="8"/>
      <c r="C561" s="105" t="s">
        <v>78</v>
      </c>
      <c r="D561" s="315" t="s">
        <v>639</v>
      </c>
      <c r="E561" s="284" t="s">
        <v>88</v>
      </c>
      <c r="F561" s="270" t="s">
        <v>640</v>
      </c>
      <c r="G561" s="261">
        <v>39469</v>
      </c>
      <c r="H561" s="264">
        <v>39489</v>
      </c>
      <c r="I561" s="261" t="s">
        <v>635</v>
      </c>
      <c r="J561" s="298">
        <v>1860</v>
      </c>
      <c r="K561" s="298">
        <v>372</v>
      </c>
      <c r="L561" s="301">
        <v>2232</v>
      </c>
      <c r="M561" s="286">
        <v>274.66</v>
      </c>
      <c r="N561" s="286"/>
      <c r="O561" s="301">
        <f t="shared" si="154"/>
        <v>274.66</v>
      </c>
      <c r="P561" s="85">
        <f t="shared" si="155"/>
        <v>178.52900000000002</v>
      </c>
      <c r="Q561" s="85">
        <f t="shared" si="156"/>
        <v>0</v>
      </c>
      <c r="R561" s="193">
        <f t="shared" si="157"/>
        <v>178.52900000000002</v>
      </c>
      <c r="S561" s="403" t="s">
        <v>699</v>
      </c>
      <c r="T561" s="404"/>
      <c r="V561" s="303"/>
    </row>
    <row r="562" spans="1:22" s="86" customFormat="1" ht="45">
      <c r="A562" s="52" t="s">
        <v>488</v>
      </c>
      <c r="B562" s="8"/>
      <c r="C562" s="15" t="s">
        <v>49</v>
      </c>
      <c r="D562" s="315" t="s">
        <v>594</v>
      </c>
      <c r="E562" s="284" t="s">
        <v>430</v>
      </c>
      <c r="F562" s="270"/>
      <c r="G562" s="261">
        <v>39436</v>
      </c>
      <c r="H562" s="264">
        <v>39437</v>
      </c>
      <c r="I562" s="261" t="s">
        <v>597</v>
      </c>
      <c r="J562" s="298">
        <v>103.3</v>
      </c>
      <c r="K562" s="298"/>
      <c r="L562" s="301">
        <f>+K562+J562</f>
        <v>103.3</v>
      </c>
      <c r="M562" s="286">
        <v>103.3</v>
      </c>
      <c r="N562" s="286"/>
      <c r="O562" s="301">
        <f t="shared" si="154"/>
        <v>103.3</v>
      </c>
      <c r="P562" s="85">
        <f t="shared" si="155"/>
        <v>67.145</v>
      </c>
      <c r="Q562" s="85">
        <f t="shared" si="156"/>
        <v>0</v>
      </c>
      <c r="R562" s="193">
        <f t="shared" si="157"/>
        <v>67.145</v>
      </c>
      <c r="S562" s="403" t="s">
        <v>699</v>
      </c>
      <c r="T562" s="404"/>
      <c r="V562" s="303"/>
    </row>
    <row r="563" spans="1:22" s="86" customFormat="1" ht="45">
      <c r="A563" s="52" t="s">
        <v>488</v>
      </c>
      <c r="B563" s="8"/>
      <c r="C563" s="15" t="s">
        <v>49</v>
      </c>
      <c r="D563" s="315" t="s">
        <v>594</v>
      </c>
      <c r="E563" s="284" t="s">
        <v>430</v>
      </c>
      <c r="F563" s="270"/>
      <c r="G563" s="261">
        <v>39436</v>
      </c>
      <c r="H563" s="264">
        <v>39437</v>
      </c>
      <c r="I563" s="261" t="s">
        <v>585</v>
      </c>
      <c r="J563" s="298">
        <v>116.3</v>
      </c>
      <c r="K563" s="298"/>
      <c r="L563" s="301">
        <f>+K563+J563</f>
        <v>116.3</v>
      </c>
      <c r="M563" s="286">
        <v>116.3</v>
      </c>
      <c r="N563" s="286"/>
      <c r="O563" s="301">
        <f t="shared" si="154"/>
        <v>116.3</v>
      </c>
      <c r="P563" s="85">
        <f t="shared" si="155"/>
        <v>75.595</v>
      </c>
      <c r="Q563" s="85">
        <f t="shared" si="156"/>
        <v>0</v>
      </c>
      <c r="R563" s="193">
        <f t="shared" si="157"/>
        <v>75.595</v>
      </c>
      <c r="S563" s="403" t="s">
        <v>699</v>
      </c>
      <c r="T563" s="404"/>
      <c r="V563" s="303"/>
    </row>
    <row r="564" spans="1:22" s="86" customFormat="1" ht="22.5">
      <c r="A564" s="52" t="s">
        <v>488</v>
      </c>
      <c r="B564" s="8"/>
      <c r="C564" s="15" t="s">
        <v>49</v>
      </c>
      <c r="D564" s="315" t="s">
        <v>650</v>
      </c>
      <c r="E564" s="284" t="s">
        <v>651</v>
      </c>
      <c r="F564" s="270"/>
      <c r="G564" s="261">
        <v>39463</v>
      </c>
      <c r="H564" s="264">
        <v>39493</v>
      </c>
      <c r="I564" s="261" t="s">
        <v>652</v>
      </c>
      <c r="J564" s="298">
        <v>312.65</v>
      </c>
      <c r="K564" s="298">
        <v>85.33</v>
      </c>
      <c r="L564" s="301">
        <v>397.98</v>
      </c>
      <c r="M564" s="286">
        <v>198.99</v>
      </c>
      <c r="N564" s="286"/>
      <c r="O564" s="301">
        <f t="shared" si="154"/>
        <v>198.99</v>
      </c>
      <c r="P564" s="85">
        <f t="shared" si="155"/>
        <v>129.3435</v>
      </c>
      <c r="Q564" s="85">
        <f t="shared" si="156"/>
        <v>0</v>
      </c>
      <c r="R564" s="193">
        <f t="shared" si="157"/>
        <v>129.3435</v>
      </c>
      <c r="S564" s="403" t="s">
        <v>699</v>
      </c>
      <c r="T564" s="404"/>
      <c r="V564" s="303"/>
    </row>
    <row r="565" spans="1:22" s="86" customFormat="1" ht="22.5">
      <c r="A565" s="52" t="s">
        <v>488</v>
      </c>
      <c r="B565" s="8"/>
      <c r="C565" s="15" t="s">
        <v>49</v>
      </c>
      <c r="D565" s="315" t="s">
        <v>653</v>
      </c>
      <c r="E565" s="284" t="s">
        <v>104</v>
      </c>
      <c r="F565" s="270" t="s">
        <v>654</v>
      </c>
      <c r="G565" s="261">
        <v>39474</v>
      </c>
      <c r="H565" s="264">
        <v>39493</v>
      </c>
      <c r="I565" s="261" t="s">
        <v>652</v>
      </c>
      <c r="J565" s="298">
        <v>374.24</v>
      </c>
      <c r="K565" s="298">
        <v>74.94</v>
      </c>
      <c r="L565" s="301">
        <v>449.18</v>
      </c>
      <c r="M565" s="286">
        <v>224.59</v>
      </c>
      <c r="N565" s="286"/>
      <c r="O565" s="301">
        <f t="shared" si="154"/>
        <v>224.59</v>
      </c>
      <c r="P565" s="85">
        <f t="shared" si="155"/>
        <v>145.98350000000002</v>
      </c>
      <c r="Q565" s="85">
        <f t="shared" si="156"/>
        <v>0</v>
      </c>
      <c r="R565" s="193">
        <f t="shared" si="157"/>
        <v>145.98350000000002</v>
      </c>
      <c r="S565" s="403" t="s">
        <v>699</v>
      </c>
      <c r="T565" s="404"/>
      <c r="V565" s="303"/>
    </row>
    <row r="566" spans="1:22" s="86" customFormat="1" ht="22.5">
      <c r="A566" s="52" t="s">
        <v>488</v>
      </c>
      <c r="B566" s="350"/>
      <c r="C566" s="15" t="s">
        <v>157</v>
      </c>
      <c r="D566" s="315" t="s">
        <v>311</v>
      </c>
      <c r="E566" s="284" t="s">
        <v>104</v>
      </c>
      <c r="F566" s="270">
        <v>6033014</v>
      </c>
      <c r="G566" s="261">
        <v>39312</v>
      </c>
      <c r="H566" s="264">
        <v>39332</v>
      </c>
      <c r="I566" s="261" t="s">
        <v>251</v>
      </c>
      <c r="J566" s="298"/>
      <c r="K566" s="298"/>
      <c r="L566" s="301">
        <v>303.16</v>
      </c>
      <c r="M566" s="286">
        <v>303.16</v>
      </c>
      <c r="N566" s="286"/>
      <c r="O566" s="301">
        <f t="shared" si="154"/>
        <v>303.16</v>
      </c>
      <c r="P566" s="85">
        <f t="shared" si="155"/>
        <v>197.05400000000003</v>
      </c>
      <c r="Q566" s="85">
        <f t="shared" si="156"/>
        <v>0</v>
      </c>
      <c r="R566" s="193">
        <f t="shared" si="157"/>
        <v>197.05400000000003</v>
      </c>
      <c r="S566" s="403" t="s">
        <v>699</v>
      </c>
      <c r="T566" s="404"/>
      <c r="V566" s="303"/>
    </row>
    <row r="567" spans="1:22" s="86" customFormat="1" ht="11.25">
      <c r="A567" s="52" t="s">
        <v>488</v>
      </c>
      <c r="B567" s="350"/>
      <c r="C567" s="15" t="s">
        <v>157</v>
      </c>
      <c r="D567" s="315" t="s">
        <v>312</v>
      </c>
      <c r="E567" s="284" t="s">
        <v>313</v>
      </c>
      <c r="F567" s="270"/>
      <c r="G567" s="261">
        <v>39447</v>
      </c>
      <c r="H567" s="264">
        <v>39526</v>
      </c>
      <c r="I567" s="261" t="s">
        <v>655</v>
      </c>
      <c r="J567" s="298"/>
      <c r="K567" s="298"/>
      <c r="L567" s="301">
        <v>407.6</v>
      </c>
      <c r="M567" s="286">
        <v>407.6</v>
      </c>
      <c r="N567" s="286"/>
      <c r="O567" s="301">
        <f t="shared" si="154"/>
        <v>407.6</v>
      </c>
      <c r="P567" s="85">
        <f t="shared" si="155"/>
        <v>264.94</v>
      </c>
      <c r="Q567" s="85">
        <f t="shared" si="156"/>
        <v>0</v>
      </c>
      <c r="R567" s="193">
        <f t="shared" si="157"/>
        <v>264.94</v>
      </c>
      <c r="S567" s="403" t="s">
        <v>699</v>
      </c>
      <c r="T567" s="404"/>
      <c r="V567" s="303"/>
    </row>
    <row r="568" spans="1:22" s="86" customFormat="1" ht="22.5">
      <c r="A568" s="52" t="s">
        <v>488</v>
      </c>
      <c r="B568" s="350"/>
      <c r="C568" s="15" t="s">
        <v>157</v>
      </c>
      <c r="D568" s="315" t="s">
        <v>311</v>
      </c>
      <c r="E568" s="284" t="s">
        <v>104</v>
      </c>
      <c r="F568" s="270">
        <v>6033017</v>
      </c>
      <c r="G568" s="261">
        <v>39494</v>
      </c>
      <c r="H568" s="264">
        <v>39514</v>
      </c>
      <c r="I568" s="261" t="s">
        <v>251</v>
      </c>
      <c r="J568" s="298"/>
      <c r="K568" s="298"/>
      <c r="L568" s="301">
        <v>135.8</v>
      </c>
      <c r="M568" s="286">
        <v>135.8</v>
      </c>
      <c r="N568" s="286"/>
      <c r="O568" s="301">
        <f t="shared" si="154"/>
        <v>135.8</v>
      </c>
      <c r="P568" s="85">
        <f t="shared" si="155"/>
        <v>88.27000000000001</v>
      </c>
      <c r="Q568" s="85">
        <f t="shared" si="156"/>
        <v>0</v>
      </c>
      <c r="R568" s="193">
        <f t="shared" si="157"/>
        <v>88.27000000000001</v>
      </c>
      <c r="S568" s="403" t="s">
        <v>699</v>
      </c>
      <c r="T568" s="404"/>
      <c r="V568" s="303"/>
    </row>
    <row r="569" spans="1:22" s="86" customFormat="1" ht="11.25">
      <c r="A569" s="52" t="s">
        <v>488</v>
      </c>
      <c r="B569" s="350"/>
      <c r="C569" s="15" t="s">
        <v>157</v>
      </c>
      <c r="D569" s="315" t="s">
        <v>312</v>
      </c>
      <c r="E569" s="284" t="s">
        <v>313</v>
      </c>
      <c r="F569" s="270"/>
      <c r="G569" s="261">
        <v>39507</v>
      </c>
      <c r="H569" s="264">
        <v>39526</v>
      </c>
      <c r="I569" s="261" t="s">
        <v>47</v>
      </c>
      <c r="J569" s="298"/>
      <c r="K569" s="298"/>
      <c r="L569" s="301">
        <v>307.6</v>
      </c>
      <c r="M569" s="286">
        <v>307.6</v>
      </c>
      <c r="N569" s="286"/>
      <c r="O569" s="301">
        <f t="shared" si="154"/>
        <v>307.6</v>
      </c>
      <c r="P569" s="85">
        <f t="shared" si="155"/>
        <v>199.94000000000003</v>
      </c>
      <c r="Q569" s="85">
        <f t="shared" si="156"/>
        <v>0</v>
      </c>
      <c r="R569" s="193">
        <f t="shared" si="157"/>
        <v>199.94000000000003</v>
      </c>
      <c r="S569" s="403" t="s">
        <v>699</v>
      </c>
      <c r="T569" s="404"/>
      <c r="V569" s="303"/>
    </row>
    <row r="570" spans="1:22" s="86" customFormat="1" ht="45">
      <c r="A570" s="52" t="s">
        <v>488</v>
      </c>
      <c r="B570" s="8"/>
      <c r="C570" s="9" t="s">
        <v>179</v>
      </c>
      <c r="D570" s="315" t="s">
        <v>664</v>
      </c>
      <c r="E570" s="284"/>
      <c r="F570" s="270"/>
      <c r="G570" s="261"/>
      <c r="H570" s="264"/>
      <c r="I570" s="261" t="s">
        <v>665</v>
      </c>
      <c r="J570" s="298"/>
      <c r="K570" s="298"/>
      <c r="L570" s="301">
        <v>142.32</v>
      </c>
      <c r="M570" s="286">
        <v>142.32</v>
      </c>
      <c r="N570" s="286"/>
      <c r="O570" s="301">
        <f t="shared" si="154"/>
        <v>142.32</v>
      </c>
      <c r="P570" s="85">
        <f t="shared" si="155"/>
        <v>92.508</v>
      </c>
      <c r="Q570" s="85">
        <f t="shared" si="156"/>
        <v>0</v>
      </c>
      <c r="R570" s="193">
        <f t="shared" si="157"/>
        <v>92.508</v>
      </c>
      <c r="S570" s="403" t="s">
        <v>699</v>
      </c>
      <c r="T570" s="404"/>
      <c r="V570" s="303"/>
    </row>
    <row r="571" spans="1:22" s="86" customFormat="1" ht="45">
      <c r="A571" s="52" t="s">
        <v>488</v>
      </c>
      <c r="B571" s="8"/>
      <c r="C571" s="9" t="s">
        <v>179</v>
      </c>
      <c r="D571" s="315" t="s">
        <v>666</v>
      </c>
      <c r="E571" s="284"/>
      <c r="F571" s="270"/>
      <c r="G571" s="261"/>
      <c r="H571" s="264"/>
      <c r="I571" s="261" t="s">
        <v>424</v>
      </c>
      <c r="J571" s="298"/>
      <c r="K571" s="298"/>
      <c r="L571" s="301">
        <v>90.14</v>
      </c>
      <c r="M571" s="286">
        <v>90.14</v>
      </c>
      <c r="N571" s="286"/>
      <c r="O571" s="301">
        <f t="shared" si="154"/>
        <v>90.14</v>
      </c>
      <c r="P571" s="85">
        <f t="shared" si="155"/>
        <v>58.591</v>
      </c>
      <c r="Q571" s="85">
        <f t="shared" si="156"/>
        <v>0</v>
      </c>
      <c r="R571" s="193">
        <f t="shared" si="157"/>
        <v>58.591</v>
      </c>
      <c r="S571" s="403" t="s">
        <v>699</v>
      </c>
      <c r="T571" s="404"/>
      <c r="V571" s="303"/>
    </row>
    <row r="572" spans="1:22" s="86" customFormat="1" ht="56.25">
      <c r="A572" s="52" t="s">
        <v>488</v>
      </c>
      <c r="B572" s="8"/>
      <c r="C572" s="9" t="s">
        <v>179</v>
      </c>
      <c r="D572" s="315" t="s">
        <v>667</v>
      </c>
      <c r="E572" s="284"/>
      <c r="F572" s="270"/>
      <c r="G572" s="261"/>
      <c r="H572" s="264"/>
      <c r="I572" s="261" t="s">
        <v>665</v>
      </c>
      <c r="J572" s="298"/>
      <c r="K572" s="298"/>
      <c r="L572" s="301">
        <v>142.32</v>
      </c>
      <c r="M572" s="286">
        <v>142.32</v>
      </c>
      <c r="N572" s="286"/>
      <c r="O572" s="301">
        <f t="shared" si="154"/>
        <v>142.32</v>
      </c>
      <c r="P572" s="85">
        <f t="shared" si="155"/>
        <v>92.508</v>
      </c>
      <c r="Q572" s="85">
        <f t="shared" si="156"/>
        <v>0</v>
      </c>
      <c r="R572" s="193">
        <f t="shared" si="157"/>
        <v>92.508</v>
      </c>
      <c r="S572" s="403" t="s">
        <v>699</v>
      </c>
      <c r="T572" s="404"/>
      <c r="V572" s="303"/>
    </row>
    <row r="573" spans="1:22" s="86" customFormat="1" ht="56.25">
      <c r="A573" s="52" t="s">
        <v>488</v>
      </c>
      <c r="B573" s="8"/>
      <c r="C573" s="9" t="s">
        <v>179</v>
      </c>
      <c r="D573" s="315" t="s">
        <v>668</v>
      </c>
      <c r="E573" s="284"/>
      <c r="F573" s="270"/>
      <c r="G573" s="261"/>
      <c r="H573" s="264"/>
      <c r="I573" s="261" t="s">
        <v>424</v>
      </c>
      <c r="J573" s="298"/>
      <c r="K573" s="298"/>
      <c r="L573" s="301">
        <v>142.32</v>
      </c>
      <c r="M573" s="286">
        <v>142.32</v>
      </c>
      <c r="N573" s="286"/>
      <c r="O573" s="301">
        <f t="shared" si="154"/>
        <v>142.32</v>
      </c>
      <c r="P573" s="85">
        <f t="shared" si="155"/>
        <v>92.508</v>
      </c>
      <c r="Q573" s="85">
        <f t="shared" si="156"/>
        <v>0</v>
      </c>
      <c r="R573" s="193">
        <f t="shared" si="157"/>
        <v>92.508</v>
      </c>
      <c r="S573" s="403" t="s">
        <v>699</v>
      </c>
      <c r="T573" s="404"/>
      <c r="V573" s="303"/>
    </row>
    <row r="574" spans="1:22" s="86" customFormat="1" ht="33.75">
      <c r="A574" s="52" t="s">
        <v>488</v>
      </c>
      <c r="B574" s="8"/>
      <c r="C574" s="15" t="s">
        <v>177</v>
      </c>
      <c r="D574" s="315" t="s">
        <v>562</v>
      </c>
      <c r="E574" s="284" t="s">
        <v>519</v>
      </c>
      <c r="F574" s="270" t="s">
        <v>520</v>
      </c>
      <c r="G574" s="261">
        <v>39392</v>
      </c>
      <c r="H574" s="264">
        <v>39392</v>
      </c>
      <c r="I574" s="261" t="s">
        <v>283</v>
      </c>
      <c r="J574" s="298">
        <v>320</v>
      </c>
      <c r="K574" s="298" t="s">
        <v>520</v>
      </c>
      <c r="L574" s="301">
        <v>320</v>
      </c>
      <c r="M574" s="286">
        <v>320</v>
      </c>
      <c r="N574" s="286"/>
      <c r="O574" s="301">
        <f t="shared" si="154"/>
        <v>320</v>
      </c>
      <c r="P574" s="85">
        <f t="shared" si="155"/>
        <v>208</v>
      </c>
      <c r="Q574" s="85">
        <f t="shared" si="156"/>
        <v>0</v>
      </c>
      <c r="R574" s="193">
        <f t="shared" si="157"/>
        <v>208</v>
      </c>
      <c r="S574" s="403" t="s">
        <v>699</v>
      </c>
      <c r="T574" s="404"/>
      <c r="V574" s="303"/>
    </row>
    <row r="575" spans="1:22" s="86" customFormat="1" ht="45">
      <c r="A575" s="52" t="s">
        <v>488</v>
      </c>
      <c r="B575" s="8"/>
      <c r="C575" s="15" t="s">
        <v>177</v>
      </c>
      <c r="D575" s="315" t="s">
        <v>563</v>
      </c>
      <c r="E575" s="284" t="s">
        <v>110</v>
      </c>
      <c r="F575" s="270" t="s">
        <v>671</v>
      </c>
      <c r="G575" s="261">
        <v>39429</v>
      </c>
      <c r="H575" s="264">
        <v>39429</v>
      </c>
      <c r="I575" s="261" t="s">
        <v>283</v>
      </c>
      <c r="J575" s="298">
        <v>405</v>
      </c>
      <c r="K575" s="298" t="s">
        <v>520</v>
      </c>
      <c r="L575" s="301">
        <v>405</v>
      </c>
      <c r="M575" s="286"/>
      <c r="N575" s="286"/>
      <c r="O575" s="301"/>
      <c r="P575" s="85"/>
      <c r="Q575" s="85"/>
      <c r="R575" s="193"/>
      <c r="S575" s="410" t="s">
        <v>322</v>
      </c>
      <c r="T575" s="405"/>
      <c r="V575" s="303"/>
    </row>
    <row r="576" spans="1:22" s="86" customFormat="1" ht="33.75">
      <c r="A576" s="52" t="s">
        <v>488</v>
      </c>
      <c r="B576" s="8"/>
      <c r="C576" s="15" t="s">
        <v>177</v>
      </c>
      <c r="D576" s="315" t="s">
        <v>675</v>
      </c>
      <c r="E576" s="284" t="s">
        <v>519</v>
      </c>
      <c r="F576" s="270" t="s">
        <v>520</v>
      </c>
      <c r="G576" s="261">
        <v>39456</v>
      </c>
      <c r="H576" s="264">
        <v>39456</v>
      </c>
      <c r="I576" s="261" t="s">
        <v>283</v>
      </c>
      <c r="J576" s="298">
        <v>320</v>
      </c>
      <c r="K576" s="298" t="s">
        <v>520</v>
      </c>
      <c r="L576" s="301">
        <v>320</v>
      </c>
      <c r="M576" s="286">
        <v>320</v>
      </c>
      <c r="N576" s="286"/>
      <c r="O576" s="301">
        <f aca="true" t="shared" si="158" ref="O576:O585">+N576+M576</f>
        <v>320</v>
      </c>
      <c r="P576" s="85">
        <f aca="true" t="shared" si="159" ref="P576:Q580">+M576*0.65</f>
        <v>208</v>
      </c>
      <c r="Q576" s="85">
        <f t="shared" si="159"/>
        <v>0</v>
      </c>
      <c r="R576" s="193">
        <f aca="true" t="shared" si="160" ref="R576:R585">+Q576+P576</f>
        <v>208</v>
      </c>
      <c r="S576" s="403" t="s">
        <v>699</v>
      </c>
      <c r="T576" s="404"/>
      <c r="V576" s="303"/>
    </row>
    <row r="577" spans="1:22" s="86" customFormat="1" ht="33.75">
      <c r="A577" s="52" t="s">
        <v>488</v>
      </c>
      <c r="B577" s="8"/>
      <c r="C577" s="15" t="s">
        <v>177</v>
      </c>
      <c r="D577" s="315" t="s">
        <v>676</v>
      </c>
      <c r="E577" s="284" t="s">
        <v>519</v>
      </c>
      <c r="F577" s="270" t="s">
        <v>520</v>
      </c>
      <c r="G577" s="261">
        <v>39464</v>
      </c>
      <c r="H577" s="264">
        <v>39464</v>
      </c>
      <c r="I577" s="261" t="s">
        <v>283</v>
      </c>
      <c r="J577" s="298">
        <v>320</v>
      </c>
      <c r="K577" s="298" t="s">
        <v>520</v>
      </c>
      <c r="L577" s="301">
        <v>320</v>
      </c>
      <c r="M577" s="286">
        <v>320</v>
      </c>
      <c r="N577" s="286"/>
      <c r="O577" s="301">
        <f t="shared" si="158"/>
        <v>320</v>
      </c>
      <c r="P577" s="85">
        <f t="shared" si="159"/>
        <v>208</v>
      </c>
      <c r="Q577" s="85">
        <f t="shared" si="159"/>
        <v>0</v>
      </c>
      <c r="R577" s="193">
        <f t="shared" si="160"/>
        <v>208</v>
      </c>
      <c r="S577" s="403" t="s">
        <v>699</v>
      </c>
      <c r="T577" s="404"/>
      <c r="V577" s="303"/>
    </row>
    <row r="578" spans="1:22" s="86" customFormat="1" ht="33.75">
      <c r="A578" s="52" t="s">
        <v>488</v>
      </c>
      <c r="B578" s="8"/>
      <c r="C578" s="15" t="s">
        <v>177</v>
      </c>
      <c r="D578" s="315" t="s">
        <v>677</v>
      </c>
      <c r="E578" s="284" t="s">
        <v>519</v>
      </c>
      <c r="F578" s="270" t="s">
        <v>520</v>
      </c>
      <c r="G578" s="261">
        <v>39485</v>
      </c>
      <c r="H578" s="264">
        <v>39485</v>
      </c>
      <c r="I578" s="261" t="s">
        <v>283</v>
      </c>
      <c r="J578" s="298">
        <v>320</v>
      </c>
      <c r="K578" s="298" t="s">
        <v>520</v>
      </c>
      <c r="L578" s="301">
        <v>320</v>
      </c>
      <c r="M578" s="286">
        <v>320</v>
      </c>
      <c r="N578" s="286"/>
      <c r="O578" s="301">
        <f t="shared" si="158"/>
        <v>320</v>
      </c>
      <c r="P578" s="85">
        <f t="shared" si="159"/>
        <v>208</v>
      </c>
      <c r="Q578" s="85">
        <f t="shared" si="159"/>
        <v>0</v>
      </c>
      <c r="R578" s="193">
        <f t="shared" si="160"/>
        <v>208</v>
      </c>
      <c r="S578" s="403" t="s">
        <v>699</v>
      </c>
      <c r="T578" s="404"/>
      <c r="V578" s="303"/>
    </row>
    <row r="579" spans="1:22" s="86" customFormat="1" ht="33.75">
      <c r="A579" s="52" t="s">
        <v>488</v>
      </c>
      <c r="B579" s="8"/>
      <c r="C579" s="15" t="s">
        <v>177</v>
      </c>
      <c r="D579" s="315" t="s">
        <v>695</v>
      </c>
      <c r="E579" s="284" t="s">
        <v>519</v>
      </c>
      <c r="F579" s="270" t="s">
        <v>520</v>
      </c>
      <c r="G579" s="261">
        <v>39512</v>
      </c>
      <c r="H579" s="264">
        <v>39512</v>
      </c>
      <c r="I579" s="261" t="s">
        <v>283</v>
      </c>
      <c r="J579" s="298">
        <v>303</v>
      </c>
      <c r="K579" s="298" t="s">
        <v>520</v>
      </c>
      <c r="L579" s="301">
        <v>303</v>
      </c>
      <c r="M579" s="286">
        <v>303</v>
      </c>
      <c r="N579" s="286"/>
      <c r="O579" s="301">
        <f t="shared" si="158"/>
        <v>303</v>
      </c>
      <c r="P579" s="85">
        <f t="shared" si="159"/>
        <v>196.95000000000002</v>
      </c>
      <c r="Q579" s="85">
        <f t="shared" si="159"/>
        <v>0</v>
      </c>
      <c r="R579" s="193">
        <f t="shared" si="160"/>
        <v>196.95000000000002</v>
      </c>
      <c r="S579" s="403" t="s">
        <v>699</v>
      </c>
      <c r="T579" s="404"/>
      <c r="V579" s="303"/>
    </row>
    <row r="580" spans="1:22" s="86" customFormat="1" ht="33.75">
      <c r="A580" s="52" t="s">
        <v>488</v>
      </c>
      <c r="B580" s="8"/>
      <c r="C580" s="15" t="s">
        <v>177</v>
      </c>
      <c r="D580" s="315" t="s">
        <v>696</v>
      </c>
      <c r="E580" s="284" t="s">
        <v>519</v>
      </c>
      <c r="F580" s="270" t="s">
        <v>520</v>
      </c>
      <c r="G580" s="261">
        <v>39528</v>
      </c>
      <c r="H580" s="264">
        <v>39528</v>
      </c>
      <c r="I580" s="261" t="s">
        <v>283</v>
      </c>
      <c r="J580" s="298">
        <v>298</v>
      </c>
      <c r="K580" s="298" t="s">
        <v>520</v>
      </c>
      <c r="L580" s="301">
        <v>298</v>
      </c>
      <c r="M580" s="286">
        <v>298</v>
      </c>
      <c r="N580" s="286"/>
      <c r="O580" s="301">
        <f t="shared" si="158"/>
        <v>298</v>
      </c>
      <c r="P580" s="85">
        <f t="shared" si="159"/>
        <v>193.70000000000002</v>
      </c>
      <c r="Q580" s="85">
        <f t="shared" si="159"/>
        <v>0</v>
      </c>
      <c r="R580" s="193">
        <f t="shared" si="160"/>
        <v>193.70000000000002</v>
      </c>
      <c r="S580" s="403" t="s">
        <v>699</v>
      </c>
      <c r="T580" s="404"/>
      <c r="V580" s="303"/>
    </row>
    <row r="581" spans="1:22" s="86" customFormat="1" ht="11.25">
      <c r="A581" s="52" t="s">
        <v>488</v>
      </c>
      <c r="B581" s="350"/>
      <c r="C581" s="15" t="s">
        <v>157</v>
      </c>
      <c r="D581" s="315" t="s">
        <v>311</v>
      </c>
      <c r="E581" s="284" t="s">
        <v>104</v>
      </c>
      <c r="F581" s="270">
        <v>217318</v>
      </c>
      <c r="G581" s="261">
        <v>39541</v>
      </c>
      <c r="H581" s="264">
        <v>39561</v>
      </c>
      <c r="I581" s="261" t="s">
        <v>708</v>
      </c>
      <c r="J581" s="298">
        <f>+L581</f>
        <v>427.8</v>
      </c>
      <c r="K581" s="298"/>
      <c r="L581" s="301">
        <v>427.8</v>
      </c>
      <c r="M581" s="286">
        <v>427.8</v>
      </c>
      <c r="N581" s="286"/>
      <c r="O581" s="301">
        <f t="shared" si="158"/>
        <v>427.8</v>
      </c>
      <c r="P581" s="85">
        <f aca="true" t="shared" si="161" ref="P581:Q585">+M581*0.65</f>
        <v>278.07</v>
      </c>
      <c r="Q581" s="85">
        <f t="shared" si="161"/>
        <v>0</v>
      </c>
      <c r="R581" s="193">
        <f t="shared" si="160"/>
        <v>278.07</v>
      </c>
      <c r="S581" s="403" t="s">
        <v>699</v>
      </c>
      <c r="T581" s="404"/>
      <c r="V581" s="303"/>
    </row>
    <row r="582" spans="1:22" s="86" customFormat="1" ht="45">
      <c r="A582" s="52" t="s">
        <v>488</v>
      </c>
      <c r="B582" s="8"/>
      <c r="C582" s="9" t="s">
        <v>179</v>
      </c>
      <c r="D582" s="315" t="s">
        <v>714</v>
      </c>
      <c r="E582" s="284"/>
      <c r="F582" s="270"/>
      <c r="G582" s="261"/>
      <c r="H582" s="264">
        <v>39565</v>
      </c>
      <c r="I582" s="261" t="s">
        <v>665</v>
      </c>
      <c r="J582" s="298"/>
      <c r="K582" s="298"/>
      <c r="L582" s="301">
        <v>142.32</v>
      </c>
      <c r="M582" s="286">
        <v>142.32</v>
      </c>
      <c r="N582" s="286"/>
      <c r="O582" s="301">
        <f t="shared" si="158"/>
        <v>142.32</v>
      </c>
      <c r="P582" s="85">
        <f t="shared" si="161"/>
        <v>92.508</v>
      </c>
      <c r="Q582" s="85">
        <f t="shared" si="161"/>
        <v>0</v>
      </c>
      <c r="R582" s="193">
        <f t="shared" si="160"/>
        <v>92.508</v>
      </c>
      <c r="S582" s="403" t="s">
        <v>699</v>
      </c>
      <c r="T582" s="404"/>
      <c r="V582" s="303"/>
    </row>
    <row r="583" spans="1:22" s="86" customFormat="1" ht="45">
      <c r="A583" s="52" t="s">
        <v>488</v>
      </c>
      <c r="B583" s="8"/>
      <c r="C583" s="9" t="s">
        <v>179</v>
      </c>
      <c r="D583" s="315" t="s">
        <v>715</v>
      </c>
      <c r="E583" s="284"/>
      <c r="F583" s="270"/>
      <c r="G583" s="261"/>
      <c r="H583" s="264">
        <v>39565</v>
      </c>
      <c r="I583" s="261" t="s">
        <v>424</v>
      </c>
      <c r="J583" s="298"/>
      <c r="K583" s="298"/>
      <c r="L583" s="301">
        <v>142.32</v>
      </c>
      <c r="M583" s="286">
        <v>142.32</v>
      </c>
      <c r="N583" s="286"/>
      <c r="O583" s="301">
        <f t="shared" si="158"/>
        <v>142.32</v>
      </c>
      <c r="P583" s="85">
        <f t="shared" si="161"/>
        <v>92.508</v>
      </c>
      <c r="Q583" s="85">
        <f t="shared" si="161"/>
        <v>0</v>
      </c>
      <c r="R583" s="193">
        <f t="shared" si="160"/>
        <v>92.508</v>
      </c>
      <c r="S583" s="403" t="s">
        <v>699</v>
      </c>
      <c r="T583" s="404"/>
      <c r="V583" s="303"/>
    </row>
    <row r="584" spans="1:22" s="86" customFormat="1" ht="33.75">
      <c r="A584" s="52" t="s">
        <v>488</v>
      </c>
      <c r="B584" s="8"/>
      <c r="C584" s="15" t="s">
        <v>177</v>
      </c>
      <c r="D584" s="315" t="s">
        <v>730</v>
      </c>
      <c r="E584" s="284" t="s">
        <v>519</v>
      </c>
      <c r="F584" s="270" t="s">
        <v>520</v>
      </c>
      <c r="G584" s="261">
        <v>39555</v>
      </c>
      <c r="H584" s="264">
        <v>39555</v>
      </c>
      <c r="I584" s="261" t="s">
        <v>283</v>
      </c>
      <c r="J584" s="298">
        <v>298</v>
      </c>
      <c r="K584" s="298" t="s">
        <v>520</v>
      </c>
      <c r="L584" s="301">
        <v>298</v>
      </c>
      <c r="M584" s="298">
        <v>298</v>
      </c>
      <c r="N584" s="286"/>
      <c r="O584" s="301">
        <f t="shared" si="158"/>
        <v>298</v>
      </c>
      <c r="P584" s="85">
        <f t="shared" si="161"/>
        <v>193.70000000000002</v>
      </c>
      <c r="Q584" s="85">
        <f t="shared" si="161"/>
        <v>0</v>
      </c>
      <c r="R584" s="193">
        <f t="shared" si="160"/>
        <v>193.70000000000002</v>
      </c>
      <c r="S584" s="403" t="s">
        <v>699</v>
      </c>
      <c r="T584" s="404"/>
      <c r="V584" s="303"/>
    </row>
    <row r="585" spans="1:22" s="86" customFormat="1" ht="33.75">
      <c r="A585" s="52" t="s">
        <v>488</v>
      </c>
      <c r="B585" s="8"/>
      <c r="C585" s="15" t="s">
        <v>177</v>
      </c>
      <c r="D585" s="315" t="s">
        <v>731</v>
      </c>
      <c r="E585" s="284" t="s">
        <v>519</v>
      </c>
      <c r="F585" s="270" t="s">
        <v>520</v>
      </c>
      <c r="G585" s="261">
        <v>39561</v>
      </c>
      <c r="H585" s="264">
        <v>39561</v>
      </c>
      <c r="I585" s="261" t="s">
        <v>283</v>
      </c>
      <c r="J585" s="298">
        <v>326</v>
      </c>
      <c r="K585" s="298" t="s">
        <v>520</v>
      </c>
      <c r="L585" s="301">
        <v>326</v>
      </c>
      <c r="M585" s="298">
        <v>326</v>
      </c>
      <c r="N585" s="286"/>
      <c r="O585" s="301">
        <f t="shared" si="158"/>
        <v>326</v>
      </c>
      <c r="P585" s="85">
        <f t="shared" si="161"/>
        <v>211.9</v>
      </c>
      <c r="Q585" s="85">
        <f t="shared" si="161"/>
        <v>0</v>
      </c>
      <c r="R585" s="193">
        <f t="shared" si="160"/>
        <v>211.9</v>
      </c>
      <c r="S585" s="403" t="s">
        <v>699</v>
      </c>
      <c r="T585" s="404"/>
      <c r="V585" s="303"/>
    </row>
    <row r="586" spans="1:20" s="86" customFormat="1" ht="11.25">
      <c r="A586" s="52"/>
      <c r="B586" s="8"/>
      <c r="C586" s="105"/>
      <c r="D586" s="164"/>
      <c r="E586" s="72"/>
      <c r="F586" s="81"/>
      <c r="G586" s="82"/>
      <c r="H586" s="82"/>
      <c r="I586" s="165"/>
      <c r="J586" s="83"/>
      <c r="K586" s="83"/>
      <c r="L586" s="208"/>
      <c r="M586" s="92"/>
      <c r="N586" s="92"/>
      <c r="O586" s="218"/>
      <c r="P586" s="85"/>
      <c r="Q586" s="85"/>
      <c r="R586" s="193"/>
      <c r="S586" s="150"/>
      <c r="T586" s="151"/>
    </row>
    <row r="587" spans="1:20" s="86" customFormat="1" ht="11.25">
      <c r="A587" s="111"/>
      <c r="B587" s="57"/>
      <c r="D587" s="27"/>
      <c r="E587" s="27"/>
      <c r="I587" s="171"/>
      <c r="L587" s="209"/>
      <c r="O587" s="302"/>
      <c r="P587" s="303"/>
      <c r="R587" s="209"/>
      <c r="S587" s="27"/>
      <c r="T587" s="27"/>
    </row>
    <row r="588" spans="1:20" s="86" customFormat="1" ht="11.25">
      <c r="A588" s="111"/>
      <c r="B588" s="57"/>
      <c r="D588" s="27"/>
      <c r="E588" s="27"/>
      <c r="I588" s="171"/>
      <c r="L588" s="209"/>
      <c r="M588" s="303"/>
      <c r="O588" s="209"/>
      <c r="P588" s="303"/>
      <c r="R588" s="209"/>
      <c r="S588" s="27"/>
      <c r="T588" s="27"/>
    </row>
    <row r="589" spans="1:20" s="86" customFormat="1" ht="11.25">
      <c r="A589" s="111"/>
      <c r="B589" s="57"/>
      <c r="D589" s="27"/>
      <c r="E589" s="27"/>
      <c r="I589" s="171"/>
      <c r="L589" s="209"/>
      <c r="M589" s="303"/>
      <c r="N589" s="303"/>
      <c r="O589" s="209"/>
      <c r="P589" s="303"/>
      <c r="R589" s="209"/>
      <c r="S589" s="27"/>
      <c r="T589" s="27"/>
    </row>
    <row r="590" spans="1:20" s="86" customFormat="1" ht="11.25">
      <c r="A590" s="111"/>
      <c r="B590" s="57"/>
      <c r="D590" s="27"/>
      <c r="E590" s="27"/>
      <c r="I590" s="171"/>
      <c r="L590" s="209"/>
      <c r="O590" s="209"/>
      <c r="P590" s="303"/>
      <c r="R590" s="209"/>
      <c r="S590" s="27"/>
      <c r="T590" s="27"/>
    </row>
    <row r="591" spans="1:20" s="86" customFormat="1" ht="11.25">
      <c r="A591" s="111"/>
      <c r="B591" s="57"/>
      <c r="D591" s="27"/>
      <c r="E591" s="27"/>
      <c r="I591" s="171"/>
      <c r="L591" s="209"/>
      <c r="O591" s="209"/>
      <c r="P591" s="303"/>
      <c r="R591" s="209"/>
      <c r="S591" s="27"/>
      <c r="T591" s="27"/>
    </row>
    <row r="592" spans="1:20" s="86" customFormat="1" ht="11.25">
      <c r="A592" s="111"/>
      <c r="B592" s="57"/>
      <c r="D592" s="27"/>
      <c r="E592" s="27"/>
      <c r="I592" s="171"/>
      <c r="L592" s="209"/>
      <c r="O592" s="209"/>
      <c r="R592" s="209"/>
      <c r="S592" s="27"/>
      <c r="T592" s="27"/>
    </row>
    <row r="593" spans="1:20" s="86" customFormat="1" ht="11.25">
      <c r="A593" s="111"/>
      <c r="B593" s="57"/>
      <c r="D593" s="27"/>
      <c r="E593" s="27"/>
      <c r="I593" s="171"/>
      <c r="L593" s="209"/>
      <c r="O593" s="209"/>
      <c r="R593" s="209"/>
      <c r="S593" s="27"/>
      <c r="T593" s="27"/>
    </row>
    <row r="594" spans="1:20" s="86" customFormat="1" ht="11.25">
      <c r="A594" s="111"/>
      <c r="B594" s="57"/>
      <c r="D594" s="27"/>
      <c r="E594" s="27"/>
      <c r="I594" s="171"/>
      <c r="L594" s="209"/>
      <c r="O594" s="209"/>
      <c r="R594" s="209"/>
      <c r="S594" s="27"/>
      <c r="T594" s="27"/>
    </row>
    <row r="595" spans="1:20" s="86" customFormat="1" ht="11.25">
      <c r="A595" s="111"/>
      <c r="B595" s="57"/>
      <c r="D595" s="27"/>
      <c r="E595" s="27"/>
      <c r="I595" s="171"/>
      <c r="L595" s="209"/>
      <c r="O595" s="209"/>
      <c r="R595" s="209"/>
      <c r="S595" s="27"/>
      <c r="T595" s="27"/>
    </row>
    <row r="596" spans="1:20" s="86" customFormat="1" ht="11.25">
      <c r="A596" s="111"/>
      <c r="B596" s="57"/>
      <c r="D596" s="27"/>
      <c r="E596" s="27"/>
      <c r="I596" s="171"/>
      <c r="L596" s="209"/>
      <c r="O596" s="209"/>
      <c r="R596" s="209"/>
      <c r="S596" s="27"/>
      <c r="T596" s="27"/>
    </row>
    <row r="597" spans="1:20" s="86" customFormat="1" ht="11.25">
      <c r="A597" s="111"/>
      <c r="B597" s="57"/>
      <c r="D597" s="27"/>
      <c r="E597" s="27"/>
      <c r="I597" s="171"/>
      <c r="L597" s="209"/>
      <c r="O597" s="209"/>
      <c r="R597" s="209"/>
      <c r="S597" s="27"/>
      <c r="T597" s="27"/>
    </row>
    <row r="598" spans="1:20" s="86" customFormat="1" ht="11.25">
      <c r="A598" s="111"/>
      <c r="B598" s="57"/>
      <c r="D598" s="27"/>
      <c r="E598" s="27"/>
      <c r="I598" s="171"/>
      <c r="L598" s="209"/>
      <c r="O598" s="209"/>
      <c r="R598" s="209"/>
      <c r="S598" s="27"/>
      <c r="T598" s="27"/>
    </row>
    <row r="599" spans="1:20" s="86" customFormat="1" ht="11.25">
      <c r="A599" s="111"/>
      <c r="B599" s="57"/>
      <c r="D599" s="27"/>
      <c r="E599" s="27"/>
      <c r="I599" s="171"/>
      <c r="L599" s="209"/>
      <c r="O599" s="209"/>
      <c r="R599" s="209"/>
      <c r="S599" s="27"/>
      <c r="T599" s="27"/>
    </row>
    <row r="600" spans="1:20" s="86" customFormat="1" ht="11.25">
      <c r="A600" s="111"/>
      <c r="B600" s="57"/>
      <c r="D600" s="27"/>
      <c r="E600" s="27"/>
      <c r="I600" s="171"/>
      <c r="L600" s="209"/>
      <c r="O600" s="209"/>
      <c r="R600" s="209"/>
      <c r="S600" s="27"/>
      <c r="T600" s="27"/>
    </row>
    <row r="601" ht="11.25">
      <c r="S601" s="27"/>
    </row>
    <row r="602" ht="11.25">
      <c r="S602" s="27"/>
    </row>
    <row r="603" ht="11.25">
      <c r="S603" s="27"/>
    </row>
    <row r="604" ht="11.25">
      <c r="S604" s="27"/>
    </row>
    <row r="605" ht="11.25">
      <c r="S605" s="27"/>
    </row>
    <row r="606" ht="11.25">
      <c r="S606" s="27"/>
    </row>
    <row r="607" ht="11.25">
      <c r="S607" s="27"/>
    </row>
    <row r="608" ht="11.25">
      <c r="S608" s="27"/>
    </row>
    <row r="609" ht="11.25">
      <c r="S609" s="27"/>
    </row>
    <row r="610" ht="11.25">
      <c r="S610" s="27"/>
    </row>
    <row r="611" ht="11.25">
      <c r="S611" s="27"/>
    </row>
    <row r="612" ht="11.25">
      <c r="S612" s="27"/>
    </row>
    <row r="613" ht="11.25">
      <c r="S613" s="27"/>
    </row>
    <row r="614" ht="11.25">
      <c r="S614" s="27"/>
    </row>
    <row r="615" ht="11.25">
      <c r="S615" s="27"/>
    </row>
    <row r="616" ht="11.25">
      <c r="S616" s="27"/>
    </row>
    <row r="617" ht="11.25">
      <c r="S617" s="27"/>
    </row>
    <row r="618" ht="11.25">
      <c r="S618" s="27"/>
    </row>
    <row r="619" ht="11.25">
      <c r="S619" s="27"/>
    </row>
    <row r="620" ht="11.25">
      <c r="S620" s="27"/>
    </row>
    <row r="621" ht="11.25">
      <c r="S621" s="27"/>
    </row>
    <row r="622" ht="11.25">
      <c r="S622" s="27"/>
    </row>
    <row r="623" ht="11.25">
      <c r="S623" s="27"/>
    </row>
    <row r="624" ht="11.25">
      <c r="S624" s="27"/>
    </row>
    <row r="625" ht="11.25">
      <c r="S625" s="27"/>
    </row>
    <row r="626" ht="11.25">
      <c r="S626" s="27"/>
    </row>
    <row r="627" ht="11.25">
      <c r="S627" s="27"/>
    </row>
    <row r="628" ht="11.25">
      <c r="S628" s="27"/>
    </row>
    <row r="629" ht="11.25">
      <c r="S629" s="27"/>
    </row>
    <row r="630" ht="11.25">
      <c r="S630" s="27"/>
    </row>
    <row r="631" ht="11.25">
      <c r="S631" s="27"/>
    </row>
    <row r="632" ht="11.25">
      <c r="S632" s="27"/>
    </row>
    <row r="633" ht="11.25">
      <c r="S633" s="27"/>
    </row>
    <row r="634" ht="11.25">
      <c r="S634" s="27"/>
    </row>
    <row r="635" ht="11.25">
      <c r="S635" s="27"/>
    </row>
    <row r="636" ht="11.25">
      <c r="S636" s="27"/>
    </row>
    <row r="637" ht="11.25">
      <c r="S637" s="27"/>
    </row>
    <row r="638" ht="11.25">
      <c r="S638" s="27"/>
    </row>
    <row r="639" ht="11.25">
      <c r="S639" s="27"/>
    </row>
    <row r="640" ht="11.25">
      <c r="S640" s="27"/>
    </row>
    <row r="641" ht="11.25">
      <c r="S641" s="27"/>
    </row>
    <row r="642" ht="11.25">
      <c r="S642" s="27"/>
    </row>
    <row r="643" ht="11.25">
      <c r="S643" s="27"/>
    </row>
    <row r="644" ht="11.25">
      <c r="S644" s="27"/>
    </row>
    <row r="645" ht="11.25">
      <c r="S645" s="27"/>
    </row>
    <row r="646" ht="11.25">
      <c r="S646" s="27"/>
    </row>
    <row r="647" ht="11.25">
      <c r="S647" s="27"/>
    </row>
    <row r="648" ht="11.25">
      <c r="S648" s="27"/>
    </row>
    <row r="649" ht="11.25">
      <c r="S649" s="27"/>
    </row>
    <row r="650" ht="11.25">
      <c r="S650" s="27"/>
    </row>
    <row r="651" ht="11.25">
      <c r="S651" s="27"/>
    </row>
    <row r="652" ht="11.25">
      <c r="S652" s="27"/>
    </row>
    <row r="653" ht="11.25">
      <c r="S653" s="27"/>
    </row>
    <row r="654" ht="11.25">
      <c r="S654" s="27"/>
    </row>
    <row r="655" ht="11.25">
      <c r="S655" s="27"/>
    </row>
    <row r="656" ht="11.25">
      <c r="S656" s="27"/>
    </row>
    <row r="657" ht="11.25">
      <c r="S657" s="27"/>
    </row>
    <row r="658" ht="11.25">
      <c r="S658" s="27"/>
    </row>
    <row r="659" ht="11.25">
      <c r="S659" s="27"/>
    </row>
    <row r="660" ht="11.25">
      <c r="S660" s="27"/>
    </row>
    <row r="661" ht="11.25">
      <c r="S661" s="27"/>
    </row>
    <row r="662" ht="11.25">
      <c r="S662" s="27"/>
    </row>
    <row r="663" ht="11.25">
      <c r="S663" s="27"/>
    </row>
    <row r="664" ht="11.25">
      <c r="S664" s="27"/>
    </row>
    <row r="665" ht="11.25">
      <c r="S665" s="27"/>
    </row>
    <row r="666" ht="11.25">
      <c r="S666" s="27"/>
    </row>
    <row r="667" ht="11.25">
      <c r="S667" s="27"/>
    </row>
    <row r="668" ht="11.25">
      <c r="S668" s="27"/>
    </row>
    <row r="669" ht="11.25">
      <c r="S669" s="27"/>
    </row>
    <row r="670" ht="11.25">
      <c r="S670" s="27"/>
    </row>
    <row r="671" ht="11.25">
      <c r="S671" s="27"/>
    </row>
    <row r="672" ht="11.25">
      <c r="S672" s="27"/>
    </row>
    <row r="673" ht="11.25">
      <c r="S673" s="27"/>
    </row>
    <row r="674" ht="11.25">
      <c r="S674" s="27"/>
    </row>
    <row r="675" ht="11.25">
      <c r="S675" s="27"/>
    </row>
    <row r="676" ht="11.25">
      <c r="S676" s="27"/>
    </row>
    <row r="677" ht="11.25">
      <c r="S677" s="27"/>
    </row>
    <row r="678" ht="11.25">
      <c r="S678" s="27"/>
    </row>
    <row r="679" ht="11.25">
      <c r="S679" s="27"/>
    </row>
    <row r="680" ht="11.25">
      <c r="S680" s="27"/>
    </row>
    <row r="681" ht="11.25">
      <c r="S681" s="27"/>
    </row>
    <row r="682" ht="11.25">
      <c r="S682" s="27"/>
    </row>
    <row r="683" ht="11.25">
      <c r="S683" s="27"/>
    </row>
    <row r="684" ht="11.25">
      <c r="S684" s="27"/>
    </row>
    <row r="685" ht="11.25">
      <c r="S685" s="27"/>
    </row>
    <row r="686" ht="11.25">
      <c r="S686" s="27"/>
    </row>
    <row r="687" ht="11.25">
      <c r="S687" s="27"/>
    </row>
    <row r="688" ht="11.25">
      <c r="S688" s="27"/>
    </row>
    <row r="689" ht="11.25">
      <c r="S689" s="27"/>
    </row>
    <row r="690" ht="11.25">
      <c r="S690" s="27"/>
    </row>
    <row r="691" ht="11.25">
      <c r="S691" s="27"/>
    </row>
    <row r="692" ht="11.25">
      <c r="S692" s="27"/>
    </row>
    <row r="693" ht="11.25">
      <c r="S693" s="27"/>
    </row>
    <row r="694" ht="11.25">
      <c r="S694" s="27"/>
    </row>
    <row r="695" ht="11.25">
      <c r="S695" s="27"/>
    </row>
    <row r="696" ht="11.25">
      <c r="S696" s="27"/>
    </row>
    <row r="697" ht="11.25">
      <c r="S697" s="27"/>
    </row>
    <row r="698" ht="11.25">
      <c r="S698" s="27"/>
    </row>
    <row r="699" ht="11.25">
      <c r="S699" s="27"/>
    </row>
    <row r="700" ht="11.25">
      <c r="S700" s="27"/>
    </row>
    <row r="701" ht="11.25">
      <c r="S701" s="27"/>
    </row>
    <row r="702" ht="11.25">
      <c r="S702" s="27"/>
    </row>
    <row r="703" ht="11.25">
      <c r="S703" s="27"/>
    </row>
    <row r="704" ht="11.25">
      <c r="S704" s="27"/>
    </row>
    <row r="705" ht="11.25">
      <c r="S705" s="27"/>
    </row>
    <row r="706" ht="11.25">
      <c r="S706" s="27"/>
    </row>
    <row r="707" ht="11.25">
      <c r="S707" s="27"/>
    </row>
    <row r="708" ht="11.25">
      <c r="S708" s="27"/>
    </row>
    <row r="709" ht="11.25">
      <c r="S709" s="27"/>
    </row>
    <row r="710" ht="11.25">
      <c r="S710" s="27"/>
    </row>
    <row r="711" ht="11.25">
      <c r="S711" s="27"/>
    </row>
    <row r="712" ht="11.25">
      <c r="S712" s="27"/>
    </row>
    <row r="713" ht="11.25">
      <c r="S713" s="27"/>
    </row>
    <row r="714" ht="11.25">
      <c r="S714" s="27"/>
    </row>
    <row r="715" ht="11.25">
      <c r="S715" s="27"/>
    </row>
    <row r="716" ht="11.25">
      <c r="S716" s="27"/>
    </row>
    <row r="717" ht="11.25">
      <c r="S717" s="27"/>
    </row>
    <row r="718" ht="11.25">
      <c r="S718" s="27"/>
    </row>
    <row r="719" ht="11.25">
      <c r="S719" s="27"/>
    </row>
    <row r="720" ht="11.25">
      <c r="S720" s="27"/>
    </row>
    <row r="721" ht="11.25">
      <c r="S721" s="27"/>
    </row>
    <row r="722" ht="11.25">
      <c r="S722" s="27"/>
    </row>
    <row r="723" ht="11.25">
      <c r="S723" s="27"/>
    </row>
    <row r="724" ht="11.25">
      <c r="S724" s="27"/>
    </row>
    <row r="725" ht="11.25">
      <c r="S725" s="27"/>
    </row>
    <row r="726" ht="11.25">
      <c r="S726" s="27"/>
    </row>
    <row r="727" ht="11.25">
      <c r="S727" s="27"/>
    </row>
    <row r="728" ht="11.25">
      <c r="S728" s="27"/>
    </row>
    <row r="729" ht="11.25">
      <c r="S729" s="27"/>
    </row>
    <row r="730" ht="11.25">
      <c r="S730" s="27"/>
    </row>
    <row r="731" ht="11.25">
      <c r="S731" s="27"/>
    </row>
    <row r="732" ht="11.25">
      <c r="S732" s="27"/>
    </row>
    <row r="733" ht="11.25">
      <c r="S733" s="27"/>
    </row>
    <row r="734" ht="11.25">
      <c r="S734" s="27"/>
    </row>
    <row r="735" ht="11.25">
      <c r="S735" s="27"/>
    </row>
    <row r="736" ht="11.25">
      <c r="S736" s="27"/>
    </row>
    <row r="737" ht="11.25">
      <c r="S737" s="27"/>
    </row>
    <row r="738" ht="11.25">
      <c r="S738" s="27"/>
    </row>
    <row r="739" ht="11.25">
      <c r="S739" s="27"/>
    </row>
    <row r="740" ht="11.25">
      <c r="S740" s="27"/>
    </row>
    <row r="741" ht="11.25">
      <c r="S741" s="27"/>
    </row>
    <row r="742" ht="11.25">
      <c r="S742" s="27"/>
    </row>
    <row r="743" ht="11.25">
      <c r="S743" s="27"/>
    </row>
    <row r="744" ht="11.25">
      <c r="S744" s="27"/>
    </row>
    <row r="745" ht="11.25">
      <c r="S745" s="27"/>
    </row>
    <row r="746" ht="11.25">
      <c r="S746" s="27"/>
    </row>
    <row r="747" ht="11.25">
      <c r="S747" s="27"/>
    </row>
    <row r="748" ht="11.25">
      <c r="S748" s="27"/>
    </row>
    <row r="749" ht="11.25">
      <c r="S749" s="27"/>
    </row>
    <row r="750" ht="11.25">
      <c r="S750" s="27"/>
    </row>
    <row r="751" ht="11.25">
      <c r="S751" s="27"/>
    </row>
    <row r="752" ht="11.25">
      <c r="S752" s="27"/>
    </row>
    <row r="753" ht="11.25">
      <c r="S753" s="27"/>
    </row>
    <row r="754" ht="11.25">
      <c r="S754" s="27"/>
    </row>
    <row r="755" ht="11.25">
      <c r="S755" s="27"/>
    </row>
    <row r="756" ht="11.25">
      <c r="S756" s="27"/>
    </row>
    <row r="757" ht="11.25">
      <c r="S757" s="27"/>
    </row>
    <row r="758" ht="11.25">
      <c r="S758" s="27"/>
    </row>
    <row r="759" ht="11.25">
      <c r="S759" s="27"/>
    </row>
    <row r="760" ht="11.25">
      <c r="S760" s="27"/>
    </row>
    <row r="761" ht="11.25">
      <c r="S761" s="27"/>
    </row>
    <row r="762" ht="11.25">
      <c r="S762" s="27"/>
    </row>
    <row r="763" ht="11.25">
      <c r="S763" s="27"/>
    </row>
    <row r="764" ht="11.25">
      <c r="S764" s="27"/>
    </row>
    <row r="765" ht="11.25">
      <c r="S765" s="27"/>
    </row>
    <row r="766" ht="11.25">
      <c r="S766" s="27"/>
    </row>
    <row r="767" ht="11.25">
      <c r="S767" s="27"/>
    </row>
    <row r="768" ht="11.25">
      <c r="S768" s="27"/>
    </row>
    <row r="769" ht="11.25">
      <c r="S769" s="27"/>
    </row>
    <row r="770" ht="11.25">
      <c r="S770" s="27"/>
    </row>
    <row r="771" ht="11.25">
      <c r="S771" s="27"/>
    </row>
    <row r="772" ht="11.25">
      <c r="S772" s="27"/>
    </row>
    <row r="773" ht="11.25">
      <c r="S773" s="27"/>
    </row>
    <row r="774" ht="11.25">
      <c r="S774" s="27"/>
    </row>
    <row r="775" ht="11.25">
      <c r="S775" s="27"/>
    </row>
    <row r="776" ht="11.25">
      <c r="S776" s="27"/>
    </row>
    <row r="777" ht="11.25">
      <c r="S777" s="27"/>
    </row>
    <row r="778" ht="11.25">
      <c r="S778" s="27"/>
    </row>
    <row r="779" ht="11.25">
      <c r="S779" s="27"/>
    </row>
    <row r="780" ht="11.25">
      <c r="S780" s="27"/>
    </row>
    <row r="781" ht="11.25">
      <c r="S781" s="27"/>
    </row>
    <row r="782" ht="11.25">
      <c r="S782" s="27"/>
    </row>
    <row r="783" ht="11.25">
      <c r="S783" s="27"/>
    </row>
    <row r="784" ht="11.25">
      <c r="S784" s="27"/>
    </row>
    <row r="785" ht="11.25">
      <c r="S785" s="27"/>
    </row>
    <row r="786" ht="11.25">
      <c r="S786" s="27"/>
    </row>
    <row r="787" ht="11.25">
      <c r="S787" s="27"/>
    </row>
    <row r="788" ht="11.25">
      <c r="S788" s="27"/>
    </row>
    <row r="789" ht="11.25">
      <c r="S789" s="27"/>
    </row>
    <row r="790" ht="11.25">
      <c r="S790" s="27"/>
    </row>
    <row r="791" ht="11.25">
      <c r="S791" s="27"/>
    </row>
    <row r="792" ht="11.25">
      <c r="S792" s="27"/>
    </row>
    <row r="793" ht="11.25">
      <c r="S793" s="27"/>
    </row>
    <row r="794" ht="11.25">
      <c r="S794" s="27"/>
    </row>
    <row r="795" ht="11.25">
      <c r="S795" s="27"/>
    </row>
    <row r="796" ht="11.25">
      <c r="S796" s="27"/>
    </row>
    <row r="797" ht="11.25">
      <c r="S797" s="27"/>
    </row>
    <row r="798" ht="11.25">
      <c r="S798" s="27"/>
    </row>
    <row r="799" ht="11.25">
      <c r="S799" s="27"/>
    </row>
    <row r="800" ht="11.25">
      <c r="S800" s="27"/>
    </row>
    <row r="801" ht="11.25">
      <c r="S801" s="27"/>
    </row>
    <row r="802" ht="11.25">
      <c r="S802" s="27"/>
    </row>
    <row r="803" ht="11.25">
      <c r="S803" s="27"/>
    </row>
    <row r="804" ht="11.25">
      <c r="S804" s="27"/>
    </row>
    <row r="805" ht="11.25">
      <c r="S805" s="27"/>
    </row>
    <row r="806" ht="11.25">
      <c r="S806" s="27"/>
    </row>
    <row r="807" ht="11.25">
      <c r="S807" s="27"/>
    </row>
    <row r="808" ht="11.25">
      <c r="S808" s="27"/>
    </row>
    <row r="809" ht="11.25">
      <c r="S809" s="27"/>
    </row>
    <row r="810" ht="11.25">
      <c r="S810" s="27"/>
    </row>
    <row r="811" ht="11.25">
      <c r="S811" s="27"/>
    </row>
    <row r="812" ht="11.25">
      <c r="S812" s="27"/>
    </row>
    <row r="813" ht="11.25">
      <c r="S813" s="27"/>
    </row>
    <row r="814" ht="11.25">
      <c r="S814" s="27"/>
    </row>
    <row r="815" ht="11.25">
      <c r="S815" s="27"/>
    </row>
    <row r="816" ht="11.25">
      <c r="S816" s="27"/>
    </row>
    <row r="817" ht="11.25">
      <c r="S817" s="27"/>
    </row>
    <row r="818" ht="11.25">
      <c r="S818" s="27"/>
    </row>
    <row r="819" ht="11.25">
      <c r="S819" s="27"/>
    </row>
    <row r="820" ht="11.25">
      <c r="S820" s="27"/>
    </row>
    <row r="821" ht="11.25">
      <c r="S821" s="27"/>
    </row>
    <row r="822" ht="11.25">
      <c r="S822" s="27"/>
    </row>
    <row r="823" ht="11.25">
      <c r="S823" s="27"/>
    </row>
    <row r="824" ht="11.25">
      <c r="S824" s="27"/>
    </row>
    <row r="825" ht="11.25">
      <c r="S825" s="27"/>
    </row>
    <row r="826" ht="11.25">
      <c r="S826" s="27"/>
    </row>
    <row r="827" ht="11.25">
      <c r="S827" s="27"/>
    </row>
    <row r="828" ht="11.25">
      <c r="S828" s="27"/>
    </row>
    <row r="829" ht="11.25">
      <c r="S829" s="27"/>
    </row>
    <row r="830" ht="11.25">
      <c r="S830" s="27"/>
    </row>
    <row r="831" ht="11.25">
      <c r="S831" s="27"/>
    </row>
    <row r="832" ht="11.25">
      <c r="S832" s="27"/>
    </row>
    <row r="833" ht="11.25">
      <c r="S833" s="27"/>
    </row>
    <row r="834" ht="11.25">
      <c r="S834" s="27"/>
    </row>
    <row r="835" ht="11.25">
      <c r="S835" s="27"/>
    </row>
    <row r="836" ht="11.25">
      <c r="S836" s="27"/>
    </row>
    <row r="837" ht="11.25">
      <c r="S837" s="27"/>
    </row>
    <row r="838" ht="11.25">
      <c r="S838" s="27"/>
    </row>
    <row r="839" ht="11.25">
      <c r="S839" s="27"/>
    </row>
    <row r="840" ht="11.25">
      <c r="S840" s="27"/>
    </row>
    <row r="841" ht="11.25">
      <c r="S841" s="27"/>
    </row>
    <row r="842" ht="11.25">
      <c r="S842" s="27"/>
    </row>
    <row r="843" ht="11.25">
      <c r="S843" s="27"/>
    </row>
    <row r="844" ht="11.25">
      <c r="S844" s="27"/>
    </row>
    <row r="845" ht="11.25">
      <c r="S845" s="27"/>
    </row>
    <row r="846" ht="11.25">
      <c r="S846" s="27"/>
    </row>
    <row r="847" ht="11.25">
      <c r="S847" s="27"/>
    </row>
    <row r="848" ht="11.25">
      <c r="S848" s="27"/>
    </row>
    <row r="849" ht="11.25">
      <c r="S849" s="27"/>
    </row>
    <row r="850" ht="11.25">
      <c r="S850" s="27"/>
    </row>
    <row r="851" ht="11.25">
      <c r="S851" s="27"/>
    </row>
    <row r="852" ht="11.25">
      <c r="S852" s="27"/>
    </row>
    <row r="853" ht="11.25">
      <c r="S853" s="27"/>
    </row>
    <row r="854" ht="11.25">
      <c r="S854" s="27"/>
    </row>
    <row r="855" ht="11.25">
      <c r="S855" s="27"/>
    </row>
    <row r="856" ht="11.25">
      <c r="S856" s="27"/>
    </row>
    <row r="857" ht="11.25">
      <c r="S857" s="27"/>
    </row>
    <row r="858" ht="11.25">
      <c r="S858" s="27"/>
    </row>
    <row r="859" ht="11.25">
      <c r="S859" s="27"/>
    </row>
    <row r="860" ht="11.25">
      <c r="S860" s="27"/>
    </row>
    <row r="861" ht="11.25">
      <c r="S861" s="27"/>
    </row>
    <row r="862" ht="11.25">
      <c r="S862" s="27"/>
    </row>
    <row r="863" ht="11.25">
      <c r="S863" s="27"/>
    </row>
    <row r="864" ht="11.25">
      <c r="S864" s="27"/>
    </row>
    <row r="865" ht="11.25">
      <c r="S865" s="27"/>
    </row>
    <row r="866" ht="11.25">
      <c r="S866" s="27"/>
    </row>
    <row r="867" ht="11.25">
      <c r="S867" s="27"/>
    </row>
    <row r="868" ht="11.25">
      <c r="S868" s="27"/>
    </row>
    <row r="869" ht="11.25">
      <c r="S869" s="27"/>
    </row>
    <row r="870" ht="11.25">
      <c r="S870" s="27"/>
    </row>
    <row r="871" ht="11.25">
      <c r="S871" s="27"/>
    </row>
    <row r="872" ht="11.25">
      <c r="S872" s="27"/>
    </row>
    <row r="873" ht="11.25">
      <c r="S873" s="27"/>
    </row>
    <row r="874" ht="11.25">
      <c r="S874" s="27"/>
    </row>
    <row r="875" ht="11.25">
      <c r="S875" s="27"/>
    </row>
    <row r="876" ht="11.25">
      <c r="S876" s="27"/>
    </row>
    <row r="877" ht="11.25">
      <c r="S877" s="27"/>
    </row>
    <row r="878" ht="11.25">
      <c r="S878" s="27"/>
    </row>
    <row r="879" ht="11.25">
      <c r="S879" s="27"/>
    </row>
    <row r="880" ht="11.25">
      <c r="S880" s="27"/>
    </row>
    <row r="881" ht="11.25">
      <c r="S881" s="27"/>
    </row>
    <row r="882" ht="11.25">
      <c r="S882" s="27"/>
    </row>
    <row r="883" ht="11.25">
      <c r="S883" s="27"/>
    </row>
    <row r="884" ht="11.25">
      <c r="S884" s="27"/>
    </row>
    <row r="885" ht="11.25">
      <c r="S885" s="27"/>
    </row>
    <row r="886" ht="11.25">
      <c r="S886" s="27"/>
    </row>
    <row r="887" ht="11.25">
      <c r="S887" s="27"/>
    </row>
    <row r="888" ht="11.25">
      <c r="S888" s="27"/>
    </row>
    <row r="889" ht="11.25">
      <c r="S889" s="27"/>
    </row>
    <row r="890" ht="11.25">
      <c r="S890" s="27"/>
    </row>
    <row r="891" ht="11.25">
      <c r="S891" s="27"/>
    </row>
    <row r="892" ht="11.25">
      <c r="S892" s="27"/>
    </row>
    <row r="893" ht="11.25">
      <c r="S893" s="27"/>
    </row>
    <row r="894" ht="11.25">
      <c r="S894" s="27"/>
    </row>
    <row r="895" ht="11.25">
      <c r="S895" s="27"/>
    </row>
    <row r="896" ht="11.25">
      <c r="S896" s="27"/>
    </row>
    <row r="897" ht="11.25">
      <c r="S897" s="27"/>
    </row>
    <row r="898" ht="11.25">
      <c r="S898" s="27"/>
    </row>
    <row r="899" ht="11.25">
      <c r="S899" s="27"/>
    </row>
    <row r="900" ht="11.25">
      <c r="S900" s="27"/>
    </row>
    <row r="901" ht="11.25">
      <c r="S901" s="27"/>
    </row>
    <row r="902" ht="11.25">
      <c r="S902" s="27"/>
    </row>
    <row r="903" ht="11.25">
      <c r="S903" s="27"/>
    </row>
    <row r="904" ht="11.25">
      <c r="S904" s="27"/>
    </row>
    <row r="905" ht="11.25">
      <c r="S905" s="27"/>
    </row>
    <row r="906" ht="11.25">
      <c r="S906" s="27"/>
    </row>
    <row r="907" ht="11.25">
      <c r="S907" s="27"/>
    </row>
    <row r="908" ht="11.25">
      <c r="S908" s="27"/>
    </row>
    <row r="909" ht="11.25">
      <c r="S909" s="27"/>
    </row>
    <row r="910" ht="11.25">
      <c r="S910" s="27"/>
    </row>
    <row r="911" ht="11.25">
      <c r="S911" s="27"/>
    </row>
    <row r="912" ht="11.25">
      <c r="S912" s="27"/>
    </row>
    <row r="913" ht="11.25">
      <c r="S913" s="27"/>
    </row>
    <row r="914" ht="11.25">
      <c r="S914" s="27"/>
    </row>
    <row r="915" ht="11.25">
      <c r="S915" s="27"/>
    </row>
    <row r="916" ht="11.25">
      <c r="S916" s="27"/>
    </row>
    <row r="917" ht="11.25">
      <c r="S917" s="27"/>
    </row>
    <row r="918" ht="11.25">
      <c r="S918" s="27"/>
    </row>
    <row r="919" ht="11.25">
      <c r="S919" s="27"/>
    </row>
    <row r="920" ht="11.25">
      <c r="S920" s="27"/>
    </row>
    <row r="921" ht="11.25">
      <c r="S921" s="27"/>
    </row>
    <row r="922" ht="11.25">
      <c r="S922" s="27"/>
    </row>
    <row r="923" ht="11.25">
      <c r="S923" s="27"/>
    </row>
    <row r="924" ht="11.25">
      <c r="S924" s="27"/>
    </row>
    <row r="925" ht="11.25">
      <c r="S925" s="27"/>
    </row>
    <row r="926" ht="11.25">
      <c r="S926" s="27"/>
    </row>
    <row r="927" ht="11.25">
      <c r="S927" s="27"/>
    </row>
    <row r="928" ht="11.25">
      <c r="S928" s="27"/>
    </row>
    <row r="929" ht="11.25">
      <c r="S929" s="27"/>
    </row>
    <row r="930" ht="11.25">
      <c r="S930" s="27"/>
    </row>
    <row r="931" ht="11.25">
      <c r="S931" s="27"/>
    </row>
    <row r="932" ht="11.25">
      <c r="S932" s="27"/>
    </row>
    <row r="933" ht="11.25">
      <c r="S933" s="27"/>
    </row>
    <row r="934" ht="11.25">
      <c r="S934" s="27"/>
    </row>
    <row r="935" ht="11.25">
      <c r="S935" s="27"/>
    </row>
    <row r="936" ht="11.25">
      <c r="S936" s="27"/>
    </row>
    <row r="937" ht="11.25">
      <c r="S937" s="27"/>
    </row>
    <row r="938" ht="11.25">
      <c r="S938" s="27"/>
    </row>
    <row r="939" ht="11.25">
      <c r="S939" s="27"/>
    </row>
    <row r="940" ht="11.25">
      <c r="S940" s="27"/>
    </row>
    <row r="941" ht="11.25">
      <c r="S941" s="27"/>
    </row>
    <row r="942" ht="11.25">
      <c r="S942" s="27"/>
    </row>
    <row r="943" ht="11.25">
      <c r="S943" s="27"/>
    </row>
    <row r="944" ht="11.25">
      <c r="S944" s="27"/>
    </row>
    <row r="945" ht="11.25">
      <c r="S945" s="27"/>
    </row>
    <row r="946" ht="11.25">
      <c r="S946" s="27"/>
    </row>
    <row r="947" ht="11.25">
      <c r="S947" s="27"/>
    </row>
    <row r="948" ht="11.25">
      <c r="S948" s="27"/>
    </row>
    <row r="949" ht="11.25">
      <c r="S949" s="27"/>
    </row>
    <row r="950" ht="11.25">
      <c r="S950" s="27"/>
    </row>
    <row r="951" ht="11.25">
      <c r="S951" s="27"/>
    </row>
    <row r="952" ht="11.25">
      <c r="S952" s="27"/>
    </row>
    <row r="953" ht="11.25">
      <c r="S953" s="27"/>
    </row>
    <row r="954" ht="11.25">
      <c r="S954" s="27"/>
    </row>
    <row r="955" ht="11.25">
      <c r="S955" s="27"/>
    </row>
    <row r="956" ht="11.25">
      <c r="S956" s="27"/>
    </row>
    <row r="957" ht="11.25">
      <c r="S957" s="27"/>
    </row>
    <row r="958" ht="11.25">
      <c r="S958" s="27"/>
    </row>
    <row r="959" ht="11.25">
      <c r="S959" s="27"/>
    </row>
    <row r="960" ht="11.25">
      <c r="S960" s="27"/>
    </row>
    <row r="961" ht="11.25">
      <c r="S961" s="27"/>
    </row>
    <row r="962" ht="11.25">
      <c r="S962" s="27"/>
    </row>
    <row r="963" ht="11.25">
      <c r="S963" s="27"/>
    </row>
    <row r="964" ht="11.25">
      <c r="S964" s="27"/>
    </row>
    <row r="965" ht="11.25">
      <c r="S965" s="27"/>
    </row>
    <row r="966" ht="11.25">
      <c r="S966" s="27"/>
    </row>
    <row r="967" ht="11.25">
      <c r="S967" s="27"/>
    </row>
    <row r="968" ht="11.25">
      <c r="S968" s="27"/>
    </row>
    <row r="969" ht="11.25">
      <c r="S969" s="27"/>
    </row>
    <row r="970" ht="11.25">
      <c r="S970" s="27"/>
    </row>
    <row r="971" ht="11.25">
      <c r="S971" s="27"/>
    </row>
    <row r="972" ht="11.25">
      <c r="S972" s="27"/>
    </row>
    <row r="973" ht="11.25">
      <c r="S973" s="27"/>
    </row>
    <row r="974" ht="11.25">
      <c r="S974" s="27"/>
    </row>
    <row r="975" ht="11.25">
      <c r="S975" s="27"/>
    </row>
    <row r="976" ht="11.25">
      <c r="S976" s="27"/>
    </row>
    <row r="977" ht="11.25">
      <c r="S977" s="27"/>
    </row>
    <row r="978" ht="11.25">
      <c r="S978" s="27"/>
    </row>
    <row r="979" ht="11.25">
      <c r="S979" s="27"/>
    </row>
    <row r="980" ht="11.25">
      <c r="S980" s="27"/>
    </row>
    <row r="981" ht="11.25">
      <c r="S981" s="27"/>
    </row>
    <row r="982" ht="11.25">
      <c r="S982" s="27"/>
    </row>
    <row r="983" ht="11.25">
      <c r="S983" s="27"/>
    </row>
    <row r="984" ht="11.25">
      <c r="S984" s="27"/>
    </row>
    <row r="985" ht="11.25">
      <c r="S985" s="27"/>
    </row>
    <row r="986" ht="11.25">
      <c r="S986" s="27"/>
    </row>
    <row r="987" ht="11.25">
      <c r="S987" s="27"/>
    </row>
    <row r="988" ht="11.25">
      <c r="S988" s="27"/>
    </row>
    <row r="989" ht="11.25">
      <c r="S989" s="27"/>
    </row>
    <row r="990" ht="11.25">
      <c r="S990" s="27"/>
    </row>
    <row r="991" ht="11.25">
      <c r="S991" s="27"/>
    </row>
    <row r="992" ht="11.25">
      <c r="S992" s="27"/>
    </row>
    <row r="993" ht="11.25">
      <c r="S993" s="27"/>
    </row>
    <row r="994" ht="11.25">
      <c r="S994" s="27"/>
    </row>
    <row r="995" ht="11.25">
      <c r="S995" s="27"/>
    </row>
    <row r="996" ht="11.25">
      <c r="S996" s="27"/>
    </row>
    <row r="997" ht="11.25">
      <c r="S997" s="27"/>
    </row>
    <row r="998" ht="11.25">
      <c r="S998" s="27"/>
    </row>
    <row r="999" ht="11.25">
      <c r="S999" s="27"/>
    </row>
    <row r="1000" ht="11.25">
      <c r="S1000" s="27"/>
    </row>
    <row r="1001" ht="11.25">
      <c r="S1001" s="27"/>
    </row>
    <row r="1002" ht="11.25">
      <c r="S1002" s="27"/>
    </row>
    <row r="1003" ht="11.25">
      <c r="S1003" s="27"/>
    </row>
    <row r="1004" ht="11.25">
      <c r="S1004" s="27"/>
    </row>
    <row r="1005" ht="11.25">
      <c r="S1005" s="27"/>
    </row>
    <row r="1006" ht="11.25">
      <c r="S1006" s="27"/>
    </row>
    <row r="1007" ht="11.25">
      <c r="S1007" s="27"/>
    </row>
    <row r="1008" ht="11.25">
      <c r="S1008" s="27"/>
    </row>
    <row r="1009" ht="11.25">
      <c r="S1009" s="27"/>
    </row>
    <row r="1010" ht="11.25">
      <c r="S1010" s="27"/>
    </row>
    <row r="1011" ht="11.25">
      <c r="S1011" s="27"/>
    </row>
    <row r="1012" ht="11.25">
      <c r="S1012" s="27"/>
    </row>
    <row r="1013" ht="11.25">
      <c r="S1013" s="27"/>
    </row>
    <row r="1014" ht="11.25">
      <c r="S1014" s="27"/>
    </row>
    <row r="1015" ht="11.25">
      <c r="S1015" s="27"/>
    </row>
    <row r="1016" ht="11.25">
      <c r="S1016" s="27"/>
    </row>
    <row r="1017" ht="11.25">
      <c r="S1017" s="27"/>
    </row>
    <row r="1018" ht="11.25">
      <c r="S1018" s="27"/>
    </row>
    <row r="1019" ht="11.25">
      <c r="S1019" s="27"/>
    </row>
    <row r="1020" ht="11.25">
      <c r="S1020" s="27"/>
    </row>
    <row r="1021" ht="11.25">
      <c r="S1021" s="27"/>
    </row>
    <row r="1022" ht="11.25">
      <c r="S1022" s="27"/>
    </row>
    <row r="1023" ht="11.25">
      <c r="S1023" s="27"/>
    </row>
    <row r="1024" ht="11.25">
      <c r="S1024" s="27"/>
    </row>
    <row r="1025" ht="11.25">
      <c r="S1025" s="27"/>
    </row>
    <row r="1026" ht="11.25">
      <c r="S1026" s="27"/>
    </row>
    <row r="1027" ht="11.25">
      <c r="S1027" s="27"/>
    </row>
    <row r="1028" ht="11.25">
      <c r="S1028" s="27"/>
    </row>
    <row r="1029" ht="11.25">
      <c r="S1029" s="27"/>
    </row>
    <row r="1030" ht="11.25">
      <c r="S1030" s="27"/>
    </row>
    <row r="1031" ht="11.25">
      <c r="S1031" s="27"/>
    </row>
    <row r="1032" ht="11.25">
      <c r="S1032" s="27"/>
    </row>
    <row r="1033" ht="11.25">
      <c r="S1033" s="27"/>
    </row>
    <row r="1034" ht="11.25">
      <c r="S1034" s="27"/>
    </row>
    <row r="1035" ht="11.25">
      <c r="S1035" s="27"/>
    </row>
    <row r="1036" ht="11.25">
      <c r="S1036" s="27"/>
    </row>
    <row r="1037" ht="11.25">
      <c r="S1037" s="27"/>
    </row>
    <row r="1038" ht="11.25">
      <c r="S1038" s="27"/>
    </row>
    <row r="1039" ht="11.25">
      <c r="S1039" s="27"/>
    </row>
    <row r="1040" ht="11.25">
      <c r="S1040" s="27"/>
    </row>
    <row r="1041" ht="11.25">
      <c r="S1041" s="27"/>
    </row>
    <row r="1042" ht="11.25">
      <c r="S1042" s="27"/>
    </row>
    <row r="1043" ht="11.25">
      <c r="S1043" s="27"/>
    </row>
    <row r="1044" ht="11.25">
      <c r="S1044" s="27"/>
    </row>
    <row r="1045" ht="11.25">
      <c r="S1045" s="27"/>
    </row>
    <row r="1046" ht="11.25">
      <c r="S1046" s="27"/>
    </row>
    <row r="1047" ht="11.25">
      <c r="S1047" s="27"/>
    </row>
    <row r="1048" ht="11.25">
      <c r="S1048" s="27"/>
    </row>
    <row r="1049" ht="11.25">
      <c r="S1049" s="27"/>
    </row>
    <row r="1050" ht="11.25">
      <c r="S1050" s="27"/>
    </row>
    <row r="1051" ht="11.25">
      <c r="S1051" s="27"/>
    </row>
    <row r="1052" ht="11.25">
      <c r="S1052" s="27"/>
    </row>
    <row r="1053" ht="11.25">
      <c r="S1053" s="27"/>
    </row>
    <row r="1054" ht="11.25">
      <c r="S1054" s="27"/>
    </row>
    <row r="1055" ht="11.25">
      <c r="S1055" s="27"/>
    </row>
    <row r="1056" ht="11.25">
      <c r="S1056" s="27"/>
    </row>
    <row r="1057" ht="11.25">
      <c r="S1057" s="27"/>
    </row>
    <row r="1058" ht="11.25">
      <c r="S1058" s="27"/>
    </row>
    <row r="1059" ht="11.25">
      <c r="S1059" s="27"/>
    </row>
    <row r="1060" ht="11.25">
      <c r="S1060" s="27"/>
    </row>
    <row r="1061" ht="11.25">
      <c r="S1061" s="27"/>
    </row>
    <row r="1062" ht="11.25">
      <c r="S1062" s="27"/>
    </row>
    <row r="1063" ht="11.25">
      <c r="S1063" s="27"/>
    </row>
    <row r="1064" ht="11.25">
      <c r="S1064" s="27"/>
    </row>
    <row r="1065" ht="11.25">
      <c r="S1065" s="27"/>
    </row>
    <row r="1066" ht="11.25">
      <c r="S1066" s="27"/>
    </row>
    <row r="1067" ht="11.25">
      <c r="S1067" s="27"/>
    </row>
    <row r="1068" ht="11.25">
      <c r="S1068" s="27"/>
    </row>
    <row r="1069" ht="11.25">
      <c r="S1069" s="27"/>
    </row>
    <row r="1070" ht="11.25">
      <c r="S1070" s="27"/>
    </row>
    <row r="1071" ht="11.25">
      <c r="S1071" s="27"/>
    </row>
    <row r="1072" ht="11.25">
      <c r="S1072" s="27"/>
    </row>
    <row r="1073" ht="11.25">
      <c r="S1073" s="27"/>
    </row>
    <row r="1074" ht="11.25">
      <c r="S1074" s="27"/>
    </row>
    <row r="1075" ht="11.25">
      <c r="S1075" s="27"/>
    </row>
    <row r="1076" ht="11.25">
      <c r="S1076" s="27"/>
    </row>
    <row r="1077" ht="11.25">
      <c r="S1077" s="27"/>
    </row>
    <row r="1078" ht="11.25">
      <c r="S1078" s="27"/>
    </row>
    <row r="1079" ht="11.25">
      <c r="S1079" s="27"/>
    </row>
    <row r="1080" ht="11.25">
      <c r="S1080" s="27"/>
    </row>
    <row r="1081" ht="11.25">
      <c r="S1081" s="27"/>
    </row>
    <row r="1082" ht="11.25">
      <c r="S1082" s="27"/>
    </row>
    <row r="1083" ht="11.25">
      <c r="S1083" s="27"/>
    </row>
    <row r="1084" ht="11.25">
      <c r="S1084" s="27"/>
    </row>
    <row r="1085" ht="11.25">
      <c r="S1085" s="27"/>
    </row>
    <row r="1086" ht="11.25">
      <c r="S1086" s="27"/>
    </row>
    <row r="1087" ht="11.25">
      <c r="S1087" s="27"/>
    </row>
    <row r="1088" ht="11.25">
      <c r="S1088" s="27"/>
    </row>
    <row r="1089" ht="11.25">
      <c r="S1089" s="27"/>
    </row>
    <row r="1090" ht="11.25">
      <c r="S1090" s="27"/>
    </row>
    <row r="1091" ht="11.25">
      <c r="S1091" s="27"/>
    </row>
    <row r="1092" ht="11.25">
      <c r="S1092" s="27"/>
    </row>
    <row r="1093" ht="11.25">
      <c r="S1093" s="27"/>
    </row>
    <row r="1094" ht="11.25">
      <c r="S1094" s="27"/>
    </row>
    <row r="1095" ht="11.25">
      <c r="S1095" s="27"/>
    </row>
    <row r="1096" ht="11.25">
      <c r="S1096" s="27"/>
    </row>
    <row r="1097" ht="11.25">
      <c r="S1097" s="27"/>
    </row>
    <row r="1098" ht="11.25">
      <c r="S1098" s="27"/>
    </row>
    <row r="1099" ht="11.25">
      <c r="S1099" s="27"/>
    </row>
    <row r="1100" ht="11.25">
      <c r="S1100" s="27"/>
    </row>
    <row r="1101" ht="11.25">
      <c r="S1101" s="27"/>
    </row>
    <row r="1102" ht="11.25">
      <c r="S1102" s="27"/>
    </row>
    <row r="1103" ht="11.25">
      <c r="S1103" s="27"/>
    </row>
    <row r="1104" ht="11.25">
      <c r="S1104" s="27"/>
    </row>
    <row r="1105" ht="11.25">
      <c r="S1105" s="27"/>
    </row>
    <row r="1106" ht="11.25">
      <c r="S1106" s="27"/>
    </row>
    <row r="1107" ht="11.25">
      <c r="S1107" s="27"/>
    </row>
    <row r="1108" ht="11.25">
      <c r="S1108" s="27"/>
    </row>
    <row r="1109" ht="11.25">
      <c r="S1109" s="27"/>
    </row>
    <row r="1110" ht="11.25">
      <c r="S1110" s="27"/>
    </row>
    <row r="1111" ht="11.25">
      <c r="S1111" s="27"/>
    </row>
    <row r="1112" ht="11.25">
      <c r="S1112" s="27"/>
    </row>
    <row r="1113" ht="11.25">
      <c r="S1113" s="27"/>
    </row>
    <row r="1114" ht="11.25">
      <c r="S1114" s="27"/>
    </row>
    <row r="1115" ht="11.25">
      <c r="S1115" s="27"/>
    </row>
    <row r="1116" ht="11.25">
      <c r="S1116" s="27"/>
    </row>
    <row r="1117" ht="11.25">
      <c r="S1117" s="27"/>
    </row>
    <row r="1118" ht="11.25">
      <c r="S1118" s="27"/>
    </row>
    <row r="1119" ht="11.25">
      <c r="S1119" s="27"/>
    </row>
    <row r="1120" ht="11.25">
      <c r="S1120" s="27"/>
    </row>
    <row r="1121" ht="11.25">
      <c r="S1121" s="27"/>
    </row>
    <row r="1122" ht="11.25">
      <c r="S1122" s="27"/>
    </row>
    <row r="1123" ht="11.25">
      <c r="S1123" s="27"/>
    </row>
    <row r="1124" ht="11.25">
      <c r="S1124" s="27"/>
    </row>
    <row r="1125" ht="11.25">
      <c r="S1125" s="27"/>
    </row>
    <row r="1126" ht="11.25">
      <c r="S1126" s="27"/>
    </row>
    <row r="1127" ht="11.25">
      <c r="S1127" s="27"/>
    </row>
    <row r="1128" ht="11.25">
      <c r="S1128" s="27"/>
    </row>
    <row r="1129" ht="11.25">
      <c r="S1129" s="27"/>
    </row>
    <row r="1130" ht="11.25">
      <c r="S1130" s="27"/>
    </row>
    <row r="1131" ht="11.25">
      <c r="S1131" s="27"/>
    </row>
    <row r="1132" ht="11.25">
      <c r="S1132" s="27"/>
    </row>
    <row r="1133" ht="11.25">
      <c r="S1133" s="27"/>
    </row>
    <row r="1134" ht="11.25">
      <c r="S1134" s="27"/>
    </row>
    <row r="1135" ht="11.25">
      <c r="S1135" s="27"/>
    </row>
    <row r="1136" ht="11.25">
      <c r="S1136" s="27"/>
    </row>
    <row r="1137" ht="11.25">
      <c r="S1137" s="27"/>
    </row>
    <row r="1138" ht="11.25">
      <c r="S1138" s="27"/>
    </row>
    <row r="1139" ht="11.25">
      <c r="S1139" s="27"/>
    </row>
    <row r="1140" ht="11.25">
      <c r="S1140" s="27"/>
    </row>
    <row r="1141" ht="11.25">
      <c r="S1141" s="27"/>
    </row>
    <row r="1142" ht="11.25">
      <c r="S1142" s="27"/>
    </row>
    <row r="1143" ht="11.25">
      <c r="S1143" s="27"/>
    </row>
    <row r="1144" ht="11.25">
      <c r="S1144" s="27"/>
    </row>
    <row r="1145" ht="11.25">
      <c r="S1145" s="27"/>
    </row>
    <row r="1146" ht="11.25">
      <c r="S1146" s="27"/>
    </row>
    <row r="1147" ht="11.25">
      <c r="S1147" s="27"/>
    </row>
    <row r="1148" ht="11.25">
      <c r="S1148" s="27"/>
    </row>
    <row r="1149" ht="11.25">
      <c r="S1149" s="27"/>
    </row>
    <row r="1150" ht="11.25">
      <c r="S1150" s="27"/>
    </row>
    <row r="1151" ht="11.25">
      <c r="S1151" s="27"/>
    </row>
    <row r="1152" ht="11.25">
      <c r="S1152" s="27"/>
    </row>
    <row r="1153" ht="11.25">
      <c r="S1153" s="27"/>
    </row>
    <row r="1154" ht="11.25">
      <c r="S1154" s="27"/>
    </row>
    <row r="1155" ht="11.25">
      <c r="S1155" s="27"/>
    </row>
    <row r="1156" ht="11.25">
      <c r="S1156" s="27"/>
    </row>
    <row r="1157" ht="11.25">
      <c r="S1157" s="27"/>
    </row>
    <row r="1158" ht="11.25">
      <c r="S1158" s="27"/>
    </row>
    <row r="1159" ht="11.25">
      <c r="S1159" s="27"/>
    </row>
    <row r="1160" ht="11.25">
      <c r="S1160" s="27"/>
    </row>
    <row r="1161" ht="11.25">
      <c r="S1161" s="27"/>
    </row>
    <row r="1162" ht="11.25">
      <c r="S1162" s="27"/>
    </row>
    <row r="1163" ht="11.25">
      <c r="S1163" s="27"/>
    </row>
    <row r="1164" ht="11.25">
      <c r="S1164" s="27"/>
    </row>
    <row r="1165" ht="11.25">
      <c r="S1165" s="27"/>
    </row>
    <row r="1166" ht="11.25">
      <c r="S1166" s="27"/>
    </row>
    <row r="1167" ht="11.25">
      <c r="S1167" s="27"/>
    </row>
    <row r="1168" ht="11.25">
      <c r="S1168" s="27"/>
    </row>
    <row r="1169" ht="11.25">
      <c r="S1169" s="27"/>
    </row>
    <row r="1170" ht="11.25">
      <c r="S1170" s="27"/>
    </row>
    <row r="1171" ht="11.25">
      <c r="S1171" s="27"/>
    </row>
    <row r="1172" ht="11.25">
      <c r="S1172" s="27"/>
    </row>
    <row r="1173" ht="11.25">
      <c r="S1173" s="27"/>
    </row>
    <row r="1174" ht="11.25">
      <c r="S1174" s="27"/>
    </row>
    <row r="1175" ht="11.25">
      <c r="S1175" s="27"/>
    </row>
    <row r="1176" ht="11.25">
      <c r="S1176" s="27"/>
    </row>
    <row r="1177" ht="11.25">
      <c r="S1177" s="27"/>
    </row>
    <row r="1178" ht="11.25">
      <c r="S1178" s="27"/>
    </row>
    <row r="1179" ht="11.25">
      <c r="S1179" s="27"/>
    </row>
    <row r="1180" ht="11.25">
      <c r="S1180" s="27"/>
    </row>
    <row r="1181" ht="11.25">
      <c r="S1181" s="27"/>
    </row>
    <row r="1182" ht="11.25">
      <c r="S1182" s="27"/>
    </row>
    <row r="1183" ht="11.25">
      <c r="S1183" s="27"/>
    </row>
    <row r="1184" ht="11.25">
      <c r="S1184" s="27"/>
    </row>
    <row r="1185" ht="11.25">
      <c r="S1185" s="27"/>
    </row>
    <row r="1186" ht="11.25">
      <c r="S1186" s="27"/>
    </row>
    <row r="1187" ht="11.25">
      <c r="S1187" s="27"/>
    </row>
    <row r="1188" ht="11.25">
      <c r="S1188" s="27"/>
    </row>
    <row r="1189" ht="11.25">
      <c r="S1189" s="27"/>
    </row>
    <row r="1190" ht="11.25">
      <c r="S1190" s="27"/>
    </row>
    <row r="1191" ht="11.25">
      <c r="S1191" s="27"/>
    </row>
    <row r="1192" ht="11.25">
      <c r="S1192" s="27"/>
    </row>
    <row r="1193" ht="11.25">
      <c r="S1193" s="27"/>
    </row>
    <row r="1194" ht="11.25">
      <c r="S1194" s="27"/>
    </row>
    <row r="1195" ht="11.25">
      <c r="S1195" s="27"/>
    </row>
    <row r="1196" ht="11.25">
      <c r="S1196" s="27"/>
    </row>
    <row r="1197" ht="11.25">
      <c r="S1197" s="27"/>
    </row>
    <row r="1198" ht="11.25">
      <c r="S1198" s="27"/>
    </row>
    <row r="1199" ht="11.25">
      <c r="S1199" s="27"/>
    </row>
    <row r="1200" ht="11.25">
      <c r="S1200" s="27"/>
    </row>
    <row r="1201" ht="11.25">
      <c r="S1201" s="27"/>
    </row>
    <row r="1202" ht="11.25">
      <c r="S1202" s="27"/>
    </row>
    <row r="1203" ht="11.25">
      <c r="S1203" s="27"/>
    </row>
    <row r="1204" ht="11.25">
      <c r="S1204" s="27"/>
    </row>
    <row r="1205" ht="11.25">
      <c r="S1205" s="27"/>
    </row>
    <row r="1206" ht="11.25">
      <c r="S1206" s="27"/>
    </row>
    <row r="1207" ht="11.25">
      <c r="S1207" s="27"/>
    </row>
    <row r="1208" ht="11.25">
      <c r="S1208" s="27"/>
    </row>
    <row r="1209" ht="11.25">
      <c r="S1209" s="27"/>
    </row>
    <row r="1210" ht="11.25">
      <c r="S1210" s="27"/>
    </row>
    <row r="1211" ht="11.25">
      <c r="S1211" s="27"/>
    </row>
    <row r="1212" ht="11.25">
      <c r="S1212" s="27"/>
    </row>
    <row r="1213" ht="11.25">
      <c r="S1213" s="27"/>
    </row>
    <row r="1214" ht="11.25">
      <c r="S1214" s="27"/>
    </row>
    <row r="1215" ht="11.25">
      <c r="S1215" s="27"/>
    </row>
    <row r="1216" ht="11.25">
      <c r="S1216" s="27"/>
    </row>
    <row r="1217" ht="11.25">
      <c r="S1217" s="27"/>
    </row>
    <row r="1218" ht="11.25">
      <c r="S1218" s="27"/>
    </row>
    <row r="1219" ht="11.25">
      <c r="S1219" s="27"/>
    </row>
    <row r="1220" ht="11.25">
      <c r="S1220" s="27"/>
    </row>
    <row r="1221" ht="11.25">
      <c r="S1221" s="27"/>
    </row>
    <row r="1222" ht="11.25">
      <c r="S1222" s="27"/>
    </row>
    <row r="1223" ht="11.25">
      <c r="S1223" s="27"/>
    </row>
    <row r="1224" ht="11.25">
      <c r="S1224" s="27"/>
    </row>
    <row r="1225" ht="11.25">
      <c r="S1225" s="27"/>
    </row>
    <row r="1226" ht="11.25">
      <c r="S1226" s="27"/>
    </row>
    <row r="1227" ht="11.25">
      <c r="S1227" s="27"/>
    </row>
    <row r="1228" ht="11.25">
      <c r="S1228" s="27"/>
    </row>
    <row r="1229" ht="11.25">
      <c r="S1229" s="27"/>
    </row>
    <row r="1230" ht="11.25">
      <c r="S1230" s="27"/>
    </row>
    <row r="1231" ht="11.25">
      <c r="S1231" s="27"/>
    </row>
    <row r="1232" ht="11.25">
      <c r="S1232" s="27"/>
    </row>
    <row r="1233" ht="11.25">
      <c r="S1233" s="27"/>
    </row>
    <row r="1234" ht="11.25">
      <c r="S1234" s="27"/>
    </row>
    <row r="1235" ht="11.25">
      <c r="S1235" s="27"/>
    </row>
    <row r="1236" ht="11.25">
      <c r="S1236" s="27"/>
    </row>
    <row r="1237" ht="11.25">
      <c r="S1237" s="27"/>
    </row>
    <row r="1238" ht="11.25">
      <c r="S1238" s="27"/>
    </row>
    <row r="1239" ht="11.25">
      <c r="S1239" s="27"/>
    </row>
    <row r="1240" ht="11.25">
      <c r="S1240" s="27"/>
    </row>
    <row r="1241" ht="11.25">
      <c r="S1241" s="27"/>
    </row>
    <row r="1242" ht="11.25">
      <c r="S1242" s="27"/>
    </row>
    <row r="1243" ht="11.25">
      <c r="S1243" s="27"/>
    </row>
    <row r="1244" ht="11.25">
      <c r="S1244" s="27"/>
    </row>
    <row r="1245" ht="11.25">
      <c r="S1245" s="27"/>
    </row>
    <row r="1246" ht="11.25">
      <c r="S1246" s="27"/>
    </row>
    <row r="1247" ht="11.25">
      <c r="S1247" s="27"/>
    </row>
    <row r="1248" ht="11.25">
      <c r="S1248" s="27"/>
    </row>
    <row r="1249" ht="11.25">
      <c r="S1249" s="27"/>
    </row>
    <row r="1250" ht="11.25">
      <c r="S1250" s="27"/>
    </row>
    <row r="1251" ht="11.25">
      <c r="S1251" s="27"/>
    </row>
    <row r="1252" ht="11.25">
      <c r="S1252" s="27"/>
    </row>
    <row r="1253" ht="11.25">
      <c r="S1253" s="27"/>
    </row>
    <row r="1254" ht="11.25">
      <c r="S1254" s="27"/>
    </row>
    <row r="1255" ht="11.25">
      <c r="S1255" s="27"/>
    </row>
    <row r="1256" ht="11.25">
      <c r="S1256" s="27"/>
    </row>
    <row r="1257" ht="11.25">
      <c r="S1257" s="27"/>
    </row>
    <row r="1258" ht="11.25">
      <c r="S1258" s="27"/>
    </row>
    <row r="1259" ht="11.25">
      <c r="S1259" s="27"/>
    </row>
    <row r="1260" ht="11.25">
      <c r="S1260" s="27"/>
    </row>
    <row r="1261" ht="11.25">
      <c r="S1261" s="27"/>
    </row>
    <row r="1262" ht="11.25">
      <c r="S1262" s="27"/>
    </row>
    <row r="1263" ht="11.25">
      <c r="S1263" s="27"/>
    </row>
    <row r="1264" ht="11.25">
      <c r="S1264" s="27"/>
    </row>
    <row r="1265" ht="11.25">
      <c r="S1265" s="27"/>
    </row>
    <row r="1266" ht="11.25">
      <c r="S1266" s="27"/>
    </row>
    <row r="1267" ht="11.25">
      <c r="S1267" s="27"/>
    </row>
    <row r="1268" ht="11.25">
      <c r="S1268" s="27"/>
    </row>
    <row r="1269" ht="11.25">
      <c r="S1269" s="27"/>
    </row>
    <row r="1270" ht="11.25">
      <c r="S1270" s="27"/>
    </row>
    <row r="1271" ht="11.25">
      <c r="S1271" s="27"/>
    </row>
    <row r="1272" ht="11.25">
      <c r="S1272" s="27"/>
    </row>
    <row r="1273" ht="11.25">
      <c r="S1273" s="27"/>
    </row>
    <row r="1274" ht="11.25">
      <c r="S1274" s="27"/>
    </row>
    <row r="1275" ht="11.25">
      <c r="S1275" s="27"/>
    </row>
    <row r="1276" ht="11.25">
      <c r="S1276" s="27"/>
    </row>
    <row r="1277" ht="11.25">
      <c r="S1277" s="27"/>
    </row>
    <row r="1278" ht="11.25">
      <c r="S1278" s="27"/>
    </row>
    <row r="1279" ht="11.25">
      <c r="S1279" s="27"/>
    </row>
    <row r="1280" ht="11.25">
      <c r="S1280" s="27"/>
    </row>
    <row r="1281" ht="11.25">
      <c r="S1281" s="27"/>
    </row>
    <row r="1282" ht="11.25">
      <c r="S1282" s="27"/>
    </row>
    <row r="1283" ht="11.25">
      <c r="S1283" s="27"/>
    </row>
    <row r="1284" ht="11.25">
      <c r="S1284" s="27"/>
    </row>
    <row r="1285" ht="11.25">
      <c r="S1285" s="27"/>
    </row>
    <row r="1286" ht="11.25">
      <c r="S1286" s="27"/>
    </row>
    <row r="1287" ht="11.25">
      <c r="S1287" s="27"/>
    </row>
    <row r="1288" ht="11.25">
      <c r="S1288" s="27"/>
    </row>
    <row r="1289" ht="11.25">
      <c r="S1289" s="27"/>
    </row>
    <row r="1290" ht="11.25">
      <c r="S1290" s="27"/>
    </row>
    <row r="1291" ht="11.25">
      <c r="S1291" s="27"/>
    </row>
    <row r="1292" ht="11.25">
      <c r="S1292" s="27"/>
    </row>
    <row r="1293" ht="11.25">
      <c r="S1293" s="27"/>
    </row>
    <row r="1294" ht="11.25">
      <c r="S1294" s="27"/>
    </row>
    <row r="1295" ht="11.25">
      <c r="S1295" s="27"/>
    </row>
    <row r="1296" ht="11.25">
      <c r="S1296" s="27"/>
    </row>
    <row r="1297" ht="11.25">
      <c r="S1297" s="27"/>
    </row>
    <row r="1298" ht="11.25">
      <c r="S1298" s="27"/>
    </row>
    <row r="1299" ht="11.25">
      <c r="S1299" s="27"/>
    </row>
    <row r="1300" ht="11.25">
      <c r="S1300" s="27"/>
    </row>
    <row r="1301" ht="11.25">
      <c r="S1301" s="27"/>
    </row>
    <row r="1302" ht="11.25">
      <c r="S1302" s="27"/>
    </row>
    <row r="1303" ht="11.25">
      <c r="S1303" s="27"/>
    </row>
    <row r="1304" ht="11.25">
      <c r="S1304" s="27"/>
    </row>
    <row r="1305" ht="11.25">
      <c r="S1305" s="27"/>
    </row>
    <row r="1306" ht="11.25">
      <c r="S1306" s="27"/>
    </row>
    <row r="1307" ht="11.25">
      <c r="S1307" s="27"/>
    </row>
    <row r="1308" ht="11.25">
      <c r="S1308" s="27"/>
    </row>
    <row r="1309" ht="11.25">
      <c r="S1309" s="27"/>
    </row>
    <row r="1310" ht="11.25">
      <c r="S1310" s="27"/>
    </row>
    <row r="1311" ht="11.25">
      <c r="S1311" s="27"/>
    </row>
    <row r="1312" ht="11.25">
      <c r="S1312" s="27"/>
    </row>
    <row r="1313" ht="11.25">
      <c r="S1313" s="27"/>
    </row>
    <row r="1314" ht="11.25">
      <c r="S1314" s="27"/>
    </row>
    <row r="1315" ht="11.25">
      <c r="S1315" s="27"/>
    </row>
    <row r="1316" ht="11.25">
      <c r="S1316" s="27"/>
    </row>
    <row r="1317" ht="11.25">
      <c r="S1317" s="27"/>
    </row>
    <row r="1318" ht="11.25">
      <c r="S1318" s="27"/>
    </row>
    <row r="1319" ht="11.25">
      <c r="S1319" s="27"/>
    </row>
    <row r="1320" ht="11.25">
      <c r="S1320" s="27"/>
    </row>
    <row r="1321" ht="11.25">
      <c r="S1321" s="27"/>
    </row>
    <row r="1322" ht="11.25">
      <c r="S1322" s="27"/>
    </row>
    <row r="1323" ht="11.25">
      <c r="S1323" s="27"/>
    </row>
    <row r="1324" ht="11.25">
      <c r="S1324" s="27"/>
    </row>
    <row r="1325" ht="11.25">
      <c r="S1325" s="27"/>
    </row>
    <row r="1326" ht="11.25">
      <c r="S1326" s="27"/>
    </row>
    <row r="1327" ht="11.25">
      <c r="S1327" s="27"/>
    </row>
    <row r="1328" ht="11.25">
      <c r="S1328" s="27"/>
    </row>
    <row r="1329" ht="11.25">
      <c r="S1329" s="27"/>
    </row>
    <row r="1330" ht="11.25">
      <c r="S1330" s="27"/>
    </row>
    <row r="1331" ht="11.25">
      <c r="S1331" s="27"/>
    </row>
    <row r="1332" ht="11.25">
      <c r="S1332" s="27"/>
    </row>
    <row r="1333" ht="11.25">
      <c r="S1333" s="27"/>
    </row>
    <row r="1334" ht="11.25">
      <c r="S1334" s="27"/>
    </row>
    <row r="1335" ht="11.25">
      <c r="S1335" s="27"/>
    </row>
    <row r="1336" ht="11.25">
      <c r="S1336" s="27"/>
    </row>
    <row r="1337" ht="11.25">
      <c r="S1337" s="27"/>
    </row>
    <row r="1338" ht="11.25">
      <c r="S1338" s="27"/>
    </row>
    <row r="1339" ht="11.25">
      <c r="S1339" s="27"/>
    </row>
    <row r="1340" ht="11.25">
      <c r="S1340" s="27"/>
    </row>
    <row r="1341" ht="11.25">
      <c r="S1341" s="27"/>
    </row>
    <row r="1342" ht="11.25">
      <c r="S1342" s="27"/>
    </row>
    <row r="1343" ht="11.25">
      <c r="S1343" s="27"/>
    </row>
    <row r="1344" ht="11.25">
      <c r="S1344" s="27"/>
    </row>
    <row r="1345" ht="11.25">
      <c r="S1345" s="27"/>
    </row>
    <row r="1346" ht="11.25">
      <c r="S1346" s="27"/>
    </row>
    <row r="1347" ht="11.25">
      <c r="S1347" s="27"/>
    </row>
    <row r="1348" ht="11.25">
      <c r="S1348" s="27"/>
    </row>
    <row r="1349" ht="11.25">
      <c r="S1349" s="27"/>
    </row>
    <row r="1350" ht="11.25">
      <c r="S1350" s="27"/>
    </row>
    <row r="1351" ht="11.25">
      <c r="S1351" s="27"/>
    </row>
    <row r="1352" ht="11.25">
      <c r="S1352" s="27"/>
    </row>
    <row r="1353" ht="11.25">
      <c r="S1353" s="27"/>
    </row>
    <row r="1354" ht="11.25">
      <c r="S1354" s="27"/>
    </row>
    <row r="1355" ht="11.25">
      <c r="S1355" s="27"/>
    </row>
    <row r="1356" ht="11.25">
      <c r="S1356" s="27"/>
    </row>
    <row r="1357" ht="11.25">
      <c r="S1357" s="27"/>
    </row>
    <row r="1358" ht="11.25">
      <c r="S1358" s="27"/>
    </row>
    <row r="1359" ht="11.25">
      <c r="S1359" s="27"/>
    </row>
    <row r="1360" ht="11.25">
      <c r="S1360" s="27"/>
    </row>
    <row r="1361" ht="11.25">
      <c r="S1361" s="27"/>
    </row>
    <row r="1362" ht="11.25">
      <c r="S1362" s="27"/>
    </row>
    <row r="1363" ht="11.25">
      <c r="S1363" s="27"/>
    </row>
    <row r="1364" ht="11.25">
      <c r="S1364" s="27"/>
    </row>
    <row r="1365" ht="11.25">
      <c r="S1365" s="27"/>
    </row>
    <row r="1366" ht="11.25">
      <c r="S1366" s="27"/>
    </row>
    <row r="1367" ht="11.25">
      <c r="S1367" s="27"/>
    </row>
    <row r="1368" ht="11.25">
      <c r="S1368" s="27"/>
    </row>
    <row r="1369" ht="11.25">
      <c r="S1369" s="27"/>
    </row>
    <row r="1370" ht="11.25">
      <c r="S1370" s="27"/>
    </row>
    <row r="1371" ht="11.25">
      <c r="S1371" s="27"/>
    </row>
    <row r="1372" ht="11.25">
      <c r="S1372" s="27"/>
    </row>
    <row r="1373" ht="11.25">
      <c r="S1373" s="27"/>
    </row>
    <row r="1374" ht="11.25">
      <c r="S1374" s="27"/>
    </row>
    <row r="1375" ht="11.25">
      <c r="S1375" s="27"/>
    </row>
    <row r="1376" ht="11.25">
      <c r="S1376" s="27"/>
    </row>
    <row r="1377" ht="11.25">
      <c r="S1377" s="27"/>
    </row>
    <row r="1378" ht="11.25">
      <c r="S1378" s="27"/>
    </row>
    <row r="1379" ht="11.25">
      <c r="S1379" s="27"/>
    </row>
    <row r="1380" ht="11.25">
      <c r="S1380" s="27"/>
    </row>
    <row r="1381" ht="11.25">
      <c r="S1381" s="27"/>
    </row>
    <row r="1382" ht="11.25">
      <c r="S1382" s="27"/>
    </row>
    <row r="1383" ht="11.25">
      <c r="S1383" s="27"/>
    </row>
    <row r="1384" ht="11.25">
      <c r="S1384" s="27"/>
    </row>
    <row r="1385" ht="11.25">
      <c r="S1385" s="27"/>
    </row>
    <row r="1386" ht="11.25">
      <c r="S1386" s="27"/>
    </row>
    <row r="1387" ht="11.25">
      <c r="S1387" s="27"/>
    </row>
    <row r="1388" ht="11.25">
      <c r="S1388" s="27"/>
    </row>
    <row r="1389" ht="11.25">
      <c r="S1389" s="27"/>
    </row>
    <row r="1390" ht="11.25">
      <c r="S1390" s="27"/>
    </row>
    <row r="1391" ht="11.25">
      <c r="S1391" s="27"/>
    </row>
    <row r="1392" ht="11.25">
      <c r="S1392" s="27"/>
    </row>
    <row r="1393" ht="11.25">
      <c r="S1393" s="27"/>
    </row>
    <row r="1394" ht="11.25">
      <c r="S1394" s="27"/>
    </row>
    <row r="1395" ht="11.25">
      <c r="S1395" s="27"/>
    </row>
    <row r="1396" ht="11.25">
      <c r="S1396" s="27"/>
    </row>
    <row r="1397" ht="11.25">
      <c r="S1397" s="27"/>
    </row>
    <row r="1398" ht="11.25">
      <c r="S1398" s="27"/>
    </row>
    <row r="1399" ht="11.25">
      <c r="S1399" s="27"/>
    </row>
    <row r="1400" ht="11.25">
      <c r="S1400" s="27"/>
    </row>
    <row r="1401" ht="11.25">
      <c r="S1401" s="27"/>
    </row>
    <row r="1402" ht="11.25">
      <c r="S1402" s="27"/>
    </row>
    <row r="1403" ht="11.25">
      <c r="S1403" s="27"/>
    </row>
    <row r="1404" ht="11.25">
      <c r="S1404" s="27"/>
    </row>
    <row r="1405" ht="11.25">
      <c r="S1405" s="27"/>
    </row>
    <row r="1406" ht="11.25">
      <c r="S1406" s="27"/>
    </row>
    <row r="1407" ht="11.25">
      <c r="S1407" s="27"/>
    </row>
    <row r="1408" ht="11.25">
      <c r="S1408" s="27"/>
    </row>
    <row r="1409" ht="11.25">
      <c r="S1409" s="27"/>
    </row>
    <row r="1410" ht="11.25">
      <c r="S1410" s="27"/>
    </row>
    <row r="1411" ht="11.25">
      <c r="S1411" s="27"/>
    </row>
    <row r="1412" ht="11.25">
      <c r="S1412" s="27"/>
    </row>
    <row r="1413" ht="11.25">
      <c r="S1413" s="27"/>
    </row>
    <row r="1414" ht="11.25">
      <c r="S1414" s="27"/>
    </row>
    <row r="1415" ht="11.25">
      <c r="S1415" s="27"/>
    </row>
    <row r="1416" ht="11.25">
      <c r="S1416" s="27"/>
    </row>
    <row r="1417" ht="11.25">
      <c r="S1417" s="27"/>
    </row>
    <row r="1418" ht="11.25">
      <c r="S1418" s="27"/>
    </row>
    <row r="1419" ht="11.25">
      <c r="S1419" s="27"/>
    </row>
    <row r="1420" ht="11.25">
      <c r="S1420" s="27"/>
    </row>
    <row r="1421" ht="11.25">
      <c r="S1421" s="27"/>
    </row>
    <row r="1422" ht="11.25">
      <c r="S1422" s="27"/>
    </row>
    <row r="1423" ht="11.25">
      <c r="S1423" s="27"/>
    </row>
    <row r="1424" ht="11.25">
      <c r="S1424" s="27"/>
    </row>
    <row r="1425" ht="11.25">
      <c r="S1425" s="27"/>
    </row>
    <row r="1426" ht="11.25">
      <c r="S1426" s="27"/>
    </row>
    <row r="1427" ht="11.25">
      <c r="S1427" s="27"/>
    </row>
    <row r="1428" ht="11.25">
      <c r="S1428" s="27"/>
    </row>
    <row r="1429" ht="11.25">
      <c r="S1429" s="27"/>
    </row>
    <row r="1430" ht="11.25">
      <c r="S1430" s="27"/>
    </row>
    <row r="1431" ht="11.25">
      <c r="S1431" s="27"/>
    </row>
    <row r="1432" ht="11.25">
      <c r="S1432" s="27"/>
    </row>
    <row r="1433" ht="11.25">
      <c r="S1433" s="27"/>
    </row>
    <row r="1434" ht="11.25">
      <c r="S1434" s="27"/>
    </row>
    <row r="1435" ht="11.25">
      <c r="S1435" s="27"/>
    </row>
    <row r="1436" ht="11.25">
      <c r="S1436" s="27"/>
    </row>
    <row r="1437" ht="11.25">
      <c r="S1437" s="27"/>
    </row>
    <row r="1438" ht="11.25">
      <c r="S1438" s="27"/>
    </row>
    <row r="1439" ht="11.25">
      <c r="S1439" s="27"/>
    </row>
    <row r="1440" ht="11.25">
      <c r="S1440" s="27"/>
    </row>
    <row r="1441" ht="11.25">
      <c r="S1441" s="27"/>
    </row>
    <row r="1442" ht="11.25">
      <c r="S1442" s="27"/>
    </row>
    <row r="1443" ht="11.25">
      <c r="S1443" s="27"/>
    </row>
    <row r="1444" ht="11.25">
      <c r="S1444" s="27"/>
    </row>
    <row r="1445" ht="11.25">
      <c r="S1445" s="27"/>
    </row>
    <row r="1446" ht="11.25">
      <c r="S1446" s="27"/>
    </row>
    <row r="1447" ht="11.25">
      <c r="S1447" s="27"/>
    </row>
    <row r="1448" ht="11.25">
      <c r="S1448" s="27"/>
    </row>
    <row r="1449" ht="11.25">
      <c r="S1449" s="27"/>
    </row>
    <row r="1450" ht="11.25">
      <c r="S1450" s="27"/>
    </row>
    <row r="1451" ht="11.25">
      <c r="S1451" s="27"/>
    </row>
    <row r="1452" ht="11.25">
      <c r="S1452" s="27"/>
    </row>
    <row r="1453" ht="11.25">
      <c r="S1453" s="27"/>
    </row>
    <row r="1454" ht="11.25">
      <c r="S1454" s="27"/>
    </row>
    <row r="1455" ht="11.25">
      <c r="S1455" s="27"/>
    </row>
    <row r="1456" ht="11.25">
      <c r="S1456" s="27"/>
    </row>
    <row r="1457" ht="11.25">
      <c r="S1457" s="27"/>
    </row>
    <row r="1458" ht="11.25">
      <c r="S1458" s="27"/>
    </row>
    <row r="1459" ht="11.25">
      <c r="S1459" s="27"/>
    </row>
    <row r="1460" ht="11.25">
      <c r="S1460" s="27"/>
    </row>
    <row r="1461" ht="11.25">
      <c r="S1461" s="27"/>
    </row>
    <row r="1462" ht="11.25">
      <c r="S1462" s="27"/>
    </row>
    <row r="1463" ht="11.25">
      <c r="S1463" s="27"/>
    </row>
    <row r="1464" ht="11.25">
      <c r="S1464" s="27"/>
    </row>
    <row r="1465" ht="11.25">
      <c r="S1465" s="27"/>
    </row>
    <row r="1466" ht="11.25">
      <c r="S1466" s="27"/>
    </row>
    <row r="1467" ht="11.25">
      <c r="S1467" s="27"/>
    </row>
    <row r="1468" ht="11.25">
      <c r="S1468" s="27"/>
    </row>
    <row r="1469" ht="11.25">
      <c r="S1469" s="27"/>
    </row>
    <row r="1470" ht="11.25">
      <c r="S1470" s="27"/>
    </row>
    <row r="1471" ht="11.25">
      <c r="S1471" s="27"/>
    </row>
    <row r="1472" ht="11.25">
      <c r="S1472" s="27"/>
    </row>
    <row r="1473" ht="11.25">
      <c r="S1473" s="27"/>
    </row>
    <row r="1474" ht="11.25">
      <c r="S1474" s="27"/>
    </row>
    <row r="1475" ht="11.25">
      <c r="S1475" s="27"/>
    </row>
    <row r="1476" ht="11.25">
      <c r="S1476" s="27"/>
    </row>
    <row r="1477" ht="11.25">
      <c r="S1477" s="27"/>
    </row>
    <row r="1478" ht="11.25">
      <c r="S1478" s="27"/>
    </row>
    <row r="1479" ht="11.25">
      <c r="S1479" s="27"/>
    </row>
    <row r="1480" ht="11.25">
      <c r="S1480" s="27"/>
    </row>
    <row r="1481" ht="11.25">
      <c r="S1481" s="27"/>
    </row>
    <row r="1482" ht="11.25">
      <c r="S1482" s="27"/>
    </row>
    <row r="1483" ht="11.25">
      <c r="S1483" s="27"/>
    </row>
    <row r="1484" ht="11.25">
      <c r="S1484" s="27"/>
    </row>
    <row r="1485" ht="11.25">
      <c r="S1485" s="27"/>
    </row>
    <row r="1486" ht="11.25">
      <c r="S1486" s="27"/>
    </row>
    <row r="1487" ht="11.25">
      <c r="S1487" s="27"/>
    </row>
    <row r="1488" ht="11.25">
      <c r="S1488" s="27"/>
    </row>
    <row r="1489" ht="11.25">
      <c r="S1489" s="27"/>
    </row>
    <row r="1490" ht="11.25">
      <c r="S1490" s="27"/>
    </row>
    <row r="1491" ht="11.25">
      <c r="S1491" s="27"/>
    </row>
    <row r="1492" ht="11.25">
      <c r="S1492" s="27"/>
    </row>
    <row r="1493" ht="11.25">
      <c r="S1493" s="27"/>
    </row>
    <row r="1494" ht="11.25">
      <c r="S1494" s="27"/>
    </row>
    <row r="1495" ht="11.25">
      <c r="S1495" s="27"/>
    </row>
    <row r="1496" ht="11.25">
      <c r="S1496" s="27"/>
    </row>
    <row r="1497" ht="11.25">
      <c r="S1497" s="27"/>
    </row>
    <row r="1498" ht="11.25">
      <c r="S1498" s="27"/>
    </row>
    <row r="1499" ht="11.25">
      <c r="S1499" s="27"/>
    </row>
    <row r="1500" ht="11.25">
      <c r="S1500" s="27"/>
    </row>
    <row r="1501" ht="11.25">
      <c r="S1501" s="27"/>
    </row>
    <row r="1502" ht="11.25">
      <c r="S1502" s="27"/>
    </row>
    <row r="1503" ht="11.25">
      <c r="S1503" s="27"/>
    </row>
    <row r="1504" ht="11.25">
      <c r="S1504" s="27"/>
    </row>
    <row r="1505" ht="11.25">
      <c r="S1505" s="27"/>
    </row>
    <row r="1506" ht="11.25">
      <c r="S1506" s="27"/>
    </row>
    <row r="1507" ht="11.25">
      <c r="S1507" s="27"/>
    </row>
    <row r="1508" ht="11.25">
      <c r="S1508" s="27"/>
    </row>
    <row r="1509" ht="11.25">
      <c r="S1509" s="27"/>
    </row>
    <row r="1510" ht="11.25">
      <c r="S1510" s="27"/>
    </row>
    <row r="1511" ht="11.25">
      <c r="S1511" s="27"/>
    </row>
    <row r="1512" ht="11.25">
      <c r="S1512" s="27"/>
    </row>
    <row r="1513" ht="11.25">
      <c r="S1513" s="27"/>
    </row>
    <row r="1514" ht="11.25">
      <c r="S1514" s="27"/>
    </row>
    <row r="1515" ht="11.25">
      <c r="S1515" s="27"/>
    </row>
    <row r="1516" ht="11.25">
      <c r="S1516" s="27"/>
    </row>
    <row r="1517" ht="11.25">
      <c r="S1517" s="27"/>
    </row>
    <row r="1518" ht="11.25">
      <c r="S1518" s="27"/>
    </row>
    <row r="1519" ht="11.25">
      <c r="S1519" s="27"/>
    </row>
    <row r="1520" ht="11.25">
      <c r="S1520" s="27"/>
    </row>
    <row r="1521" ht="11.25">
      <c r="S1521" s="27"/>
    </row>
    <row r="1522" ht="11.25">
      <c r="S1522" s="27"/>
    </row>
    <row r="1523" ht="11.25">
      <c r="S1523" s="27"/>
    </row>
    <row r="1524" ht="11.25">
      <c r="S1524" s="27"/>
    </row>
    <row r="1525" ht="11.25">
      <c r="S1525" s="27"/>
    </row>
    <row r="1526" ht="11.25">
      <c r="S1526" s="27"/>
    </row>
    <row r="1527" ht="11.25">
      <c r="S1527" s="27"/>
    </row>
    <row r="1528" ht="11.25">
      <c r="S1528" s="27"/>
    </row>
    <row r="1529" ht="11.25">
      <c r="S1529" s="27"/>
    </row>
    <row r="1530" ht="11.25">
      <c r="S1530" s="27"/>
    </row>
    <row r="1531" ht="11.25">
      <c r="S1531" s="27"/>
    </row>
    <row r="1532" ht="11.25">
      <c r="S1532" s="27"/>
    </row>
    <row r="1533" ht="11.25">
      <c r="S1533" s="27"/>
    </row>
    <row r="1534" ht="11.25">
      <c r="S1534" s="27"/>
    </row>
    <row r="1535" ht="11.25">
      <c r="S1535" s="27"/>
    </row>
    <row r="1536" ht="11.25">
      <c r="S1536" s="27"/>
    </row>
    <row r="1537" ht="11.25">
      <c r="S1537" s="27"/>
    </row>
    <row r="1538" ht="11.25">
      <c r="S1538" s="27"/>
    </row>
    <row r="1539" ht="11.25">
      <c r="S1539" s="27"/>
    </row>
    <row r="1540" ht="11.25">
      <c r="S1540" s="27"/>
    </row>
    <row r="1541" ht="11.25">
      <c r="S1541" s="27"/>
    </row>
    <row r="1542" ht="11.25">
      <c r="S1542" s="27"/>
    </row>
    <row r="1543" ht="11.25">
      <c r="S1543" s="27"/>
    </row>
    <row r="1544" ht="11.25">
      <c r="S1544" s="27"/>
    </row>
    <row r="1545" ht="11.25">
      <c r="S1545" s="27"/>
    </row>
    <row r="1546" ht="11.25">
      <c r="S1546" s="27"/>
    </row>
    <row r="1547" ht="11.25">
      <c r="S1547" s="27"/>
    </row>
    <row r="1548" ht="11.25">
      <c r="S1548" s="27"/>
    </row>
    <row r="1549" ht="11.25">
      <c r="S1549" s="27"/>
    </row>
    <row r="1550" ht="11.25">
      <c r="S1550" s="27"/>
    </row>
    <row r="1551" ht="11.25">
      <c r="S1551" s="27"/>
    </row>
    <row r="1552" ht="11.25">
      <c r="S1552" s="27"/>
    </row>
    <row r="1553" ht="11.25">
      <c r="S1553" s="27"/>
    </row>
    <row r="1554" ht="11.25">
      <c r="S1554" s="27"/>
    </row>
    <row r="1555" ht="11.25">
      <c r="S1555" s="27"/>
    </row>
    <row r="1556" ht="11.25">
      <c r="S1556" s="27"/>
    </row>
    <row r="1557" ht="11.25">
      <c r="S1557" s="27"/>
    </row>
    <row r="1558" ht="11.25">
      <c r="S1558" s="27"/>
    </row>
    <row r="1559" ht="11.25">
      <c r="S1559" s="27"/>
    </row>
    <row r="1560" ht="11.25">
      <c r="S1560" s="27"/>
    </row>
    <row r="1561" ht="11.25">
      <c r="S1561" s="27"/>
    </row>
    <row r="1562" ht="11.25">
      <c r="S1562" s="27"/>
    </row>
    <row r="1563" ht="11.25">
      <c r="S1563" s="27"/>
    </row>
    <row r="1564" ht="11.25">
      <c r="S1564" s="27"/>
    </row>
    <row r="1565" ht="11.25">
      <c r="S1565" s="27"/>
    </row>
    <row r="1566" ht="11.25">
      <c r="S1566" s="27"/>
    </row>
    <row r="1567" ht="11.25">
      <c r="S1567" s="27"/>
    </row>
    <row r="1568" ht="11.25">
      <c r="S1568" s="27"/>
    </row>
    <row r="1569" ht="11.25">
      <c r="S1569" s="27"/>
    </row>
    <row r="1570" ht="11.25">
      <c r="S1570" s="27"/>
    </row>
    <row r="1571" ht="11.25">
      <c r="S1571" s="27"/>
    </row>
    <row r="1572" ht="11.25">
      <c r="S1572" s="27"/>
    </row>
    <row r="1573" ht="11.25">
      <c r="S1573" s="27"/>
    </row>
    <row r="1574" ht="11.25">
      <c r="S1574" s="27"/>
    </row>
    <row r="1575" ht="11.25">
      <c r="S1575" s="27"/>
    </row>
    <row r="1576" ht="11.25">
      <c r="S1576" s="27"/>
    </row>
    <row r="1577" ht="11.25">
      <c r="S1577" s="27"/>
    </row>
    <row r="1578" ht="11.25">
      <c r="S1578" s="27"/>
    </row>
    <row r="1579" ht="11.25">
      <c r="S1579" s="27"/>
    </row>
    <row r="1580" ht="11.25">
      <c r="S1580" s="27"/>
    </row>
    <row r="1581" ht="11.25">
      <c r="S1581" s="27"/>
    </row>
    <row r="1582" ht="11.25">
      <c r="S1582" s="27"/>
    </row>
    <row r="1583" ht="11.25">
      <c r="S1583" s="27"/>
    </row>
    <row r="1584" ht="11.25">
      <c r="S1584" s="27"/>
    </row>
    <row r="1585" ht="11.25">
      <c r="S1585" s="27"/>
    </row>
    <row r="1586" ht="11.25">
      <c r="S1586" s="27"/>
    </row>
    <row r="1587" ht="11.25">
      <c r="S1587" s="27"/>
    </row>
    <row r="1588" ht="11.25">
      <c r="S1588" s="27"/>
    </row>
    <row r="1589" ht="11.25">
      <c r="S1589" s="27"/>
    </row>
    <row r="1590" ht="11.25">
      <c r="S1590" s="27"/>
    </row>
    <row r="1591" ht="11.25">
      <c r="S1591" s="27"/>
    </row>
    <row r="1592" ht="11.25">
      <c r="S1592" s="27"/>
    </row>
    <row r="1593" ht="11.25">
      <c r="S1593" s="27"/>
    </row>
    <row r="1594" ht="11.25">
      <c r="S1594" s="27"/>
    </row>
    <row r="1595" ht="11.25">
      <c r="S1595" s="27"/>
    </row>
    <row r="1596" ht="11.25">
      <c r="S1596" s="27"/>
    </row>
    <row r="1597" ht="11.25">
      <c r="S1597" s="27"/>
    </row>
    <row r="1598" ht="11.25">
      <c r="S1598" s="27"/>
    </row>
    <row r="1599" ht="11.25">
      <c r="S1599" s="27"/>
    </row>
    <row r="1600" ht="11.25">
      <c r="S1600" s="27"/>
    </row>
    <row r="1601" ht="11.25">
      <c r="S1601" s="27"/>
    </row>
    <row r="1602" ht="11.25">
      <c r="S1602" s="27"/>
    </row>
    <row r="1603" ht="11.25">
      <c r="S1603" s="27"/>
    </row>
    <row r="1604" ht="11.25">
      <c r="S1604" s="27"/>
    </row>
    <row r="1605" ht="11.25">
      <c r="S1605" s="27"/>
    </row>
    <row r="1606" ht="11.25">
      <c r="S1606" s="27"/>
    </row>
    <row r="1607" ht="11.25">
      <c r="S1607" s="27"/>
    </row>
    <row r="1608" ht="11.25">
      <c r="S1608" s="27"/>
    </row>
    <row r="1609" ht="11.25">
      <c r="S1609" s="27"/>
    </row>
    <row r="1610" ht="11.25">
      <c r="S1610" s="27"/>
    </row>
    <row r="1611" ht="11.25">
      <c r="S1611" s="27"/>
    </row>
    <row r="1612" ht="11.25">
      <c r="S1612" s="27"/>
    </row>
    <row r="1613" ht="11.25">
      <c r="S1613" s="27"/>
    </row>
    <row r="1614" ht="11.25">
      <c r="S1614" s="27"/>
    </row>
    <row r="1615" ht="11.25">
      <c r="S1615" s="27"/>
    </row>
    <row r="1616" ht="11.25">
      <c r="S1616" s="27"/>
    </row>
    <row r="1617" ht="11.25">
      <c r="S1617" s="27"/>
    </row>
    <row r="1618" ht="11.25">
      <c r="S1618" s="27"/>
    </row>
    <row r="1619" ht="11.25">
      <c r="S1619" s="27"/>
    </row>
    <row r="1620" ht="11.25">
      <c r="S1620" s="27"/>
    </row>
    <row r="1621" ht="11.25">
      <c r="S1621" s="27"/>
    </row>
    <row r="1622" ht="11.25">
      <c r="S1622" s="27"/>
    </row>
    <row r="1623" ht="11.25">
      <c r="S1623" s="27"/>
    </row>
    <row r="1624" ht="11.25">
      <c r="S1624" s="27"/>
    </row>
    <row r="1625" ht="11.25">
      <c r="S1625" s="27"/>
    </row>
    <row r="1626" ht="11.25">
      <c r="S1626" s="27"/>
    </row>
    <row r="1627" ht="11.25">
      <c r="S1627" s="27"/>
    </row>
    <row r="1628" ht="11.25">
      <c r="S1628" s="27"/>
    </row>
    <row r="1629" ht="11.25">
      <c r="S1629" s="27"/>
    </row>
    <row r="1630" ht="11.25">
      <c r="S1630" s="27"/>
    </row>
    <row r="1631" ht="11.25">
      <c r="S1631" s="27"/>
    </row>
    <row r="1632" ht="11.25">
      <c r="S1632" s="27"/>
    </row>
    <row r="1633" ht="11.25">
      <c r="S1633" s="27"/>
    </row>
    <row r="1634" ht="11.25">
      <c r="S1634" s="27"/>
    </row>
    <row r="1635" ht="11.25">
      <c r="S1635" s="27"/>
    </row>
    <row r="1636" ht="11.25">
      <c r="S1636" s="27"/>
    </row>
    <row r="1637" ht="11.25">
      <c r="S1637" s="27"/>
    </row>
    <row r="1638" ht="11.25">
      <c r="S1638" s="27"/>
    </row>
    <row r="1639" ht="11.25">
      <c r="S1639" s="27"/>
    </row>
    <row r="1640" ht="11.25">
      <c r="S1640" s="27"/>
    </row>
    <row r="1641" ht="11.25">
      <c r="S1641" s="27"/>
    </row>
    <row r="1642" ht="11.25">
      <c r="S1642" s="27"/>
    </row>
    <row r="1643" ht="11.25">
      <c r="S1643" s="27"/>
    </row>
    <row r="1644" ht="11.25">
      <c r="S1644" s="27"/>
    </row>
    <row r="1645" ht="11.25">
      <c r="S1645" s="27"/>
    </row>
    <row r="1646" ht="11.25">
      <c r="S1646" s="27"/>
    </row>
    <row r="1647" ht="11.25">
      <c r="S1647" s="27"/>
    </row>
    <row r="1648" ht="11.25">
      <c r="S1648" s="27"/>
    </row>
    <row r="1649" ht="11.25">
      <c r="S1649" s="27"/>
    </row>
    <row r="1650" ht="11.25">
      <c r="S1650" s="27"/>
    </row>
    <row r="1651" ht="11.25">
      <c r="S1651" s="27"/>
    </row>
    <row r="1652" ht="11.25">
      <c r="S1652" s="27"/>
    </row>
    <row r="1653" ht="11.25">
      <c r="S1653" s="27"/>
    </row>
    <row r="1654" ht="11.25">
      <c r="S1654" s="27"/>
    </row>
    <row r="1655" ht="11.25">
      <c r="S1655" s="27"/>
    </row>
    <row r="1656" ht="11.25">
      <c r="S1656" s="27"/>
    </row>
    <row r="1657" ht="11.25">
      <c r="S1657" s="27"/>
    </row>
    <row r="1658" ht="11.25">
      <c r="S1658" s="27"/>
    </row>
    <row r="1659" ht="11.25">
      <c r="S1659" s="27"/>
    </row>
    <row r="1660" ht="11.25">
      <c r="S1660" s="27"/>
    </row>
    <row r="1661" ht="11.25">
      <c r="S1661" s="27"/>
    </row>
    <row r="1662" ht="11.25">
      <c r="S1662" s="27"/>
    </row>
    <row r="1663" ht="11.25">
      <c r="S1663" s="27"/>
    </row>
    <row r="1664" ht="11.25">
      <c r="S1664" s="27"/>
    </row>
    <row r="1665" ht="11.25">
      <c r="S1665" s="27"/>
    </row>
    <row r="1666" ht="11.25">
      <c r="S1666" s="27"/>
    </row>
    <row r="1667" ht="11.25">
      <c r="S1667" s="27"/>
    </row>
    <row r="1668" ht="11.25">
      <c r="S1668" s="27"/>
    </row>
    <row r="1669" ht="11.25">
      <c r="S1669" s="27"/>
    </row>
    <row r="1670" ht="11.25">
      <c r="S1670" s="27"/>
    </row>
    <row r="1671" ht="11.25">
      <c r="S1671" s="27"/>
    </row>
    <row r="1672" ht="11.25">
      <c r="S1672" s="27"/>
    </row>
    <row r="1673" ht="11.25">
      <c r="S1673" s="27"/>
    </row>
    <row r="1674" ht="11.25">
      <c r="S1674" s="27"/>
    </row>
    <row r="1675" ht="11.25">
      <c r="S1675" s="27"/>
    </row>
    <row r="1676" ht="11.25">
      <c r="S1676" s="27"/>
    </row>
    <row r="1677" ht="11.25">
      <c r="S1677" s="27"/>
    </row>
    <row r="1678" ht="11.25">
      <c r="S1678" s="27"/>
    </row>
    <row r="1679" ht="11.25">
      <c r="S1679" s="27"/>
    </row>
    <row r="1680" ht="11.25">
      <c r="S1680" s="27"/>
    </row>
    <row r="1681" ht="11.25">
      <c r="S1681" s="27"/>
    </row>
    <row r="1682" ht="11.25">
      <c r="S1682" s="27"/>
    </row>
    <row r="1683" ht="11.25">
      <c r="S1683" s="27"/>
    </row>
    <row r="1684" ht="11.25">
      <c r="S1684" s="27"/>
    </row>
    <row r="1685" ht="11.25">
      <c r="S1685" s="27"/>
    </row>
    <row r="1686" ht="11.25">
      <c r="S1686" s="27"/>
    </row>
    <row r="1687" ht="11.25">
      <c r="S1687" s="27"/>
    </row>
    <row r="1688" ht="11.25">
      <c r="S1688" s="27"/>
    </row>
    <row r="1689" ht="11.25">
      <c r="S1689" s="27"/>
    </row>
    <row r="1690" ht="11.25">
      <c r="S1690" s="27"/>
    </row>
    <row r="1691" ht="11.25">
      <c r="S1691" s="27"/>
    </row>
    <row r="1692" ht="11.25">
      <c r="S1692" s="27"/>
    </row>
    <row r="1693" ht="11.25">
      <c r="S1693" s="27"/>
    </row>
    <row r="1694" ht="11.25">
      <c r="S1694" s="27"/>
    </row>
    <row r="1695" ht="11.25">
      <c r="S1695" s="27"/>
    </row>
    <row r="1696" ht="11.25">
      <c r="S1696" s="27"/>
    </row>
    <row r="1697" ht="11.25">
      <c r="S1697" s="27"/>
    </row>
    <row r="1698" ht="11.25">
      <c r="S1698" s="27"/>
    </row>
    <row r="1699" ht="11.25">
      <c r="S1699" s="27"/>
    </row>
    <row r="1700" ht="11.25">
      <c r="S1700" s="27"/>
    </row>
    <row r="1701" ht="11.25">
      <c r="S1701" s="27"/>
    </row>
    <row r="1702" ht="11.25">
      <c r="S1702" s="27"/>
    </row>
    <row r="1703" ht="11.25">
      <c r="S1703" s="27"/>
    </row>
    <row r="1704" ht="11.25">
      <c r="S1704" s="27"/>
    </row>
    <row r="1705" ht="11.25">
      <c r="S1705" s="27"/>
    </row>
    <row r="1706" ht="11.25">
      <c r="S1706" s="27"/>
    </row>
    <row r="1707" ht="11.25">
      <c r="S1707" s="27"/>
    </row>
    <row r="1708" ht="11.25">
      <c r="S1708" s="27"/>
    </row>
    <row r="1709" ht="11.25">
      <c r="S1709" s="27"/>
    </row>
    <row r="1710" ht="11.25">
      <c r="S1710" s="27"/>
    </row>
    <row r="1711" ht="11.25">
      <c r="S1711" s="27"/>
    </row>
    <row r="1712" ht="11.25">
      <c r="S1712" s="27"/>
    </row>
    <row r="1713" ht="11.25">
      <c r="S1713" s="27"/>
    </row>
    <row r="1714" ht="11.25">
      <c r="S1714" s="27"/>
    </row>
    <row r="1715" ht="11.25">
      <c r="S1715" s="27"/>
    </row>
    <row r="1716" ht="11.25">
      <c r="S1716" s="27"/>
    </row>
    <row r="1717" ht="11.25">
      <c r="S1717" s="27"/>
    </row>
    <row r="1718" ht="11.25">
      <c r="S1718" s="27"/>
    </row>
    <row r="1719" ht="11.25">
      <c r="S1719" s="27"/>
    </row>
    <row r="1720" ht="11.25">
      <c r="S1720" s="27"/>
    </row>
    <row r="1721" ht="11.25">
      <c r="S1721" s="27"/>
    </row>
    <row r="1722" ht="11.25">
      <c r="S1722" s="27"/>
    </row>
    <row r="1723" ht="11.25">
      <c r="S1723" s="27"/>
    </row>
    <row r="1724" ht="11.25">
      <c r="S1724" s="27"/>
    </row>
    <row r="1725" ht="11.25">
      <c r="S1725" s="27"/>
    </row>
    <row r="1726" ht="11.25">
      <c r="S1726" s="27"/>
    </row>
    <row r="1727" ht="11.25">
      <c r="S1727" s="27"/>
    </row>
    <row r="1728" ht="11.25">
      <c r="S1728" s="27"/>
    </row>
    <row r="1729" ht="11.25">
      <c r="S1729" s="27"/>
    </row>
    <row r="1730" ht="11.25">
      <c r="S1730" s="27"/>
    </row>
    <row r="1731" ht="11.25">
      <c r="S1731" s="27"/>
    </row>
    <row r="1732" ht="11.25">
      <c r="S1732" s="27"/>
    </row>
    <row r="1733" ht="11.25">
      <c r="S1733" s="27"/>
    </row>
    <row r="1734" ht="11.25">
      <c r="S1734" s="27"/>
    </row>
    <row r="1735" ht="11.25">
      <c r="S1735" s="27"/>
    </row>
    <row r="1736" ht="11.25">
      <c r="S1736" s="27"/>
    </row>
    <row r="1737" ht="11.25">
      <c r="S1737" s="27"/>
    </row>
    <row r="1738" ht="11.25">
      <c r="S1738" s="27"/>
    </row>
    <row r="1739" ht="11.25">
      <c r="S1739" s="27"/>
    </row>
    <row r="1740" ht="11.25">
      <c r="S1740" s="27"/>
    </row>
    <row r="1741" ht="11.25">
      <c r="S1741" s="27"/>
    </row>
    <row r="1742" ht="11.25">
      <c r="S1742" s="27"/>
    </row>
    <row r="1743" ht="11.25">
      <c r="S1743" s="27"/>
    </row>
    <row r="1744" ht="11.25">
      <c r="S1744" s="27"/>
    </row>
    <row r="1745" ht="11.25">
      <c r="S1745" s="27"/>
    </row>
    <row r="1746" ht="11.25">
      <c r="S1746" s="27"/>
    </row>
    <row r="1747" ht="11.25">
      <c r="S1747" s="27"/>
    </row>
    <row r="1748" ht="11.25">
      <c r="S1748" s="27"/>
    </row>
    <row r="1749" ht="11.25">
      <c r="S1749" s="27"/>
    </row>
    <row r="1750" ht="11.25">
      <c r="S1750" s="27"/>
    </row>
    <row r="1751" ht="11.25">
      <c r="S1751" s="27"/>
    </row>
    <row r="1752" ht="11.25">
      <c r="S1752" s="27"/>
    </row>
    <row r="1753" ht="11.25">
      <c r="S1753" s="27"/>
    </row>
    <row r="1754" ht="11.25">
      <c r="S1754" s="27"/>
    </row>
    <row r="1755" ht="11.25">
      <c r="S1755" s="27"/>
    </row>
    <row r="1756" ht="11.25">
      <c r="S1756" s="27"/>
    </row>
    <row r="1757" ht="11.25">
      <c r="S1757" s="27"/>
    </row>
    <row r="1758" ht="11.25">
      <c r="S1758" s="27"/>
    </row>
    <row r="1759" ht="11.25">
      <c r="S1759" s="27"/>
    </row>
    <row r="1760" ht="11.25">
      <c r="S1760" s="27"/>
    </row>
    <row r="1761" ht="11.25">
      <c r="S1761" s="27"/>
    </row>
    <row r="1762" ht="11.25">
      <c r="S1762" s="27"/>
    </row>
    <row r="1763" ht="11.25">
      <c r="S1763" s="27"/>
    </row>
    <row r="1764" ht="11.25">
      <c r="S1764" s="27"/>
    </row>
    <row r="1765" ht="11.25">
      <c r="S1765" s="27"/>
    </row>
    <row r="1766" ht="11.25">
      <c r="S1766" s="27"/>
    </row>
    <row r="1767" ht="11.25">
      <c r="S1767" s="27"/>
    </row>
    <row r="1768" ht="11.25">
      <c r="S1768" s="27"/>
    </row>
    <row r="1769" ht="11.25">
      <c r="S1769" s="27"/>
    </row>
    <row r="1770" ht="11.25">
      <c r="S1770" s="27"/>
    </row>
    <row r="1771" ht="11.25">
      <c r="S1771" s="27"/>
    </row>
    <row r="1772" ht="11.25">
      <c r="S1772" s="27"/>
    </row>
    <row r="1773" ht="11.25">
      <c r="S1773" s="27"/>
    </row>
    <row r="1774" ht="11.25">
      <c r="S1774" s="27"/>
    </row>
    <row r="1775" ht="11.25">
      <c r="S1775" s="27"/>
    </row>
    <row r="1776" ht="11.25">
      <c r="S1776" s="27"/>
    </row>
    <row r="1777" ht="11.25">
      <c r="S1777" s="27"/>
    </row>
    <row r="1778" ht="11.25">
      <c r="S1778" s="27"/>
    </row>
    <row r="1779" ht="11.25">
      <c r="S1779" s="27"/>
    </row>
    <row r="1780" ht="11.25">
      <c r="S1780" s="27"/>
    </row>
    <row r="1781" ht="11.25">
      <c r="S1781" s="27"/>
    </row>
    <row r="1782" ht="11.25">
      <c r="S1782" s="27"/>
    </row>
    <row r="1783" ht="11.25">
      <c r="S1783" s="27"/>
    </row>
    <row r="1784" ht="11.25">
      <c r="S1784" s="27"/>
    </row>
    <row r="1785" ht="11.25">
      <c r="S1785" s="27"/>
    </row>
    <row r="1786" ht="11.25">
      <c r="S1786" s="27"/>
    </row>
    <row r="1787" ht="11.25">
      <c r="S1787" s="27"/>
    </row>
    <row r="1788" ht="11.25">
      <c r="S1788" s="27"/>
    </row>
    <row r="1789" ht="11.25">
      <c r="S1789" s="27"/>
    </row>
    <row r="1790" ht="11.25">
      <c r="S1790" s="27"/>
    </row>
    <row r="1791" ht="11.25">
      <c r="S1791" s="27"/>
    </row>
    <row r="1792" ht="11.25">
      <c r="S1792" s="27"/>
    </row>
    <row r="1793" ht="11.25">
      <c r="S1793" s="27"/>
    </row>
    <row r="1794" ht="11.25">
      <c r="S1794" s="27"/>
    </row>
    <row r="1795" ht="11.25">
      <c r="S1795" s="27"/>
    </row>
    <row r="1796" ht="11.25">
      <c r="S1796" s="27"/>
    </row>
    <row r="1797" ht="11.25">
      <c r="S1797" s="27"/>
    </row>
    <row r="1798" ht="11.25">
      <c r="S1798" s="27"/>
    </row>
    <row r="1799" ht="11.25">
      <c r="S1799" s="27"/>
    </row>
    <row r="1800" ht="11.25">
      <c r="S1800" s="27"/>
    </row>
    <row r="1801" ht="11.25">
      <c r="S1801" s="27"/>
    </row>
    <row r="1802" ht="11.25">
      <c r="S1802" s="27"/>
    </row>
    <row r="1803" ht="11.25">
      <c r="S1803" s="27"/>
    </row>
    <row r="1804" ht="11.25">
      <c r="S1804" s="27"/>
    </row>
    <row r="1805" ht="11.25">
      <c r="S1805" s="27"/>
    </row>
    <row r="1806" ht="11.25">
      <c r="S1806" s="27"/>
    </row>
    <row r="1807" ht="11.25">
      <c r="S1807" s="27"/>
    </row>
    <row r="1808" ht="11.25">
      <c r="S1808" s="27"/>
    </row>
    <row r="1809" ht="11.25">
      <c r="S1809" s="27"/>
    </row>
    <row r="1810" ht="11.25">
      <c r="S1810" s="27"/>
    </row>
    <row r="1811" ht="11.25">
      <c r="S1811" s="27"/>
    </row>
    <row r="1812" ht="11.25">
      <c r="S1812" s="27"/>
    </row>
    <row r="1813" ht="11.25">
      <c r="S1813" s="27"/>
    </row>
    <row r="1814" ht="11.25">
      <c r="S1814" s="27"/>
    </row>
    <row r="1815" ht="11.25">
      <c r="S1815" s="27"/>
    </row>
    <row r="1816" ht="11.25">
      <c r="S1816" s="27"/>
    </row>
    <row r="1817" ht="11.25">
      <c r="S1817" s="27"/>
    </row>
    <row r="1818" ht="11.25">
      <c r="S1818" s="27"/>
    </row>
    <row r="1819" ht="11.25">
      <c r="S1819" s="27"/>
    </row>
    <row r="1820" ht="11.25">
      <c r="S1820" s="27"/>
    </row>
    <row r="1821" ht="11.25">
      <c r="S1821" s="27"/>
    </row>
    <row r="1822" ht="11.25">
      <c r="S1822" s="27"/>
    </row>
    <row r="1823" ht="11.25">
      <c r="S1823" s="27"/>
    </row>
    <row r="1824" ht="11.25">
      <c r="S1824" s="27"/>
    </row>
    <row r="1825" ht="11.25">
      <c r="S1825" s="27"/>
    </row>
    <row r="1826" ht="11.25">
      <c r="S1826" s="27"/>
    </row>
    <row r="1827" ht="11.25">
      <c r="S1827" s="27"/>
    </row>
    <row r="1828" ht="11.25">
      <c r="S1828" s="27"/>
    </row>
    <row r="1829" ht="11.25">
      <c r="S1829" s="27"/>
    </row>
    <row r="1830" ht="11.25">
      <c r="S1830" s="27"/>
    </row>
    <row r="1831" ht="11.25">
      <c r="S1831" s="27"/>
    </row>
    <row r="1832" ht="11.25">
      <c r="S1832" s="27"/>
    </row>
    <row r="1833" ht="11.25">
      <c r="S1833" s="27"/>
    </row>
    <row r="1834" ht="11.25">
      <c r="S1834" s="27"/>
    </row>
    <row r="1835" ht="11.25">
      <c r="S1835" s="27"/>
    </row>
    <row r="1836" ht="11.25">
      <c r="S1836" s="27"/>
    </row>
    <row r="1837" ht="11.25">
      <c r="S1837" s="27"/>
    </row>
    <row r="1838" ht="11.25">
      <c r="S1838" s="27"/>
    </row>
    <row r="1839" ht="11.25">
      <c r="S1839" s="27"/>
    </row>
    <row r="1840" ht="11.25">
      <c r="S1840" s="27"/>
    </row>
    <row r="1841" ht="11.25">
      <c r="S1841" s="27"/>
    </row>
    <row r="1842" ht="11.25">
      <c r="S1842" s="27"/>
    </row>
    <row r="1843" ht="11.25">
      <c r="S1843" s="27"/>
    </row>
    <row r="1844" ht="11.25">
      <c r="S1844" s="27"/>
    </row>
    <row r="1845" ht="11.25">
      <c r="S1845" s="27"/>
    </row>
    <row r="1846" ht="11.25">
      <c r="S1846" s="27"/>
    </row>
    <row r="1847" ht="11.25">
      <c r="S1847" s="27"/>
    </row>
    <row r="1848" ht="11.25">
      <c r="S1848" s="27"/>
    </row>
    <row r="1849" ht="11.25">
      <c r="S1849" s="27"/>
    </row>
    <row r="1850" ht="11.25">
      <c r="S1850" s="27"/>
    </row>
    <row r="1851" ht="11.25">
      <c r="S1851" s="27"/>
    </row>
    <row r="1852" ht="11.25">
      <c r="S1852" s="27"/>
    </row>
    <row r="1853" ht="11.25">
      <c r="S1853" s="27"/>
    </row>
    <row r="1854" ht="11.25">
      <c r="S1854" s="27"/>
    </row>
    <row r="1855" ht="11.25">
      <c r="S1855" s="27"/>
    </row>
    <row r="1856" ht="11.25">
      <c r="S1856" s="27"/>
    </row>
    <row r="1857" ht="11.25">
      <c r="S1857" s="27"/>
    </row>
    <row r="1858" ht="11.25">
      <c r="S1858" s="27"/>
    </row>
    <row r="1859" ht="11.25">
      <c r="S1859" s="27"/>
    </row>
    <row r="1860" ht="11.25">
      <c r="S1860" s="27"/>
    </row>
    <row r="1861" ht="11.25">
      <c r="S1861" s="27"/>
    </row>
    <row r="1862" ht="11.25">
      <c r="S1862" s="27"/>
    </row>
    <row r="1863" ht="11.25">
      <c r="S1863" s="27"/>
    </row>
    <row r="1864" ht="11.25">
      <c r="S1864" s="27"/>
    </row>
    <row r="1865" ht="11.25">
      <c r="S1865" s="27"/>
    </row>
    <row r="1866" ht="11.25">
      <c r="S1866" s="27"/>
    </row>
    <row r="1867" ht="11.25">
      <c r="S1867" s="27"/>
    </row>
    <row r="1868" ht="11.25">
      <c r="S1868" s="27"/>
    </row>
    <row r="1869" ht="11.25">
      <c r="S1869" s="27"/>
    </row>
    <row r="1870" ht="11.25">
      <c r="S1870" s="27"/>
    </row>
    <row r="1871" ht="11.25">
      <c r="S1871" s="27"/>
    </row>
    <row r="1872" ht="11.25">
      <c r="S1872" s="27"/>
    </row>
    <row r="1873" ht="11.25">
      <c r="S1873" s="27"/>
    </row>
    <row r="1874" ht="11.25">
      <c r="S1874" s="27"/>
    </row>
    <row r="1875" ht="11.25">
      <c r="S1875" s="27"/>
    </row>
    <row r="1876" ht="11.25">
      <c r="S1876" s="27"/>
    </row>
    <row r="1877" ht="11.25">
      <c r="S1877" s="27"/>
    </row>
    <row r="1878" ht="11.25">
      <c r="S1878" s="27"/>
    </row>
    <row r="1879" ht="11.25">
      <c r="S1879" s="27"/>
    </row>
    <row r="1880" ht="11.25">
      <c r="S1880" s="27"/>
    </row>
    <row r="1881" ht="11.25">
      <c r="S1881" s="27"/>
    </row>
    <row r="1882" ht="11.25">
      <c r="S1882" s="27"/>
    </row>
    <row r="1883" ht="11.25">
      <c r="S1883" s="27"/>
    </row>
    <row r="1884" ht="11.25">
      <c r="S1884" s="27"/>
    </row>
    <row r="1885" ht="11.25">
      <c r="S1885" s="27"/>
    </row>
    <row r="1886" ht="11.25">
      <c r="S1886" s="27"/>
    </row>
    <row r="1887" ht="11.25">
      <c r="S1887" s="27"/>
    </row>
    <row r="1888" ht="11.25">
      <c r="S1888" s="27"/>
    </row>
    <row r="1889" ht="11.25">
      <c r="S1889" s="27"/>
    </row>
    <row r="1890" ht="11.25">
      <c r="S1890" s="27"/>
    </row>
    <row r="1891" ht="11.25">
      <c r="S1891" s="27"/>
    </row>
    <row r="1892" ht="11.25">
      <c r="S1892" s="27"/>
    </row>
    <row r="1893" ht="11.25">
      <c r="S1893" s="27"/>
    </row>
    <row r="1894" ht="11.25">
      <c r="S1894" s="27"/>
    </row>
    <row r="1895" ht="11.25">
      <c r="S1895" s="27"/>
    </row>
    <row r="1896" ht="11.25">
      <c r="S1896" s="27"/>
    </row>
    <row r="1897" ht="11.25">
      <c r="S1897" s="27"/>
    </row>
    <row r="1898" ht="11.25">
      <c r="S1898" s="27"/>
    </row>
    <row r="1899" ht="11.25">
      <c r="S1899" s="27"/>
    </row>
    <row r="1900" ht="11.25">
      <c r="S1900" s="27"/>
    </row>
    <row r="1901" ht="11.25">
      <c r="S1901" s="27"/>
    </row>
    <row r="1902" ht="11.25">
      <c r="S1902" s="27"/>
    </row>
    <row r="1903" ht="11.25">
      <c r="S1903" s="27"/>
    </row>
    <row r="1904" ht="11.25">
      <c r="S1904" s="27"/>
    </row>
    <row r="1905" ht="11.25">
      <c r="S1905" s="27"/>
    </row>
    <row r="1906" ht="11.25">
      <c r="S1906" s="27"/>
    </row>
    <row r="1907" ht="11.25">
      <c r="S1907" s="27"/>
    </row>
    <row r="1908" ht="11.25">
      <c r="S1908" s="27"/>
    </row>
    <row r="1909" ht="11.25">
      <c r="S1909" s="27"/>
    </row>
    <row r="1910" ht="11.25">
      <c r="S1910" s="27"/>
    </row>
    <row r="1911" ht="11.25">
      <c r="S1911" s="27"/>
    </row>
    <row r="1912" ht="11.25">
      <c r="S1912" s="27"/>
    </row>
    <row r="1913" ht="11.25">
      <c r="S1913" s="27"/>
    </row>
    <row r="1914" ht="11.25">
      <c r="S1914" s="27"/>
    </row>
    <row r="1915" ht="11.25">
      <c r="S1915" s="27"/>
    </row>
    <row r="1916" ht="11.25">
      <c r="S1916" s="27"/>
    </row>
    <row r="1917" ht="11.25">
      <c r="S1917" s="27"/>
    </row>
    <row r="1918" ht="11.25">
      <c r="S1918" s="27"/>
    </row>
    <row r="1919" ht="11.25">
      <c r="S1919" s="27"/>
    </row>
    <row r="1920" ht="11.25">
      <c r="S1920" s="27"/>
    </row>
    <row r="1921" ht="11.25">
      <c r="S1921" s="27"/>
    </row>
    <row r="1922" ht="11.25">
      <c r="S1922" s="27"/>
    </row>
    <row r="1923" ht="11.25">
      <c r="S1923" s="27"/>
    </row>
    <row r="1924" ht="11.25">
      <c r="S1924" s="27"/>
    </row>
    <row r="1925" ht="11.25">
      <c r="S1925" s="27"/>
    </row>
    <row r="1926" ht="11.25">
      <c r="S1926" s="27"/>
    </row>
    <row r="1927" ht="11.25">
      <c r="S1927" s="27"/>
    </row>
    <row r="1928" ht="11.25">
      <c r="S1928" s="27"/>
    </row>
    <row r="1929" ht="11.25">
      <c r="S1929" s="27"/>
    </row>
    <row r="1930" ht="11.25">
      <c r="S1930" s="27"/>
    </row>
    <row r="1931" ht="11.25">
      <c r="S1931" s="27"/>
    </row>
    <row r="1932" ht="11.25">
      <c r="S1932" s="27"/>
    </row>
    <row r="1933" ht="11.25">
      <c r="S1933" s="27"/>
    </row>
    <row r="1934" ht="11.25">
      <c r="S1934" s="27"/>
    </row>
    <row r="1935" ht="11.25">
      <c r="S1935" s="27"/>
    </row>
    <row r="1936" ht="11.25">
      <c r="S1936" s="27"/>
    </row>
    <row r="1937" ht="11.25">
      <c r="S1937" s="27"/>
    </row>
    <row r="1938" ht="11.25">
      <c r="S1938" s="27"/>
    </row>
    <row r="1939" ht="11.25">
      <c r="S1939" s="27"/>
    </row>
    <row r="1940" ht="11.25">
      <c r="S1940" s="27"/>
    </row>
    <row r="1941" ht="11.25">
      <c r="S1941" s="27"/>
    </row>
    <row r="1942" ht="11.25">
      <c r="S1942" s="27"/>
    </row>
    <row r="1943" ht="11.25">
      <c r="S1943" s="27"/>
    </row>
    <row r="1944" ht="11.25">
      <c r="S1944" s="27"/>
    </row>
    <row r="1945" ht="11.25">
      <c r="S1945" s="27"/>
    </row>
    <row r="1946" ht="11.25">
      <c r="S1946" s="27"/>
    </row>
    <row r="1947" ht="11.25">
      <c r="S1947" s="27"/>
    </row>
    <row r="1948" ht="11.25">
      <c r="S1948" s="27"/>
    </row>
    <row r="1949" ht="11.25">
      <c r="S1949" s="27"/>
    </row>
    <row r="1950" ht="11.25">
      <c r="S1950" s="27"/>
    </row>
    <row r="1951" ht="11.25">
      <c r="S1951" s="27"/>
    </row>
    <row r="1952" ht="11.25">
      <c r="S1952" s="27"/>
    </row>
    <row r="1953" ht="11.25">
      <c r="S1953" s="27"/>
    </row>
    <row r="1954" ht="11.25">
      <c r="S1954" s="27"/>
    </row>
    <row r="1955" ht="11.25">
      <c r="S1955" s="27"/>
    </row>
    <row r="1956" ht="11.25">
      <c r="S1956" s="27"/>
    </row>
    <row r="1957" ht="11.25">
      <c r="S1957" s="27"/>
    </row>
    <row r="1958" ht="11.25">
      <c r="S1958" s="27"/>
    </row>
    <row r="1959" ht="11.25">
      <c r="S1959" s="27"/>
    </row>
    <row r="1960" ht="11.25">
      <c r="S1960" s="27"/>
    </row>
    <row r="1961" ht="11.25">
      <c r="S1961" s="27"/>
    </row>
    <row r="1962" ht="11.25">
      <c r="S1962" s="27"/>
    </row>
    <row r="1963" ht="11.25">
      <c r="S1963" s="27"/>
    </row>
    <row r="1964" ht="11.25">
      <c r="S1964" s="27"/>
    </row>
    <row r="1965" ht="11.25">
      <c r="S1965" s="27"/>
    </row>
    <row r="1966" ht="11.25">
      <c r="S1966" s="27"/>
    </row>
    <row r="1967" ht="11.25">
      <c r="S1967" s="27"/>
    </row>
    <row r="1968" ht="11.25">
      <c r="S1968" s="27"/>
    </row>
    <row r="1969" ht="11.25">
      <c r="S1969" s="27"/>
    </row>
    <row r="1970" ht="11.25">
      <c r="S1970" s="27"/>
    </row>
    <row r="1971" ht="11.25">
      <c r="S1971" s="27"/>
    </row>
    <row r="1972" ht="11.25">
      <c r="S1972" s="27"/>
    </row>
    <row r="1973" ht="11.25">
      <c r="S1973" s="27"/>
    </row>
    <row r="1974" ht="11.25">
      <c r="S1974" s="27"/>
    </row>
    <row r="1975" ht="11.25">
      <c r="S1975" s="27"/>
    </row>
    <row r="1976" ht="11.25">
      <c r="S1976" s="27"/>
    </row>
    <row r="1977" ht="11.25">
      <c r="S1977" s="27"/>
    </row>
    <row r="1978" ht="11.25">
      <c r="S1978" s="27"/>
    </row>
    <row r="1979" ht="11.25">
      <c r="S1979" s="27"/>
    </row>
    <row r="1980" ht="11.25">
      <c r="S1980" s="27"/>
    </row>
    <row r="1981" ht="11.25">
      <c r="S1981" s="27"/>
    </row>
    <row r="1982" ht="11.25">
      <c r="S1982" s="27"/>
    </row>
    <row r="1983" ht="11.25">
      <c r="S1983" s="27"/>
    </row>
    <row r="1984" ht="11.25">
      <c r="S1984" s="27"/>
    </row>
    <row r="1985" ht="11.25">
      <c r="S1985" s="27"/>
    </row>
    <row r="1986" ht="11.25">
      <c r="S1986" s="27"/>
    </row>
    <row r="1987" ht="11.25">
      <c r="S1987" s="27"/>
    </row>
    <row r="1988" ht="11.25">
      <c r="S1988" s="27"/>
    </row>
    <row r="1989" ht="11.25">
      <c r="S1989" s="27"/>
    </row>
    <row r="1990" ht="11.25">
      <c r="S1990" s="27"/>
    </row>
    <row r="1991" ht="11.25">
      <c r="S1991" s="27"/>
    </row>
    <row r="1992" ht="11.25">
      <c r="S1992" s="27"/>
    </row>
    <row r="1993" ht="11.25">
      <c r="S1993" s="27"/>
    </row>
    <row r="1994" ht="11.25">
      <c r="S1994" s="27"/>
    </row>
    <row r="1995" ht="11.25">
      <c r="S1995" s="27"/>
    </row>
    <row r="1996" ht="11.25">
      <c r="S1996" s="27"/>
    </row>
    <row r="1997" ht="11.25">
      <c r="S1997" s="27"/>
    </row>
    <row r="1998" ht="11.25">
      <c r="S1998" s="27"/>
    </row>
    <row r="1999" ht="11.25">
      <c r="S1999" s="27"/>
    </row>
    <row r="2000" ht="11.25">
      <c r="S2000" s="27"/>
    </row>
    <row r="2001" ht="11.25">
      <c r="S2001" s="27"/>
    </row>
    <row r="2002" ht="11.25">
      <c r="S2002" s="27"/>
    </row>
    <row r="2003" ht="11.25">
      <c r="S2003" s="27"/>
    </row>
    <row r="2004" ht="11.25">
      <c r="S2004" s="27"/>
    </row>
    <row r="2005" ht="11.25">
      <c r="S2005" s="27"/>
    </row>
    <row r="2006" ht="11.25">
      <c r="S2006" s="27"/>
    </row>
    <row r="2007" ht="11.25">
      <c r="S2007" s="27"/>
    </row>
    <row r="2008" ht="11.25">
      <c r="S2008" s="27"/>
    </row>
    <row r="2009" ht="11.25">
      <c r="S2009" s="27"/>
    </row>
    <row r="2010" ht="11.25">
      <c r="S2010" s="27"/>
    </row>
    <row r="2011" ht="11.25">
      <c r="S2011" s="27"/>
    </row>
    <row r="2012" ht="11.25">
      <c r="S2012" s="27"/>
    </row>
    <row r="2013" ht="11.25">
      <c r="S2013" s="27"/>
    </row>
    <row r="2014" ht="11.25">
      <c r="S2014" s="27"/>
    </row>
    <row r="2015" ht="11.25">
      <c r="S2015" s="27"/>
    </row>
    <row r="2016" ht="11.25">
      <c r="S2016" s="27"/>
    </row>
    <row r="2017" ht="11.25">
      <c r="S2017" s="27"/>
    </row>
    <row r="2018" ht="11.25">
      <c r="S2018" s="27"/>
    </row>
    <row r="2019" ht="11.25">
      <c r="S2019" s="27"/>
    </row>
    <row r="2020" ht="11.25">
      <c r="S2020" s="27"/>
    </row>
    <row r="2021" ht="11.25">
      <c r="S2021" s="27"/>
    </row>
    <row r="2022" ht="11.25">
      <c r="S2022" s="27"/>
    </row>
    <row r="2023" ht="11.25">
      <c r="S2023" s="27"/>
    </row>
    <row r="2024" ht="11.25">
      <c r="S2024" s="27"/>
    </row>
    <row r="2025" ht="11.25">
      <c r="S2025" s="27"/>
    </row>
    <row r="2026" ht="11.25">
      <c r="S2026" s="27"/>
    </row>
    <row r="2027" ht="11.25">
      <c r="S2027" s="27"/>
    </row>
    <row r="2028" ht="11.25">
      <c r="S2028" s="27"/>
    </row>
    <row r="2029" ht="11.25">
      <c r="S2029" s="27"/>
    </row>
    <row r="2030" ht="11.25">
      <c r="S2030" s="27"/>
    </row>
    <row r="2031" ht="11.25">
      <c r="S2031" s="27"/>
    </row>
    <row r="2032" ht="11.25">
      <c r="S2032" s="27"/>
    </row>
    <row r="2033" ht="11.25">
      <c r="S2033" s="27"/>
    </row>
    <row r="2034" ht="11.25">
      <c r="S2034" s="27"/>
    </row>
    <row r="2035" ht="11.25">
      <c r="S2035" s="27"/>
    </row>
    <row r="2036" ht="11.25">
      <c r="S2036" s="27"/>
    </row>
    <row r="2037" ht="11.25">
      <c r="S2037" s="27"/>
    </row>
    <row r="2038" ht="11.25">
      <c r="S2038" s="27"/>
    </row>
    <row r="2039" ht="11.25">
      <c r="S2039" s="27"/>
    </row>
    <row r="2040" ht="11.25">
      <c r="S2040" s="27"/>
    </row>
    <row r="2041" ht="11.25">
      <c r="S2041" s="27"/>
    </row>
    <row r="2042" ht="11.25">
      <c r="S2042" s="27"/>
    </row>
    <row r="2043" ht="11.25">
      <c r="S2043" s="27"/>
    </row>
    <row r="2044" ht="11.25">
      <c r="S2044" s="27"/>
    </row>
    <row r="2045" ht="11.25">
      <c r="S2045" s="27"/>
    </row>
    <row r="2046" ht="11.25">
      <c r="S2046" s="27"/>
    </row>
    <row r="2047" ht="11.25">
      <c r="S2047" s="27"/>
    </row>
    <row r="2048" ht="11.25">
      <c r="S2048" s="27"/>
    </row>
    <row r="2049" ht="11.25">
      <c r="S2049" s="27"/>
    </row>
    <row r="2050" ht="11.25">
      <c r="S2050" s="27"/>
    </row>
    <row r="2051" ht="11.25">
      <c r="S2051" s="27"/>
    </row>
    <row r="2052" ht="11.25">
      <c r="S2052" s="27"/>
    </row>
    <row r="2053" ht="11.25">
      <c r="S2053" s="27"/>
    </row>
    <row r="2054" ht="11.25">
      <c r="S2054" s="27"/>
    </row>
    <row r="2055" ht="11.25">
      <c r="S2055" s="27"/>
    </row>
    <row r="2056" ht="11.25">
      <c r="S2056" s="27"/>
    </row>
    <row r="2057" ht="11.25">
      <c r="S2057" s="27"/>
    </row>
    <row r="2058" ht="11.25">
      <c r="S2058" s="27"/>
    </row>
    <row r="2059" ht="11.25">
      <c r="S2059" s="27"/>
    </row>
    <row r="2060" ht="11.25">
      <c r="S2060" s="27"/>
    </row>
    <row r="2061" ht="11.25">
      <c r="S2061" s="27"/>
    </row>
    <row r="2062" ht="11.25">
      <c r="S2062" s="27"/>
    </row>
    <row r="2063" ht="11.25">
      <c r="S2063" s="27"/>
    </row>
    <row r="2064" ht="11.25">
      <c r="S2064" s="27"/>
    </row>
    <row r="2065" ht="11.25">
      <c r="S2065" s="27"/>
    </row>
    <row r="2066" ht="11.25">
      <c r="S2066" s="27"/>
    </row>
    <row r="2067" ht="11.25">
      <c r="S2067" s="27"/>
    </row>
    <row r="2068" ht="11.25">
      <c r="S2068" s="27"/>
    </row>
    <row r="2069" ht="11.25">
      <c r="S2069" s="27"/>
    </row>
    <row r="2070" ht="11.25">
      <c r="S2070" s="27"/>
    </row>
    <row r="2071" ht="11.25">
      <c r="S2071" s="27"/>
    </row>
    <row r="2072" ht="11.25">
      <c r="S2072" s="27"/>
    </row>
    <row r="2073" ht="11.25">
      <c r="S2073" s="27"/>
    </row>
    <row r="2074" ht="11.25">
      <c r="S2074" s="27"/>
    </row>
    <row r="2075" ht="11.25">
      <c r="S2075" s="27"/>
    </row>
    <row r="2076" ht="11.25">
      <c r="S2076" s="27"/>
    </row>
    <row r="2077" ht="11.25">
      <c r="S2077" s="27"/>
    </row>
    <row r="2078" ht="11.25">
      <c r="S2078" s="27"/>
    </row>
    <row r="2079" ht="11.25">
      <c r="S2079" s="27"/>
    </row>
    <row r="2080" ht="11.25">
      <c r="S2080" s="27"/>
    </row>
    <row r="2081" ht="11.25">
      <c r="S2081" s="27"/>
    </row>
    <row r="2082" ht="11.25">
      <c r="S2082" s="27"/>
    </row>
    <row r="2083" ht="11.25">
      <c r="S2083" s="27"/>
    </row>
    <row r="2084" ht="11.25">
      <c r="S2084" s="27"/>
    </row>
    <row r="2085" ht="11.25">
      <c r="S2085" s="27"/>
    </row>
    <row r="2086" ht="11.25">
      <c r="S2086" s="27"/>
    </row>
    <row r="2087" ht="11.25">
      <c r="S2087" s="27"/>
    </row>
    <row r="2088" ht="11.25">
      <c r="S2088" s="27"/>
    </row>
    <row r="2089" ht="11.25">
      <c r="S2089" s="27"/>
    </row>
    <row r="2090" ht="11.25">
      <c r="S2090" s="27"/>
    </row>
    <row r="2091" ht="11.25">
      <c r="S2091" s="27"/>
    </row>
    <row r="2092" ht="11.25">
      <c r="S2092" s="27"/>
    </row>
    <row r="2093" ht="11.25">
      <c r="S2093" s="27"/>
    </row>
    <row r="2094" ht="11.25">
      <c r="S2094" s="27"/>
    </row>
    <row r="2095" ht="11.25">
      <c r="S2095" s="27"/>
    </row>
    <row r="2096" ht="11.25">
      <c r="S2096" s="27"/>
    </row>
    <row r="2097" ht="11.25">
      <c r="S2097" s="27"/>
    </row>
    <row r="2098" ht="11.25">
      <c r="S2098" s="27"/>
    </row>
    <row r="2099" ht="11.25">
      <c r="S2099" s="27"/>
    </row>
    <row r="2100" ht="11.25">
      <c r="S2100" s="27"/>
    </row>
    <row r="2101" ht="11.25">
      <c r="S2101" s="27"/>
    </row>
    <row r="2102" ht="11.25">
      <c r="S2102" s="27"/>
    </row>
    <row r="2103" ht="11.25">
      <c r="S2103" s="27"/>
    </row>
    <row r="2104" ht="11.25">
      <c r="S2104" s="27"/>
    </row>
    <row r="2105" ht="11.25">
      <c r="S2105" s="27"/>
    </row>
    <row r="2106" ht="11.25">
      <c r="S2106" s="27"/>
    </row>
    <row r="2107" ht="11.25">
      <c r="S2107" s="27"/>
    </row>
    <row r="2108" ht="11.25">
      <c r="S2108" s="27"/>
    </row>
    <row r="2109" ht="11.25">
      <c r="S2109" s="27"/>
    </row>
    <row r="2110" ht="11.25">
      <c r="S2110" s="27"/>
    </row>
    <row r="2111" ht="11.25">
      <c r="S2111" s="27"/>
    </row>
    <row r="2112" ht="11.25">
      <c r="S2112" s="27"/>
    </row>
    <row r="2113" ht="11.25">
      <c r="S2113" s="27"/>
    </row>
    <row r="2114" ht="11.25">
      <c r="S2114" s="27"/>
    </row>
    <row r="2115" ht="11.25">
      <c r="S2115" s="27"/>
    </row>
    <row r="2116" ht="11.25">
      <c r="S2116" s="27"/>
    </row>
    <row r="2117" ht="11.25">
      <c r="S2117" s="27"/>
    </row>
    <row r="2118" ht="11.25">
      <c r="S2118" s="27"/>
    </row>
    <row r="2119" ht="11.25">
      <c r="S2119" s="27"/>
    </row>
    <row r="2120" ht="11.25">
      <c r="S2120" s="27"/>
    </row>
    <row r="2121" ht="11.25">
      <c r="S2121" s="27"/>
    </row>
    <row r="2122" ht="11.25">
      <c r="S2122" s="27"/>
    </row>
    <row r="2123" ht="11.25">
      <c r="S2123" s="27"/>
    </row>
    <row r="2124" ht="11.25">
      <c r="S2124" s="27"/>
    </row>
    <row r="2125" ht="11.25">
      <c r="S2125" s="27"/>
    </row>
    <row r="2126" ht="11.25">
      <c r="S2126" s="27"/>
    </row>
    <row r="2127" ht="11.25">
      <c r="S2127" s="27"/>
    </row>
    <row r="2128" ht="11.25">
      <c r="S2128" s="27"/>
    </row>
    <row r="2129" ht="11.25">
      <c r="S2129" s="27"/>
    </row>
    <row r="2130" ht="11.25">
      <c r="S2130" s="27"/>
    </row>
    <row r="2131" ht="11.25">
      <c r="S2131" s="27"/>
    </row>
    <row r="2132" ht="11.25">
      <c r="S2132" s="27"/>
    </row>
    <row r="2133" ht="11.25">
      <c r="S2133" s="27"/>
    </row>
    <row r="2134" ht="11.25">
      <c r="S2134" s="27"/>
    </row>
    <row r="2135" ht="11.25">
      <c r="S2135" s="27"/>
    </row>
    <row r="2136" ht="11.25">
      <c r="S2136" s="27"/>
    </row>
    <row r="2137" ht="11.25">
      <c r="S2137" s="27"/>
    </row>
    <row r="2138" ht="11.25">
      <c r="S2138" s="27"/>
    </row>
    <row r="2139" ht="11.25">
      <c r="S2139" s="27"/>
    </row>
    <row r="2140" ht="11.25">
      <c r="S2140" s="27"/>
    </row>
    <row r="2141" ht="11.25">
      <c r="S2141" s="27"/>
    </row>
    <row r="2142" ht="11.25">
      <c r="S2142" s="27"/>
    </row>
    <row r="2143" ht="11.25">
      <c r="S2143" s="27"/>
    </row>
    <row r="2144" ht="11.25">
      <c r="S2144" s="27"/>
    </row>
    <row r="2145" ht="11.25">
      <c r="S2145" s="27"/>
    </row>
    <row r="2146" ht="11.25">
      <c r="S2146" s="27"/>
    </row>
    <row r="2147" ht="11.25">
      <c r="S2147" s="27"/>
    </row>
    <row r="2148" ht="11.25">
      <c r="S2148" s="27"/>
    </row>
    <row r="2149" ht="11.25">
      <c r="S2149" s="27"/>
    </row>
    <row r="2150" ht="11.25">
      <c r="S2150" s="27"/>
    </row>
    <row r="2151" ht="11.25">
      <c r="S2151" s="27"/>
    </row>
    <row r="2152" ht="11.25">
      <c r="S2152" s="27"/>
    </row>
    <row r="2153" ht="11.25">
      <c r="S2153" s="27"/>
    </row>
    <row r="2154" ht="11.25">
      <c r="S2154" s="27"/>
    </row>
    <row r="2155" ht="11.25">
      <c r="S2155" s="27"/>
    </row>
    <row r="2156" ht="11.25">
      <c r="S2156" s="27"/>
    </row>
    <row r="2157" ht="11.25">
      <c r="S2157" s="27"/>
    </row>
    <row r="2158" ht="11.25">
      <c r="S2158" s="27"/>
    </row>
    <row r="2159" ht="11.25">
      <c r="S2159" s="27"/>
    </row>
    <row r="2160" ht="11.25">
      <c r="S2160" s="27"/>
    </row>
    <row r="2161" ht="11.25">
      <c r="S2161" s="27"/>
    </row>
    <row r="2162" ht="11.25">
      <c r="S2162" s="27"/>
    </row>
    <row r="2163" ht="11.25">
      <c r="S2163" s="27"/>
    </row>
    <row r="2164" ht="11.25">
      <c r="S2164" s="27"/>
    </row>
    <row r="2165" ht="11.25">
      <c r="S2165" s="27"/>
    </row>
    <row r="2166" ht="11.25">
      <c r="S2166" s="27"/>
    </row>
    <row r="2167" ht="11.25">
      <c r="S2167" s="27"/>
    </row>
    <row r="2168" ht="11.25">
      <c r="S2168" s="27"/>
    </row>
    <row r="2169" ht="11.25">
      <c r="S2169" s="27"/>
    </row>
    <row r="2170" ht="11.25">
      <c r="S2170" s="27"/>
    </row>
    <row r="2171" ht="11.25">
      <c r="S2171" s="27"/>
    </row>
    <row r="2172" ht="11.25">
      <c r="S2172" s="27"/>
    </row>
    <row r="2173" ht="11.25">
      <c r="S2173" s="27"/>
    </row>
    <row r="2174" ht="11.25">
      <c r="S2174" s="27"/>
    </row>
    <row r="2175" ht="11.25">
      <c r="S2175" s="27"/>
    </row>
    <row r="2176" ht="11.25">
      <c r="S2176" s="27"/>
    </row>
    <row r="2177" ht="11.25">
      <c r="S2177" s="27"/>
    </row>
    <row r="2178" ht="11.25">
      <c r="S2178" s="27"/>
    </row>
    <row r="2179" ht="11.25">
      <c r="S2179" s="27"/>
    </row>
    <row r="2180" ht="11.25">
      <c r="S2180" s="27"/>
    </row>
    <row r="2181" ht="11.25">
      <c r="S2181" s="27"/>
    </row>
    <row r="2182" ht="11.25">
      <c r="S2182" s="27"/>
    </row>
    <row r="2183" ht="11.25">
      <c r="S2183" s="27"/>
    </row>
    <row r="2184" ht="11.25">
      <c r="S2184" s="27"/>
    </row>
    <row r="2185" ht="11.25">
      <c r="S2185" s="27"/>
    </row>
    <row r="2186" ht="11.25">
      <c r="S2186" s="27"/>
    </row>
    <row r="2187" ht="11.25">
      <c r="S2187" s="27"/>
    </row>
    <row r="2188" ht="11.25">
      <c r="S2188" s="27"/>
    </row>
    <row r="2189" ht="11.25">
      <c r="S2189" s="27"/>
    </row>
    <row r="2190" ht="11.25">
      <c r="S2190" s="27"/>
    </row>
    <row r="2191" ht="11.25">
      <c r="S2191" s="27"/>
    </row>
    <row r="2192" ht="11.25">
      <c r="S2192" s="27"/>
    </row>
    <row r="2193" ht="11.25">
      <c r="S2193" s="27"/>
    </row>
    <row r="2194" ht="11.25">
      <c r="S2194" s="27"/>
    </row>
    <row r="2195" ht="11.25">
      <c r="S2195" s="27"/>
    </row>
    <row r="2196" ht="11.25">
      <c r="S2196" s="27"/>
    </row>
    <row r="2197" ht="11.25">
      <c r="S2197" s="27"/>
    </row>
    <row r="2198" ht="11.25">
      <c r="S2198" s="27"/>
    </row>
    <row r="2199" ht="11.25">
      <c r="S2199" s="27"/>
    </row>
    <row r="2200" ht="11.25">
      <c r="S2200" s="27"/>
    </row>
    <row r="2201" ht="11.25">
      <c r="S2201" s="27"/>
    </row>
    <row r="2202" ht="11.25">
      <c r="S2202" s="27"/>
    </row>
    <row r="2203" ht="11.25">
      <c r="S2203" s="27"/>
    </row>
    <row r="2204" ht="11.25">
      <c r="S2204" s="27"/>
    </row>
    <row r="2205" ht="11.25">
      <c r="S2205" s="27"/>
    </row>
    <row r="2206" ht="11.25">
      <c r="S2206" s="27"/>
    </row>
    <row r="2207" ht="11.25">
      <c r="S2207" s="27"/>
    </row>
    <row r="2208" ht="11.25">
      <c r="S2208" s="27"/>
    </row>
    <row r="2209" ht="11.25">
      <c r="S2209" s="27"/>
    </row>
    <row r="2210" ht="11.25">
      <c r="S2210" s="27"/>
    </row>
    <row r="2211" ht="11.25">
      <c r="S2211" s="27"/>
    </row>
    <row r="2212" ht="11.25">
      <c r="S2212" s="27"/>
    </row>
    <row r="2213" ht="11.25">
      <c r="S2213" s="27"/>
    </row>
    <row r="2214" ht="11.25">
      <c r="S2214" s="27"/>
    </row>
    <row r="2215" ht="11.25">
      <c r="S2215" s="27"/>
    </row>
    <row r="2216" ht="11.25">
      <c r="S2216" s="27"/>
    </row>
    <row r="2217" ht="11.25">
      <c r="S2217" s="27"/>
    </row>
    <row r="2218" ht="11.25">
      <c r="S2218" s="27"/>
    </row>
    <row r="2219" ht="11.25">
      <c r="S2219" s="27"/>
    </row>
    <row r="2220" ht="11.25">
      <c r="S2220" s="27"/>
    </row>
    <row r="2221" ht="11.25">
      <c r="S2221" s="27"/>
    </row>
    <row r="2222" ht="11.25">
      <c r="S2222" s="27"/>
    </row>
    <row r="2223" ht="11.25">
      <c r="S2223" s="27"/>
    </row>
    <row r="2224" ht="11.25">
      <c r="S2224" s="27"/>
    </row>
    <row r="2225" ht="11.25">
      <c r="S2225" s="27"/>
    </row>
    <row r="2226" ht="11.25">
      <c r="S2226" s="27"/>
    </row>
    <row r="2227" ht="11.25">
      <c r="S2227" s="27"/>
    </row>
    <row r="2228" ht="11.25">
      <c r="S2228" s="27"/>
    </row>
    <row r="2229" ht="11.25">
      <c r="S2229" s="27"/>
    </row>
    <row r="2230" ht="11.25">
      <c r="S2230" s="27"/>
    </row>
    <row r="2231" ht="11.25">
      <c r="S2231" s="27"/>
    </row>
    <row r="2232" ht="11.25">
      <c r="S2232" s="27"/>
    </row>
    <row r="2233" ht="11.25">
      <c r="S2233" s="27"/>
    </row>
    <row r="2234" ht="11.25">
      <c r="S2234" s="27"/>
    </row>
    <row r="2235" ht="11.25">
      <c r="S2235" s="27"/>
    </row>
    <row r="2236" ht="11.25">
      <c r="S2236" s="27"/>
    </row>
    <row r="2237" ht="11.25">
      <c r="S2237" s="27"/>
    </row>
    <row r="2238" ht="11.25">
      <c r="S2238" s="27"/>
    </row>
    <row r="2239" ht="11.25">
      <c r="S2239" s="27"/>
    </row>
    <row r="2240" ht="11.25">
      <c r="S2240" s="27"/>
    </row>
    <row r="2241" ht="11.25">
      <c r="S2241" s="27"/>
    </row>
    <row r="2242" ht="11.25">
      <c r="S2242" s="27"/>
    </row>
    <row r="2243" ht="11.25">
      <c r="S2243" s="27"/>
    </row>
    <row r="2244" ht="11.25">
      <c r="S2244" s="27"/>
    </row>
    <row r="2245" ht="11.25">
      <c r="S2245" s="27"/>
    </row>
    <row r="2246" ht="11.25">
      <c r="S2246" s="27"/>
    </row>
    <row r="2247" ht="11.25">
      <c r="S2247" s="27"/>
    </row>
    <row r="2248" ht="11.25">
      <c r="S2248" s="27"/>
    </row>
    <row r="2249" ht="11.25">
      <c r="S2249" s="27"/>
    </row>
    <row r="2250" ht="11.25">
      <c r="S2250" s="27"/>
    </row>
    <row r="2251" ht="11.25">
      <c r="S2251" s="27"/>
    </row>
    <row r="2252" ht="11.25">
      <c r="S2252" s="27"/>
    </row>
    <row r="2253" ht="11.25">
      <c r="S2253" s="27"/>
    </row>
    <row r="2254" ht="11.25">
      <c r="S2254" s="27"/>
    </row>
    <row r="2255" ht="11.25">
      <c r="S2255" s="27"/>
    </row>
    <row r="2256" ht="11.25">
      <c r="S2256" s="27"/>
    </row>
    <row r="2257" ht="11.25">
      <c r="S2257" s="27"/>
    </row>
    <row r="2258" ht="11.25">
      <c r="S2258" s="27"/>
    </row>
    <row r="2259" ht="11.25">
      <c r="S2259" s="27"/>
    </row>
    <row r="2260" ht="11.25">
      <c r="S2260" s="27"/>
    </row>
    <row r="2261" ht="11.25">
      <c r="S2261" s="27"/>
    </row>
    <row r="2262" ht="11.25">
      <c r="S2262" s="27"/>
    </row>
    <row r="2263" ht="11.25">
      <c r="S2263" s="27"/>
    </row>
    <row r="2264" ht="11.25">
      <c r="S2264" s="27"/>
    </row>
    <row r="2265" ht="11.25">
      <c r="S2265" s="27"/>
    </row>
    <row r="2266" ht="11.25">
      <c r="S2266" s="27"/>
    </row>
    <row r="2267" ht="11.25">
      <c r="S2267" s="27"/>
    </row>
    <row r="2268" ht="11.25">
      <c r="S2268" s="27"/>
    </row>
    <row r="2269" ht="11.25">
      <c r="S2269" s="27"/>
    </row>
    <row r="2270" ht="11.25">
      <c r="S2270" s="27"/>
    </row>
    <row r="2271" ht="11.25">
      <c r="S2271" s="27"/>
    </row>
    <row r="2272" ht="11.25">
      <c r="S2272" s="27"/>
    </row>
    <row r="2273" ht="11.25">
      <c r="S2273" s="27"/>
    </row>
    <row r="2274" ht="11.25">
      <c r="S2274" s="27"/>
    </row>
    <row r="2275" ht="11.25">
      <c r="S2275" s="27"/>
    </row>
    <row r="2276" ht="11.25">
      <c r="S2276" s="27"/>
    </row>
    <row r="2277" ht="11.25">
      <c r="S2277" s="27"/>
    </row>
    <row r="2278" ht="11.25">
      <c r="S2278" s="27"/>
    </row>
    <row r="2279" ht="11.25">
      <c r="S2279" s="27"/>
    </row>
    <row r="2280" ht="11.25">
      <c r="S2280" s="27"/>
    </row>
    <row r="2281" ht="11.25">
      <c r="S2281" s="27"/>
    </row>
    <row r="2282" ht="11.25">
      <c r="S2282" s="27"/>
    </row>
    <row r="2283" ht="11.25">
      <c r="S2283" s="27"/>
    </row>
    <row r="2284" ht="11.25">
      <c r="S2284" s="27"/>
    </row>
    <row r="2285" ht="11.25">
      <c r="S2285" s="27"/>
    </row>
    <row r="2286" ht="11.25">
      <c r="S2286" s="27"/>
    </row>
    <row r="2287" ht="11.25">
      <c r="S2287" s="27"/>
    </row>
    <row r="2288" ht="11.25">
      <c r="S2288" s="27"/>
    </row>
    <row r="2289" ht="11.25">
      <c r="S2289" s="27"/>
    </row>
    <row r="2290" ht="11.25">
      <c r="S2290" s="27"/>
    </row>
    <row r="2291" ht="11.25">
      <c r="S2291" s="27"/>
    </row>
    <row r="2292" ht="11.25">
      <c r="S2292" s="27"/>
    </row>
    <row r="2293" ht="11.25">
      <c r="S2293" s="27"/>
    </row>
    <row r="2294" ht="11.25">
      <c r="S2294" s="27"/>
    </row>
    <row r="2295" ht="11.25">
      <c r="S2295" s="27"/>
    </row>
    <row r="2296" ht="11.25">
      <c r="S2296" s="27"/>
    </row>
    <row r="2297" ht="11.25">
      <c r="S2297" s="27"/>
    </row>
    <row r="2298" ht="11.25">
      <c r="S2298" s="27"/>
    </row>
    <row r="2299" ht="11.25">
      <c r="S2299" s="27"/>
    </row>
    <row r="2300" ht="11.25">
      <c r="S2300" s="27"/>
    </row>
    <row r="2301" ht="11.25">
      <c r="S2301" s="27"/>
    </row>
    <row r="2302" ht="11.25">
      <c r="S2302" s="27"/>
    </row>
    <row r="2303" ht="11.25">
      <c r="S2303" s="27"/>
    </row>
    <row r="2304" ht="11.25">
      <c r="S2304" s="27"/>
    </row>
    <row r="2305" ht="11.25">
      <c r="S2305" s="27"/>
    </row>
    <row r="2306" ht="11.25">
      <c r="S2306" s="27"/>
    </row>
    <row r="2307" ht="11.25">
      <c r="S2307" s="27"/>
    </row>
    <row r="2308" ht="11.25">
      <c r="S2308" s="27"/>
    </row>
    <row r="2309" ht="11.25">
      <c r="S2309" s="27"/>
    </row>
    <row r="2310" ht="11.25">
      <c r="S2310" s="27"/>
    </row>
    <row r="2311" ht="11.25">
      <c r="S2311" s="27"/>
    </row>
    <row r="2312" ht="11.25">
      <c r="S2312" s="27"/>
    </row>
    <row r="2313" ht="11.25">
      <c r="S2313" s="27"/>
    </row>
    <row r="2314" ht="11.25">
      <c r="S2314" s="27"/>
    </row>
    <row r="2315" ht="11.25">
      <c r="S2315" s="27"/>
    </row>
    <row r="2316" ht="11.25">
      <c r="S2316" s="27"/>
    </row>
    <row r="2317" ht="11.25">
      <c r="S2317" s="27"/>
    </row>
    <row r="2318" ht="11.25">
      <c r="S2318" s="27"/>
    </row>
    <row r="2319" ht="11.25">
      <c r="S2319" s="27"/>
    </row>
    <row r="2320" ht="11.25">
      <c r="S2320" s="27"/>
    </row>
    <row r="2321" ht="11.25">
      <c r="S2321" s="27"/>
    </row>
    <row r="2322" ht="11.25">
      <c r="S2322" s="27"/>
    </row>
    <row r="2323" ht="11.25">
      <c r="S2323" s="27"/>
    </row>
    <row r="2324" ht="11.25">
      <c r="S2324" s="27"/>
    </row>
    <row r="2325" ht="11.25">
      <c r="S2325" s="27"/>
    </row>
    <row r="2326" ht="11.25">
      <c r="S2326" s="27"/>
    </row>
    <row r="2327" ht="11.25">
      <c r="S2327" s="27"/>
    </row>
    <row r="2328" ht="11.25">
      <c r="S2328" s="27"/>
    </row>
    <row r="2329" ht="11.25">
      <c r="S2329" s="27"/>
    </row>
    <row r="2330" ht="11.25">
      <c r="S2330" s="27"/>
    </row>
    <row r="2331" ht="11.25">
      <c r="S2331" s="27"/>
    </row>
    <row r="2332" ht="11.25">
      <c r="S2332" s="27"/>
    </row>
    <row r="2333" ht="11.25">
      <c r="S2333" s="27"/>
    </row>
    <row r="2334" ht="11.25">
      <c r="S2334" s="27"/>
    </row>
    <row r="2335" ht="11.25">
      <c r="S2335" s="27"/>
    </row>
    <row r="2336" ht="11.25">
      <c r="S2336" s="27"/>
    </row>
    <row r="2337" ht="11.25">
      <c r="S2337" s="27"/>
    </row>
    <row r="2338" ht="11.25">
      <c r="S2338" s="27"/>
    </row>
    <row r="2339" ht="11.25">
      <c r="S2339" s="27"/>
    </row>
    <row r="2340" ht="11.25">
      <c r="S2340" s="27"/>
    </row>
    <row r="2341" ht="11.25">
      <c r="S2341" s="27"/>
    </row>
    <row r="2342" ht="11.25">
      <c r="S2342" s="27"/>
    </row>
    <row r="2343" ht="11.25">
      <c r="S2343" s="27"/>
    </row>
    <row r="2344" ht="11.25">
      <c r="S2344" s="27"/>
    </row>
    <row r="2345" ht="11.25">
      <c r="S2345" s="27"/>
    </row>
    <row r="2346" ht="11.25">
      <c r="S2346" s="27"/>
    </row>
    <row r="2347" ht="11.25">
      <c r="S2347" s="27"/>
    </row>
    <row r="2348" ht="11.25">
      <c r="S2348" s="27"/>
    </row>
    <row r="2349" ht="11.25">
      <c r="S2349" s="27"/>
    </row>
    <row r="2350" ht="11.25">
      <c r="S2350" s="27"/>
    </row>
    <row r="2351" ht="11.25">
      <c r="S2351" s="27"/>
    </row>
    <row r="2352" ht="11.25">
      <c r="S2352" s="27"/>
    </row>
    <row r="2353" ht="11.25">
      <c r="S2353" s="27"/>
    </row>
    <row r="2354" ht="11.25">
      <c r="S2354" s="27"/>
    </row>
    <row r="2355" ht="11.25">
      <c r="S2355" s="27"/>
    </row>
    <row r="2356" ht="11.25">
      <c r="S2356" s="27"/>
    </row>
    <row r="2357" ht="11.25">
      <c r="S2357" s="27"/>
    </row>
    <row r="2358" ht="11.25">
      <c r="S2358" s="27"/>
    </row>
    <row r="2359" ht="11.25">
      <c r="S2359" s="27"/>
    </row>
    <row r="2360" ht="11.25">
      <c r="S2360" s="27"/>
    </row>
    <row r="2361" ht="11.25">
      <c r="S2361" s="27"/>
    </row>
    <row r="2362" ht="11.25">
      <c r="S2362" s="27"/>
    </row>
    <row r="2363" ht="11.25">
      <c r="S2363" s="27"/>
    </row>
    <row r="2364" ht="11.25">
      <c r="S2364" s="27"/>
    </row>
    <row r="2365" ht="11.25">
      <c r="S2365" s="27"/>
    </row>
    <row r="2366" ht="11.25">
      <c r="S2366" s="27"/>
    </row>
    <row r="2367" ht="11.25">
      <c r="S2367" s="27"/>
    </row>
    <row r="2368" ht="11.25">
      <c r="S2368" s="27"/>
    </row>
    <row r="2369" ht="11.25">
      <c r="S2369" s="27"/>
    </row>
    <row r="2370" ht="11.25">
      <c r="S2370" s="27"/>
    </row>
    <row r="2371" ht="11.25">
      <c r="S2371" s="27"/>
    </row>
    <row r="2372" ht="11.25">
      <c r="S2372" s="27"/>
    </row>
    <row r="2373" ht="11.25">
      <c r="S2373" s="27"/>
    </row>
    <row r="2374" ht="11.25">
      <c r="S2374" s="27"/>
    </row>
    <row r="2375" ht="11.25">
      <c r="S2375" s="27"/>
    </row>
    <row r="2376" ht="11.25">
      <c r="S2376" s="27"/>
    </row>
    <row r="2377" ht="11.25">
      <c r="S2377" s="27"/>
    </row>
    <row r="2378" ht="11.25">
      <c r="S2378" s="27"/>
    </row>
    <row r="2379" ht="11.25">
      <c r="S2379" s="27"/>
    </row>
    <row r="2380" ht="11.25">
      <c r="S2380" s="27"/>
    </row>
    <row r="2381" ht="11.25">
      <c r="S2381" s="27"/>
    </row>
    <row r="2382" ht="11.25">
      <c r="S2382" s="27"/>
    </row>
    <row r="2383" ht="11.25">
      <c r="S2383" s="27"/>
    </row>
    <row r="2384" ht="11.25">
      <c r="S2384" s="27"/>
    </row>
    <row r="2385" ht="11.25">
      <c r="S2385" s="27"/>
    </row>
    <row r="2386" ht="11.25">
      <c r="S2386" s="27"/>
    </row>
    <row r="2387" ht="11.25">
      <c r="S2387" s="27"/>
    </row>
    <row r="2388" ht="11.25">
      <c r="S2388" s="27"/>
    </row>
    <row r="2389" ht="11.25">
      <c r="S2389" s="27"/>
    </row>
    <row r="2390" ht="11.25">
      <c r="S2390" s="27"/>
    </row>
    <row r="2391" ht="11.25">
      <c r="S2391" s="27"/>
    </row>
    <row r="2392" ht="11.25">
      <c r="S2392" s="27"/>
    </row>
    <row r="2393" ht="11.25">
      <c r="S2393" s="27"/>
    </row>
    <row r="2394" ht="11.25">
      <c r="S2394" s="27"/>
    </row>
    <row r="2395" ht="11.25">
      <c r="S2395" s="27"/>
    </row>
    <row r="2396" ht="11.25">
      <c r="S2396" s="27"/>
    </row>
    <row r="2397" ht="11.25">
      <c r="S2397" s="27"/>
    </row>
    <row r="2398" ht="11.25">
      <c r="S2398" s="27"/>
    </row>
    <row r="2399" ht="11.25">
      <c r="S2399" s="27"/>
    </row>
    <row r="2400" ht="11.25">
      <c r="S2400" s="27"/>
    </row>
    <row r="2401" ht="11.25">
      <c r="S2401" s="27"/>
    </row>
    <row r="2402" ht="11.25">
      <c r="S2402" s="27"/>
    </row>
    <row r="2403" ht="11.25">
      <c r="S2403" s="27"/>
    </row>
    <row r="2404" ht="11.25">
      <c r="S2404" s="27"/>
    </row>
    <row r="2405" ht="11.25">
      <c r="S2405" s="27"/>
    </row>
    <row r="2406" ht="11.25">
      <c r="S2406" s="27"/>
    </row>
    <row r="2407" ht="11.25">
      <c r="S2407" s="27"/>
    </row>
    <row r="2408" ht="11.25">
      <c r="S2408" s="27"/>
    </row>
    <row r="2409" ht="11.25">
      <c r="S2409" s="27"/>
    </row>
    <row r="2410" ht="11.25">
      <c r="S2410" s="27"/>
    </row>
    <row r="2411" ht="11.25">
      <c r="S2411" s="27"/>
    </row>
    <row r="2412" ht="11.25">
      <c r="S2412" s="27"/>
    </row>
    <row r="2413" ht="11.25">
      <c r="S2413" s="27"/>
    </row>
    <row r="2414" ht="11.25">
      <c r="S2414" s="27"/>
    </row>
    <row r="2415" ht="11.25">
      <c r="S2415" s="27"/>
    </row>
    <row r="2416" ht="11.25">
      <c r="S2416" s="27"/>
    </row>
    <row r="2417" ht="11.25">
      <c r="S2417" s="27"/>
    </row>
    <row r="2418" ht="11.25">
      <c r="S2418" s="27"/>
    </row>
    <row r="2419" ht="11.25">
      <c r="S2419" s="27"/>
    </row>
    <row r="2420" ht="11.25">
      <c r="S2420" s="27"/>
    </row>
    <row r="2421" ht="11.25">
      <c r="S2421" s="27"/>
    </row>
    <row r="2422" ht="11.25">
      <c r="S2422" s="27"/>
    </row>
    <row r="2423" ht="11.25">
      <c r="S2423" s="27"/>
    </row>
    <row r="2424" ht="11.25">
      <c r="S2424" s="27"/>
    </row>
    <row r="2425" ht="11.25">
      <c r="S2425" s="27"/>
    </row>
    <row r="2426" ht="11.25">
      <c r="S2426" s="27"/>
    </row>
    <row r="2427" ht="11.25">
      <c r="S2427" s="27"/>
    </row>
    <row r="2428" ht="11.25">
      <c r="S2428" s="27"/>
    </row>
    <row r="2429" ht="11.25">
      <c r="S2429" s="27"/>
    </row>
    <row r="2430" ht="11.25">
      <c r="S2430" s="27"/>
    </row>
    <row r="2431" ht="11.25">
      <c r="S2431" s="27"/>
    </row>
    <row r="2432" ht="11.25">
      <c r="S2432" s="27"/>
    </row>
    <row r="2433" ht="11.25">
      <c r="S2433" s="27"/>
    </row>
    <row r="2434" ht="11.25">
      <c r="S2434" s="27"/>
    </row>
    <row r="2435" ht="11.25">
      <c r="S2435" s="27"/>
    </row>
    <row r="2436" ht="11.25">
      <c r="S2436" s="27"/>
    </row>
    <row r="2437" ht="11.25">
      <c r="S2437" s="27"/>
    </row>
    <row r="2438" ht="11.25">
      <c r="S2438" s="27"/>
    </row>
    <row r="2439" ht="11.25">
      <c r="S2439" s="27"/>
    </row>
    <row r="2440" ht="11.25">
      <c r="S2440" s="27"/>
    </row>
    <row r="2441" ht="11.25">
      <c r="S2441" s="27"/>
    </row>
    <row r="2442" ht="11.25">
      <c r="S2442" s="27"/>
    </row>
    <row r="2443" ht="11.25">
      <c r="S2443" s="27"/>
    </row>
    <row r="2444" ht="11.25">
      <c r="S2444" s="27"/>
    </row>
    <row r="2445" ht="11.25">
      <c r="S2445" s="27"/>
    </row>
    <row r="2446" ht="11.25">
      <c r="S2446" s="27"/>
    </row>
    <row r="2447" ht="11.25">
      <c r="S2447" s="27"/>
    </row>
    <row r="2448" ht="11.25">
      <c r="S2448" s="27"/>
    </row>
    <row r="2449" ht="11.25">
      <c r="S2449" s="27"/>
    </row>
    <row r="2450" ht="11.25">
      <c r="S2450" s="27"/>
    </row>
    <row r="2451" ht="11.25">
      <c r="S2451" s="27"/>
    </row>
    <row r="2452" ht="11.25">
      <c r="S2452" s="27"/>
    </row>
    <row r="2453" ht="11.25">
      <c r="S2453" s="27"/>
    </row>
    <row r="2454" ht="11.25">
      <c r="S2454" s="27"/>
    </row>
    <row r="2455" ht="11.25">
      <c r="S2455" s="27"/>
    </row>
    <row r="2456" ht="11.25">
      <c r="S2456" s="27"/>
    </row>
    <row r="2457" ht="11.25">
      <c r="S2457" s="27"/>
    </row>
    <row r="2458" ht="11.25">
      <c r="S2458" s="27"/>
    </row>
    <row r="2459" ht="11.25">
      <c r="S2459" s="27"/>
    </row>
    <row r="2460" ht="11.25">
      <c r="S2460" s="27"/>
    </row>
    <row r="2461" ht="11.25">
      <c r="S2461" s="27"/>
    </row>
    <row r="2462" ht="11.25">
      <c r="S2462" s="27"/>
    </row>
    <row r="2463" ht="11.25">
      <c r="S2463" s="27"/>
    </row>
    <row r="2464" ht="11.25">
      <c r="S2464" s="27"/>
    </row>
    <row r="2465" ht="11.25">
      <c r="S2465" s="27"/>
    </row>
    <row r="2466" ht="11.25">
      <c r="S2466" s="27"/>
    </row>
    <row r="2467" ht="11.25">
      <c r="S2467" s="27"/>
    </row>
    <row r="2468" ht="11.25">
      <c r="S2468" s="27"/>
    </row>
    <row r="2469" ht="11.25">
      <c r="S2469" s="27"/>
    </row>
    <row r="2470" ht="11.25">
      <c r="S2470" s="27"/>
    </row>
    <row r="2471" ht="11.25">
      <c r="S2471" s="27"/>
    </row>
    <row r="2472" ht="11.25">
      <c r="S2472" s="27"/>
    </row>
    <row r="2473" ht="11.25">
      <c r="S2473" s="27"/>
    </row>
    <row r="2474" ht="11.25">
      <c r="S2474" s="27"/>
    </row>
    <row r="2475" ht="11.25">
      <c r="S2475" s="27"/>
    </row>
    <row r="2476" ht="11.25">
      <c r="S2476" s="27"/>
    </row>
    <row r="2477" ht="11.25">
      <c r="S2477" s="27"/>
    </row>
    <row r="2478" ht="11.25">
      <c r="S2478" s="27"/>
    </row>
    <row r="2479" ht="11.25">
      <c r="S2479" s="27"/>
    </row>
    <row r="2480" ht="11.25">
      <c r="S2480" s="27"/>
    </row>
    <row r="2481" ht="11.25">
      <c r="S2481" s="27"/>
    </row>
    <row r="2482" ht="11.25">
      <c r="S2482" s="27"/>
    </row>
    <row r="2483" ht="11.25">
      <c r="S2483" s="27"/>
    </row>
    <row r="2484" ht="11.25">
      <c r="S2484" s="27"/>
    </row>
    <row r="2485" ht="11.25">
      <c r="S2485" s="27"/>
    </row>
    <row r="2486" ht="11.25">
      <c r="S2486" s="27"/>
    </row>
    <row r="2487" ht="11.25">
      <c r="S2487" s="27"/>
    </row>
    <row r="2488" ht="11.25">
      <c r="S2488" s="27"/>
    </row>
    <row r="2489" ht="11.25">
      <c r="S2489" s="27"/>
    </row>
    <row r="2490" ht="11.25">
      <c r="S2490" s="27"/>
    </row>
    <row r="2491" ht="11.25">
      <c r="S2491" s="27"/>
    </row>
    <row r="2492" ht="11.25">
      <c r="S2492" s="27"/>
    </row>
    <row r="2493" ht="11.25">
      <c r="S2493" s="27"/>
    </row>
    <row r="2494" ht="11.25">
      <c r="S2494" s="27"/>
    </row>
    <row r="2495" ht="11.25">
      <c r="S2495" s="27"/>
    </row>
    <row r="2496" ht="11.25">
      <c r="S2496" s="27"/>
    </row>
    <row r="2497" ht="11.25">
      <c r="S2497" s="27"/>
    </row>
    <row r="2498" ht="11.25">
      <c r="S2498" s="27"/>
    </row>
    <row r="2499" ht="11.25">
      <c r="S2499" s="27"/>
    </row>
    <row r="2500" ht="11.25">
      <c r="S2500" s="27"/>
    </row>
    <row r="2501" ht="11.25">
      <c r="S2501" s="27"/>
    </row>
    <row r="2502" ht="11.25">
      <c r="S2502" s="27"/>
    </row>
    <row r="2503" ht="11.25">
      <c r="S2503" s="27"/>
    </row>
    <row r="2504" ht="11.25">
      <c r="S2504" s="27"/>
    </row>
    <row r="2505" ht="11.25">
      <c r="S2505" s="27"/>
    </row>
    <row r="2506" ht="11.25">
      <c r="S2506" s="27"/>
    </row>
    <row r="2507" ht="11.25">
      <c r="S2507" s="27"/>
    </row>
    <row r="2508" ht="11.25">
      <c r="S2508" s="27"/>
    </row>
    <row r="2509" ht="11.25">
      <c r="S2509" s="27"/>
    </row>
    <row r="2510" ht="11.25">
      <c r="S2510" s="27"/>
    </row>
    <row r="2511" ht="11.25">
      <c r="S2511" s="27"/>
    </row>
    <row r="2512" ht="11.25">
      <c r="S2512" s="27"/>
    </row>
    <row r="2513" ht="11.25">
      <c r="S2513" s="27"/>
    </row>
    <row r="2514" ht="11.25">
      <c r="S2514" s="27"/>
    </row>
    <row r="2515" ht="11.25">
      <c r="S2515" s="27"/>
    </row>
    <row r="2516" ht="11.25">
      <c r="S2516" s="27"/>
    </row>
    <row r="2517" ht="11.25">
      <c r="S2517" s="27"/>
    </row>
    <row r="2518" ht="11.25">
      <c r="S2518" s="27"/>
    </row>
    <row r="2519" ht="11.25">
      <c r="S2519" s="27"/>
    </row>
    <row r="2520" ht="11.25">
      <c r="S2520" s="27"/>
    </row>
    <row r="2521" ht="11.25">
      <c r="S2521" s="27"/>
    </row>
    <row r="2522" ht="11.25">
      <c r="S2522" s="27"/>
    </row>
    <row r="2523" ht="11.25">
      <c r="S2523" s="27"/>
    </row>
    <row r="2524" ht="11.25">
      <c r="S2524" s="27"/>
    </row>
    <row r="2525" ht="11.25">
      <c r="S2525" s="27"/>
    </row>
    <row r="2526" ht="11.25">
      <c r="S2526" s="27"/>
    </row>
    <row r="2527" ht="11.25">
      <c r="S2527" s="27"/>
    </row>
    <row r="2528" ht="11.25">
      <c r="S2528" s="27"/>
    </row>
    <row r="2529" ht="11.25">
      <c r="S2529" s="27"/>
    </row>
    <row r="2530" ht="11.25">
      <c r="S2530" s="27"/>
    </row>
    <row r="2531" ht="11.25">
      <c r="S2531" s="27"/>
    </row>
    <row r="2532" ht="11.25">
      <c r="S2532" s="27"/>
    </row>
    <row r="2533" ht="11.25">
      <c r="S2533" s="27"/>
    </row>
    <row r="2534" ht="11.25">
      <c r="S2534" s="27"/>
    </row>
    <row r="2535" ht="11.25">
      <c r="S2535" s="27"/>
    </row>
    <row r="2536" ht="11.25">
      <c r="S2536" s="27"/>
    </row>
    <row r="2537" ht="11.25">
      <c r="S2537" s="27"/>
    </row>
    <row r="2538" ht="11.25">
      <c r="S2538" s="27"/>
    </row>
    <row r="2539" ht="11.25">
      <c r="S2539" s="27"/>
    </row>
    <row r="2540" ht="11.25">
      <c r="S2540" s="27"/>
    </row>
    <row r="2541" ht="11.25">
      <c r="S2541" s="27"/>
    </row>
    <row r="2542" ht="11.25">
      <c r="S2542" s="27"/>
    </row>
    <row r="2543" ht="11.25">
      <c r="S2543" s="27"/>
    </row>
    <row r="2544" ht="11.25">
      <c r="S2544" s="27"/>
    </row>
    <row r="2545" ht="11.25">
      <c r="S2545" s="27"/>
    </row>
    <row r="2546" ht="11.25">
      <c r="S2546" s="27"/>
    </row>
    <row r="2547" ht="11.25">
      <c r="S2547" s="27"/>
    </row>
    <row r="2548" ht="11.25">
      <c r="S2548" s="27"/>
    </row>
    <row r="2549" ht="11.25">
      <c r="S2549" s="27"/>
    </row>
    <row r="2550" ht="11.25">
      <c r="S2550" s="27"/>
    </row>
    <row r="2551" ht="11.25">
      <c r="S2551" s="27"/>
    </row>
    <row r="2552" ht="11.25">
      <c r="S2552" s="27"/>
    </row>
    <row r="2553" ht="11.25">
      <c r="S2553" s="27"/>
    </row>
    <row r="2554" ht="11.25">
      <c r="S2554" s="27"/>
    </row>
    <row r="2555" ht="11.25">
      <c r="S2555" s="27"/>
    </row>
    <row r="2556" ht="11.25">
      <c r="S2556" s="27"/>
    </row>
    <row r="2557" ht="11.25">
      <c r="S2557" s="27"/>
    </row>
    <row r="2558" ht="11.25">
      <c r="S2558" s="27"/>
    </row>
    <row r="2559" ht="11.25">
      <c r="S2559" s="27"/>
    </row>
    <row r="2560" ht="11.25">
      <c r="S2560" s="27"/>
    </row>
    <row r="2561" ht="11.25">
      <c r="S2561" s="27"/>
    </row>
    <row r="2562" ht="11.25">
      <c r="S2562" s="27"/>
    </row>
    <row r="2563" ht="11.25">
      <c r="S2563" s="27"/>
    </row>
    <row r="2564" ht="11.25">
      <c r="S2564" s="27"/>
    </row>
    <row r="2565" ht="11.25">
      <c r="S2565" s="27"/>
    </row>
    <row r="2566" ht="11.25">
      <c r="S2566" s="27"/>
    </row>
    <row r="2567" ht="11.25">
      <c r="S2567" s="27"/>
    </row>
    <row r="2568" ht="11.25">
      <c r="S2568" s="27"/>
    </row>
    <row r="2569" ht="11.25">
      <c r="S2569" s="27"/>
    </row>
    <row r="2570" ht="11.25">
      <c r="S2570" s="27"/>
    </row>
    <row r="2571" ht="11.25">
      <c r="S2571" s="27"/>
    </row>
    <row r="2572" ht="11.25">
      <c r="S2572" s="27"/>
    </row>
    <row r="2573" ht="11.25">
      <c r="S2573" s="27"/>
    </row>
    <row r="2574" ht="11.25">
      <c r="S2574" s="27"/>
    </row>
    <row r="2575" ht="11.25">
      <c r="S2575" s="27"/>
    </row>
    <row r="2576" ht="11.25">
      <c r="S2576" s="27"/>
    </row>
    <row r="2577" ht="11.25">
      <c r="S2577" s="27"/>
    </row>
    <row r="2578" ht="11.25">
      <c r="S2578" s="27"/>
    </row>
    <row r="2579" ht="11.25">
      <c r="S2579" s="27"/>
    </row>
    <row r="2580" ht="11.25">
      <c r="S2580" s="27"/>
    </row>
    <row r="2581" ht="11.25">
      <c r="S2581" s="27"/>
    </row>
    <row r="2582" ht="11.25">
      <c r="S2582" s="27"/>
    </row>
    <row r="2583" ht="11.25">
      <c r="S2583" s="27"/>
    </row>
    <row r="2584" ht="11.25">
      <c r="S2584" s="27"/>
    </row>
    <row r="2585" ht="11.25">
      <c r="S2585" s="27"/>
    </row>
    <row r="2586" ht="11.25">
      <c r="S2586" s="27"/>
    </row>
    <row r="2587" ht="11.25">
      <c r="S2587" s="27"/>
    </row>
    <row r="2588" ht="11.25">
      <c r="S2588" s="27"/>
    </row>
    <row r="2589" ht="11.25">
      <c r="S2589" s="27"/>
    </row>
    <row r="2590" ht="11.25">
      <c r="S2590" s="27"/>
    </row>
    <row r="2591" ht="11.25">
      <c r="S2591" s="27"/>
    </row>
    <row r="2592" ht="11.25">
      <c r="S2592" s="27"/>
    </row>
    <row r="2593" ht="11.25">
      <c r="S2593" s="27"/>
    </row>
    <row r="2594" ht="11.25">
      <c r="S2594" s="27"/>
    </row>
    <row r="2595" ht="11.25">
      <c r="S2595" s="27"/>
    </row>
    <row r="2596" ht="11.25">
      <c r="S2596" s="27"/>
    </row>
    <row r="2597" ht="11.25">
      <c r="S2597" s="27"/>
    </row>
    <row r="2598" ht="11.25">
      <c r="S2598" s="27"/>
    </row>
    <row r="2599" ht="11.25">
      <c r="S2599" s="27"/>
    </row>
    <row r="2600" ht="11.25">
      <c r="S2600" s="27"/>
    </row>
    <row r="2601" ht="11.25">
      <c r="S2601" s="27"/>
    </row>
    <row r="2602" ht="11.25">
      <c r="S2602" s="27"/>
    </row>
    <row r="2603" ht="11.25">
      <c r="S2603" s="27"/>
    </row>
    <row r="2604" ht="11.25">
      <c r="S2604" s="27"/>
    </row>
    <row r="2605" ht="11.25">
      <c r="S2605" s="27"/>
    </row>
    <row r="2606" ht="11.25">
      <c r="S2606" s="27"/>
    </row>
    <row r="2607" ht="11.25">
      <c r="S2607" s="27"/>
    </row>
    <row r="2608" ht="11.25">
      <c r="S2608" s="27"/>
    </row>
    <row r="2609" ht="11.25">
      <c r="S2609" s="27"/>
    </row>
    <row r="2610" ht="11.25">
      <c r="S2610" s="27"/>
    </row>
    <row r="2611" ht="11.25">
      <c r="S2611" s="27"/>
    </row>
    <row r="2612" ht="11.25">
      <c r="S2612" s="27"/>
    </row>
    <row r="2613" ht="11.25">
      <c r="S2613" s="27"/>
    </row>
    <row r="2614" ht="11.25">
      <c r="S2614" s="27"/>
    </row>
    <row r="2615" ht="11.25">
      <c r="S2615" s="27"/>
    </row>
    <row r="2616" ht="11.25">
      <c r="S2616" s="27"/>
    </row>
    <row r="2617" ht="11.25">
      <c r="S2617" s="27"/>
    </row>
    <row r="2618" ht="11.25">
      <c r="S2618" s="27"/>
    </row>
    <row r="2619" ht="11.25">
      <c r="S2619" s="27"/>
    </row>
    <row r="2620" ht="11.25">
      <c r="S2620" s="27"/>
    </row>
    <row r="2621" ht="11.25">
      <c r="S2621" s="27"/>
    </row>
    <row r="2622" ht="11.25">
      <c r="S2622" s="27"/>
    </row>
    <row r="2623" ht="11.25">
      <c r="S2623" s="27"/>
    </row>
    <row r="2624" ht="11.25">
      <c r="S2624" s="27"/>
    </row>
    <row r="2625" ht="11.25">
      <c r="S2625" s="27"/>
    </row>
    <row r="2626" ht="11.25">
      <c r="S2626" s="27"/>
    </row>
    <row r="2627" ht="11.25">
      <c r="S2627" s="27"/>
    </row>
    <row r="2628" ht="11.25">
      <c r="S2628" s="27"/>
    </row>
    <row r="2629" ht="11.25">
      <c r="S2629" s="27"/>
    </row>
    <row r="2630" ht="11.25">
      <c r="S2630" s="27"/>
    </row>
    <row r="2631" ht="11.25">
      <c r="S2631" s="27"/>
    </row>
    <row r="2632" ht="11.25">
      <c r="S2632" s="27"/>
    </row>
    <row r="2633" ht="11.25">
      <c r="S2633" s="27"/>
    </row>
    <row r="2634" ht="11.25">
      <c r="S2634" s="27"/>
    </row>
    <row r="2635" ht="11.25">
      <c r="S2635" s="27"/>
    </row>
    <row r="2636" ht="11.25">
      <c r="S2636" s="27"/>
    </row>
    <row r="2637" ht="11.25">
      <c r="S2637" s="27"/>
    </row>
    <row r="2638" ht="11.25">
      <c r="S2638" s="27"/>
    </row>
    <row r="2639" ht="11.25">
      <c r="S2639" s="27"/>
    </row>
    <row r="2640" ht="11.25">
      <c r="S2640" s="27"/>
    </row>
    <row r="2641" ht="11.25">
      <c r="S2641" s="27"/>
    </row>
    <row r="2642" ht="11.25">
      <c r="S2642" s="27"/>
    </row>
    <row r="2643" ht="11.25">
      <c r="S2643" s="27"/>
    </row>
    <row r="2644" ht="11.25">
      <c r="S2644" s="27"/>
    </row>
    <row r="2645" ht="11.25">
      <c r="S2645" s="27"/>
    </row>
    <row r="2646" ht="11.25">
      <c r="S2646" s="27"/>
    </row>
    <row r="2647" ht="11.25">
      <c r="S2647" s="27"/>
    </row>
    <row r="2648" ht="11.25">
      <c r="S2648" s="27"/>
    </row>
    <row r="2649" ht="11.25">
      <c r="S2649" s="27"/>
    </row>
    <row r="2650" ht="11.25">
      <c r="S2650" s="27"/>
    </row>
    <row r="2651" ht="11.25">
      <c r="S2651" s="27"/>
    </row>
    <row r="2652" ht="11.25">
      <c r="S2652" s="27"/>
    </row>
    <row r="2653" ht="11.25">
      <c r="S2653" s="27"/>
    </row>
    <row r="2654" ht="11.25">
      <c r="S2654" s="27"/>
    </row>
    <row r="2655" ht="11.25">
      <c r="S2655" s="27"/>
    </row>
    <row r="2656" ht="11.25">
      <c r="S2656" s="27"/>
    </row>
    <row r="2657" ht="11.25">
      <c r="S2657" s="27"/>
    </row>
    <row r="2658" ht="11.25">
      <c r="S2658" s="27"/>
    </row>
    <row r="2659" ht="11.25">
      <c r="S2659" s="27"/>
    </row>
    <row r="2660" ht="11.25">
      <c r="S2660" s="27"/>
    </row>
    <row r="2661" ht="11.25">
      <c r="S2661" s="27"/>
    </row>
    <row r="2662" ht="11.25">
      <c r="S2662" s="27"/>
    </row>
    <row r="2663" ht="11.25">
      <c r="S2663" s="27"/>
    </row>
    <row r="2664" ht="11.25">
      <c r="S2664" s="27"/>
    </row>
    <row r="2665" ht="11.25">
      <c r="S2665" s="27"/>
    </row>
    <row r="2666" ht="11.25">
      <c r="S2666" s="27"/>
    </row>
    <row r="2667" ht="11.25">
      <c r="S2667" s="27"/>
    </row>
    <row r="2668" ht="11.25">
      <c r="S2668" s="27"/>
    </row>
    <row r="2669" ht="11.25">
      <c r="S2669" s="27"/>
    </row>
    <row r="2670" ht="11.25">
      <c r="S2670" s="27"/>
    </row>
    <row r="2671" ht="11.25">
      <c r="S2671" s="27"/>
    </row>
    <row r="2672" ht="11.25">
      <c r="S2672" s="27"/>
    </row>
    <row r="2673" ht="11.25">
      <c r="S2673" s="27"/>
    </row>
    <row r="2674" ht="11.25">
      <c r="S2674" s="27"/>
    </row>
    <row r="2675" ht="11.25">
      <c r="S2675" s="27"/>
    </row>
    <row r="2676" ht="11.25">
      <c r="S2676" s="27"/>
    </row>
    <row r="2677" ht="11.25">
      <c r="S2677" s="27"/>
    </row>
    <row r="2678" ht="11.25">
      <c r="S2678" s="27"/>
    </row>
    <row r="2679" ht="11.25">
      <c r="S2679" s="27"/>
    </row>
    <row r="2680" ht="11.25">
      <c r="S2680" s="27"/>
    </row>
    <row r="2681" ht="11.25">
      <c r="S2681" s="27"/>
    </row>
    <row r="2682" ht="11.25">
      <c r="S2682" s="27"/>
    </row>
    <row r="2683" ht="11.25">
      <c r="S2683" s="27"/>
    </row>
    <row r="2684" ht="11.25">
      <c r="S2684" s="27"/>
    </row>
    <row r="2685" ht="11.25">
      <c r="S2685" s="27"/>
    </row>
    <row r="2686" ht="11.25">
      <c r="S2686" s="27"/>
    </row>
    <row r="2687" ht="11.25">
      <c r="S2687" s="27"/>
    </row>
    <row r="2688" ht="11.25">
      <c r="S2688" s="27"/>
    </row>
    <row r="2689" ht="11.25">
      <c r="S2689" s="27"/>
    </row>
    <row r="2690" ht="11.25">
      <c r="S2690" s="27"/>
    </row>
    <row r="2691" ht="11.25">
      <c r="S2691" s="27"/>
    </row>
    <row r="2692" ht="11.25">
      <c r="S2692" s="27"/>
    </row>
    <row r="2693" ht="11.25">
      <c r="S2693" s="27"/>
    </row>
    <row r="2694" ht="11.25">
      <c r="S2694" s="27"/>
    </row>
    <row r="2695" ht="11.25">
      <c r="S2695" s="27"/>
    </row>
    <row r="2696" ht="11.25">
      <c r="S2696" s="27"/>
    </row>
    <row r="2697" ht="11.25">
      <c r="S2697" s="27"/>
    </row>
    <row r="2698" ht="11.25">
      <c r="S2698" s="27"/>
    </row>
    <row r="2699" ht="11.25">
      <c r="S2699" s="27"/>
    </row>
    <row r="2700" ht="11.25">
      <c r="S2700" s="27"/>
    </row>
    <row r="2701" ht="11.25">
      <c r="S2701" s="27"/>
    </row>
    <row r="2702" ht="11.25">
      <c r="S2702" s="27"/>
    </row>
    <row r="2703" ht="11.25">
      <c r="S2703" s="27"/>
    </row>
    <row r="2704" ht="11.25">
      <c r="S2704" s="27"/>
    </row>
    <row r="2705" ht="11.25">
      <c r="S2705" s="27"/>
    </row>
    <row r="2706" ht="11.25">
      <c r="S2706" s="27"/>
    </row>
    <row r="2707" ht="11.25">
      <c r="S2707" s="27"/>
    </row>
    <row r="2708" ht="11.25">
      <c r="S2708" s="27"/>
    </row>
    <row r="2709" ht="11.25">
      <c r="S2709" s="27"/>
    </row>
    <row r="2710" ht="11.25">
      <c r="S2710" s="27"/>
    </row>
    <row r="2711" ht="11.25">
      <c r="S2711" s="27"/>
    </row>
    <row r="2712" ht="11.25">
      <c r="S2712" s="27"/>
    </row>
    <row r="2713" ht="11.25">
      <c r="S2713" s="27"/>
    </row>
    <row r="2714" ht="11.25">
      <c r="S2714" s="27"/>
    </row>
    <row r="2715" ht="11.25">
      <c r="S2715" s="27"/>
    </row>
    <row r="2716" ht="11.25">
      <c r="S2716" s="27"/>
    </row>
    <row r="2717" ht="11.25">
      <c r="S2717" s="27"/>
    </row>
    <row r="2718" ht="11.25">
      <c r="S2718" s="27"/>
    </row>
    <row r="2719" ht="11.25">
      <c r="S2719" s="27"/>
    </row>
    <row r="2720" ht="11.25">
      <c r="S2720" s="27"/>
    </row>
    <row r="2721" ht="11.25">
      <c r="S2721" s="27"/>
    </row>
    <row r="2722" ht="11.25">
      <c r="S2722" s="27"/>
    </row>
    <row r="2723" ht="11.25">
      <c r="S2723" s="27"/>
    </row>
    <row r="2724" ht="11.25">
      <c r="S2724" s="27"/>
    </row>
    <row r="2725" ht="11.25">
      <c r="S2725" s="27"/>
    </row>
    <row r="2726" ht="11.25">
      <c r="S2726" s="27"/>
    </row>
    <row r="2727" ht="11.25">
      <c r="S2727" s="27"/>
    </row>
    <row r="2728" ht="11.25">
      <c r="S2728" s="27"/>
    </row>
    <row r="2729" ht="11.25">
      <c r="S2729" s="27"/>
    </row>
    <row r="2730" ht="11.25">
      <c r="S2730" s="27"/>
    </row>
    <row r="2731" ht="11.25">
      <c r="S2731" s="27"/>
    </row>
    <row r="2732" ht="11.25">
      <c r="S2732" s="27"/>
    </row>
    <row r="2733" ht="11.25">
      <c r="S2733" s="27"/>
    </row>
    <row r="2734" ht="11.25">
      <c r="S2734" s="27"/>
    </row>
    <row r="2735" ht="11.25">
      <c r="S2735" s="27"/>
    </row>
    <row r="2736" ht="11.25">
      <c r="S2736" s="27"/>
    </row>
    <row r="2737" ht="11.25">
      <c r="S2737" s="27"/>
    </row>
    <row r="2738" ht="11.25">
      <c r="S2738" s="27"/>
    </row>
    <row r="2739" ht="11.25">
      <c r="S2739" s="27"/>
    </row>
    <row r="2740" ht="11.25">
      <c r="S2740" s="27"/>
    </row>
    <row r="2741" ht="11.25">
      <c r="S2741" s="27"/>
    </row>
    <row r="2742" ht="11.25">
      <c r="S2742" s="27"/>
    </row>
    <row r="2743" ht="11.25">
      <c r="S2743" s="27"/>
    </row>
    <row r="2744" ht="11.25">
      <c r="S2744" s="27"/>
    </row>
    <row r="2745" ht="11.25">
      <c r="S2745" s="27"/>
    </row>
    <row r="2746" ht="11.25">
      <c r="S2746" s="27"/>
    </row>
    <row r="2747" ht="11.25">
      <c r="S2747" s="27"/>
    </row>
    <row r="2748" ht="11.25">
      <c r="S2748" s="27"/>
    </row>
    <row r="2749" ht="11.25">
      <c r="S2749" s="27"/>
    </row>
    <row r="2750" ht="11.25">
      <c r="S2750" s="27"/>
    </row>
    <row r="2751" ht="11.25">
      <c r="S2751" s="27"/>
    </row>
    <row r="2752" ht="11.25">
      <c r="S2752" s="27"/>
    </row>
    <row r="2753" ht="11.25">
      <c r="S2753" s="27"/>
    </row>
    <row r="2754" ht="11.25">
      <c r="S2754" s="27"/>
    </row>
    <row r="2755" ht="11.25">
      <c r="S2755" s="27"/>
    </row>
    <row r="2756" ht="11.25">
      <c r="S2756" s="27"/>
    </row>
    <row r="2757" ht="11.25">
      <c r="S2757" s="27"/>
    </row>
    <row r="2758" ht="11.25">
      <c r="S2758" s="27"/>
    </row>
    <row r="2759" ht="11.25">
      <c r="S2759" s="27"/>
    </row>
    <row r="2760" ht="11.25">
      <c r="S2760" s="27"/>
    </row>
    <row r="2761" ht="11.25">
      <c r="S2761" s="27"/>
    </row>
    <row r="2762" ht="11.25">
      <c r="S2762" s="27"/>
    </row>
    <row r="2763" ht="11.25">
      <c r="S2763" s="27"/>
    </row>
    <row r="2764" ht="11.25">
      <c r="S2764" s="27"/>
    </row>
    <row r="2765" ht="11.25">
      <c r="S2765" s="27"/>
    </row>
    <row r="2766" ht="11.25">
      <c r="S2766" s="27"/>
    </row>
    <row r="2767" ht="11.25">
      <c r="S2767" s="27"/>
    </row>
    <row r="2768" ht="11.25">
      <c r="S2768" s="27"/>
    </row>
    <row r="2769" ht="11.25">
      <c r="S2769" s="27"/>
    </row>
    <row r="2770" ht="11.25">
      <c r="S2770" s="27"/>
    </row>
    <row r="2771" ht="11.25">
      <c r="S2771" s="27"/>
    </row>
    <row r="2772" ht="11.25">
      <c r="S2772" s="27"/>
    </row>
    <row r="2773" ht="11.25">
      <c r="S2773" s="27"/>
    </row>
    <row r="2774" ht="11.25">
      <c r="S2774" s="27"/>
    </row>
    <row r="2775" ht="11.25">
      <c r="S2775" s="27"/>
    </row>
    <row r="2776" ht="11.25">
      <c r="S2776" s="27"/>
    </row>
    <row r="2777" ht="11.25">
      <c r="S2777" s="27"/>
    </row>
    <row r="2778" ht="11.25">
      <c r="S2778" s="27"/>
    </row>
    <row r="2779" ht="11.25">
      <c r="S2779" s="27"/>
    </row>
    <row r="2780" ht="11.25">
      <c r="S2780" s="27"/>
    </row>
    <row r="2781" ht="11.25">
      <c r="S2781" s="27"/>
    </row>
    <row r="2782" ht="11.25">
      <c r="S2782" s="27"/>
    </row>
    <row r="2783" ht="11.25">
      <c r="S2783" s="27"/>
    </row>
    <row r="2784" ht="11.25">
      <c r="S2784" s="27"/>
    </row>
    <row r="2785" ht="11.25">
      <c r="S2785" s="27"/>
    </row>
    <row r="2786" ht="11.25">
      <c r="S2786" s="27"/>
    </row>
    <row r="2787" ht="11.25">
      <c r="S2787" s="27"/>
    </row>
    <row r="2788" ht="11.25">
      <c r="S2788" s="27"/>
    </row>
    <row r="2789" ht="11.25">
      <c r="S2789" s="27"/>
    </row>
    <row r="2790" ht="11.25">
      <c r="S2790" s="27"/>
    </row>
    <row r="2791" ht="11.25">
      <c r="S2791" s="27"/>
    </row>
    <row r="2792" ht="11.25">
      <c r="S2792" s="27"/>
    </row>
    <row r="2793" ht="11.25">
      <c r="S2793" s="27"/>
    </row>
    <row r="2794" ht="11.25">
      <c r="S2794" s="27"/>
    </row>
    <row r="2795" ht="11.25">
      <c r="S2795" s="27"/>
    </row>
    <row r="2796" ht="11.25">
      <c r="S2796" s="27"/>
    </row>
    <row r="2797" ht="11.25">
      <c r="S2797" s="27"/>
    </row>
    <row r="2798" ht="11.25">
      <c r="S2798" s="27"/>
    </row>
    <row r="2799" ht="11.25">
      <c r="S2799" s="27"/>
    </row>
    <row r="2800" ht="11.25">
      <c r="S2800" s="27"/>
    </row>
    <row r="2801" ht="11.25">
      <c r="S2801" s="27"/>
    </row>
    <row r="2802" ht="11.25">
      <c r="S2802" s="27"/>
    </row>
    <row r="2803" ht="11.25">
      <c r="S2803" s="27"/>
    </row>
    <row r="2804" ht="11.25">
      <c r="S2804" s="27"/>
    </row>
    <row r="2805" ht="11.25">
      <c r="S2805" s="27"/>
    </row>
  </sheetData>
  <sheetProtection/>
  <autoFilter ref="A9:U586"/>
  <mergeCells count="367">
    <mergeCell ref="S76:T76"/>
    <mergeCell ref="S577:T577"/>
    <mergeCell ref="S578:T578"/>
    <mergeCell ref="S579:T579"/>
    <mergeCell ref="S580:T580"/>
    <mergeCell ref="S572:T572"/>
    <mergeCell ref="S573:T573"/>
    <mergeCell ref="S574:T574"/>
    <mergeCell ref="S576:T576"/>
    <mergeCell ref="S568:T568"/>
    <mergeCell ref="S569:T569"/>
    <mergeCell ref="S570:T570"/>
    <mergeCell ref="S571:T571"/>
    <mergeCell ref="S564:T564"/>
    <mergeCell ref="S565:T565"/>
    <mergeCell ref="S566:T566"/>
    <mergeCell ref="S567:T567"/>
    <mergeCell ref="S560:T560"/>
    <mergeCell ref="S561:T561"/>
    <mergeCell ref="S562:T562"/>
    <mergeCell ref="S563:T563"/>
    <mergeCell ref="S277:T277"/>
    <mergeCell ref="S278:T278"/>
    <mergeCell ref="S575:T575"/>
    <mergeCell ref="S553:T553"/>
    <mergeCell ref="S554:T554"/>
    <mergeCell ref="S555:T555"/>
    <mergeCell ref="S556:T556"/>
    <mergeCell ref="S557:T557"/>
    <mergeCell ref="S558:T558"/>
    <mergeCell ref="S559:T559"/>
    <mergeCell ref="S236:T236"/>
    <mergeCell ref="S274:T274"/>
    <mergeCell ref="S275:T275"/>
    <mergeCell ref="S276:T276"/>
    <mergeCell ref="S254:T254"/>
    <mergeCell ref="S258:T258"/>
    <mergeCell ref="S232:T232"/>
    <mergeCell ref="S233:T233"/>
    <mergeCell ref="S234:T234"/>
    <mergeCell ref="S235:T235"/>
    <mergeCell ref="S180:T180"/>
    <mergeCell ref="S181:T181"/>
    <mergeCell ref="S230:T230"/>
    <mergeCell ref="S231:T231"/>
    <mergeCell ref="S220:T220"/>
    <mergeCell ref="S205:T205"/>
    <mergeCell ref="S206:T206"/>
    <mergeCell ref="S207:T207"/>
    <mergeCell ref="S204:T204"/>
    <mergeCell ref="S176:T176"/>
    <mergeCell ref="S177:T177"/>
    <mergeCell ref="S178:T178"/>
    <mergeCell ref="S179:T179"/>
    <mergeCell ref="S172:T172"/>
    <mergeCell ref="S173:T173"/>
    <mergeCell ref="S174:T174"/>
    <mergeCell ref="S175:T175"/>
    <mergeCell ref="S168:T168"/>
    <mergeCell ref="S169:T169"/>
    <mergeCell ref="S170:T170"/>
    <mergeCell ref="S171:T171"/>
    <mergeCell ref="S164:T164"/>
    <mergeCell ref="S165:T165"/>
    <mergeCell ref="S166:T166"/>
    <mergeCell ref="S167:T167"/>
    <mergeCell ref="S87:T87"/>
    <mergeCell ref="S88:T88"/>
    <mergeCell ref="S89:T89"/>
    <mergeCell ref="S163:T163"/>
    <mergeCell ref="S137:T137"/>
    <mergeCell ref="S115:T115"/>
    <mergeCell ref="S134:T134"/>
    <mergeCell ref="S127:T127"/>
    <mergeCell ref="S128:T128"/>
    <mergeCell ref="S132:T132"/>
    <mergeCell ref="S83:T83"/>
    <mergeCell ref="S84:T84"/>
    <mergeCell ref="S85:T85"/>
    <mergeCell ref="S86:T86"/>
    <mergeCell ref="S79:T79"/>
    <mergeCell ref="S80:T80"/>
    <mergeCell ref="S81:T81"/>
    <mergeCell ref="S82:T82"/>
    <mergeCell ref="S519:T519"/>
    <mergeCell ref="S548:T548"/>
    <mergeCell ref="S64:T64"/>
    <mergeCell ref="S141:T141"/>
    <mergeCell ref="S142:T142"/>
    <mergeCell ref="S528:T531"/>
    <mergeCell ref="S515:T515"/>
    <mergeCell ref="S516:T516"/>
    <mergeCell ref="S517:T517"/>
    <mergeCell ref="S518:T518"/>
    <mergeCell ref="S513:T513"/>
    <mergeCell ref="S514:T514"/>
    <mergeCell ref="S454:T454"/>
    <mergeCell ref="S471:T471"/>
    <mergeCell ref="S462:T462"/>
    <mergeCell ref="S463:T463"/>
    <mergeCell ref="S455:T455"/>
    <mergeCell ref="S456:T456"/>
    <mergeCell ref="S470:T470"/>
    <mergeCell ref="S464:T464"/>
    <mergeCell ref="S466:T466"/>
    <mergeCell ref="S467:T467"/>
    <mergeCell ref="S468:T468"/>
    <mergeCell ref="S453:T453"/>
    <mergeCell ref="S457:T457"/>
    <mergeCell ref="S458:T458"/>
    <mergeCell ref="S459:T459"/>
    <mergeCell ref="S461:T461"/>
    <mergeCell ref="S472:T472"/>
    <mergeCell ref="S480:T480"/>
    <mergeCell ref="S473:T473"/>
    <mergeCell ref="S475:T475"/>
    <mergeCell ref="S476:T476"/>
    <mergeCell ref="S477:T477"/>
    <mergeCell ref="S450:T450"/>
    <mergeCell ref="S390:T390"/>
    <mergeCell ref="S391:T391"/>
    <mergeCell ref="S446:T446"/>
    <mergeCell ref="S445:T445"/>
    <mergeCell ref="S429:T429"/>
    <mergeCell ref="S395:T395"/>
    <mergeCell ref="S399:T399"/>
    <mergeCell ref="S398:T398"/>
    <mergeCell ref="S374:T374"/>
    <mergeCell ref="S452:T452"/>
    <mergeCell ref="S359:T359"/>
    <mergeCell ref="S360:T360"/>
    <mergeCell ref="S387:T387"/>
    <mergeCell ref="S389:T389"/>
    <mergeCell ref="S362:T362"/>
    <mergeCell ref="S368:T368"/>
    <mergeCell ref="S369:T369"/>
    <mergeCell ref="S381:T381"/>
    <mergeCell ref="S293:T293"/>
    <mergeCell ref="S297:T297"/>
    <mergeCell ref="S270:T270"/>
    <mergeCell ref="S451:T451"/>
    <mergeCell ref="S400:T400"/>
    <mergeCell ref="S370:T370"/>
    <mergeCell ref="S385:T385"/>
    <mergeCell ref="S384:T384"/>
    <mergeCell ref="S383:T383"/>
    <mergeCell ref="S380:T380"/>
    <mergeCell ref="S130:T130"/>
    <mergeCell ref="S256:T256"/>
    <mergeCell ref="S303:T303"/>
    <mergeCell ref="S304:T304"/>
    <mergeCell ref="S222:T222"/>
    <mergeCell ref="S223:T223"/>
    <mergeCell ref="S279:T279"/>
    <mergeCell ref="S296:T296"/>
    <mergeCell ref="S291:T291"/>
    <mergeCell ref="S273:T273"/>
    <mergeCell ref="S310:T310"/>
    <mergeCell ref="S255:T255"/>
    <mergeCell ref="S290:T290"/>
    <mergeCell ref="S300:T300"/>
    <mergeCell ref="S294:T294"/>
    <mergeCell ref="S257:T257"/>
    <mergeCell ref="S295:T295"/>
    <mergeCell ref="S298:T298"/>
    <mergeCell ref="S271:T271"/>
    <mergeCell ref="S306:T306"/>
    <mergeCell ref="A281:K281"/>
    <mergeCell ref="A261:K261"/>
    <mergeCell ref="S259:T259"/>
    <mergeCell ref="S319:T319"/>
    <mergeCell ref="S305:T305"/>
    <mergeCell ref="S309:T309"/>
    <mergeCell ref="A282:B289"/>
    <mergeCell ref="C289:K289"/>
    <mergeCell ref="C282:K282"/>
    <mergeCell ref="S299:T299"/>
    <mergeCell ref="S333:T333"/>
    <mergeCell ref="S334:T334"/>
    <mergeCell ref="S307:T307"/>
    <mergeCell ref="S335:T335"/>
    <mergeCell ref="S314:T314"/>
    <mergeCell ref="S316:T316"/>
    <mergeCell ref="S311:T311"/>
    <mergeCell ref="S312:T312"/>
    <mergeCell ref="S313:T313"/>
    <mergeCell ref="S315:T315"/>
    <mergeCell ref="S301:T301"/>
    <mergeCell ref="S302:T302"/>
    <mergeCell ref="C218:K218"/>
    <mergeCell ref="A245:L245"/>
    <mergeCell ref="C269:K269"/>
    <mergeCell ref="A246:B253"/>
    <mergeCell ref="C246:K246"/>
    <mergeCell ref="S238:T238"/>
    <mergeCell ref="S239:T239"/>
    <mergeCell ref="S240:T240"/>
    <mergeCell ref="A210:L210"/>
    <mergeCell ref="S317:T317"/>
    <mergeCell ref="S219:T219"/>
    <mergeCell ref="S243:T243"/>
    <mergeCell ref="A211:B218"/>
    <mergeCell ref="C211:K211"/>
    <mergeCell ref="S292:T292"/>
    <mergeCell ref="S308:T308"/>
    <mergeCell ref="A262:B269"/>
    <mergeCell ref="C262:K262"/>
    <mergeCell ref="S22:T22"/>
    <mergeCell ref="S23:T23"/>
    <mergeCell ref="A99:B106"/>
    <mergeCell ref="S43:T43"/>
    <mergeCell ref="S45:T45"/>
    <mergeCell ref="S46:T46"/>
    <mergeCell ref="S54:T54"/>
    <mergeCell ref="S70:T70"/>
    <mergeCell ref="C99:K99"/>
    <mergeCell ref="C106:K106"/>
    <mergeCell ref="S20:T20"/>
    <mergeCell ref="A11:B18"/>
    <mergeCell ref="S19:T19"/>
    <mergeCell ref="S21:T21"/>
    <mergeCell ref="S96:T96"/>
    <mergeCell ref="S34:T34"/>
    <mergeCell ref="S109:T109"/>
    <mergeCell ref="S33:T33"/>
    <mergeCell ref="S39:T39"/>
    <mergeCell ref="S41:T41"/>
    <mergeCell ref="S107:T107"/>
    <mergeCell ref="S65:T65"/>
    <mergeCell ref="S77:T77"/>
    <mergeCell ref="S78:T78"/>
    <mergeCell ref="S32:T32"/>
    <mergeCell ref="S27:T27"/>
    <mergeCell ref="S30:T30"/>
    <mergeCell ref="S31:T31"/>
    <mergeCell ref="S28:T28"/>
    <mergeCell ref="S29:T29"/>
    <mergeCell ref="S110:T110"/>
    <mergeCell ref="G116:G117"/>
    <mergeCell ref="P116:P117"/>
    <mergeCell ref="L116:L117"/>
    <mergeCell ref="Q116:Q117"/>
    <mergeCell ref="O116:O117"/>
    <mergeCell ref="S114:T114"/>
    <mergeCell ref="S112:T112"/>
    <mergeCell ref="R116:R117"/>
    <mergeCell ref="S116:T117"/>
    <mergeCell ref="S37:T37"/>
    <mergeCell ref="A195:L195"/>
    <mergeCell ref="C10:L10"/>
    <mergeCell ref="A196:B203"/>
    <mergeCell ref="C196:K196"/>
    <mergeCell ref="F116:F117"/>
    <mergeCell ref="D116:D117"/>
    <mergeCell ref="E116:E117"/>
    <mergeCell ref="A98:L98"/>
    <mergeCell ref="C203:K203"/>
    <mergeCell ref="S121:T121"/>
    <mergeCell ref="A1:T1"/>
    <mergeCell ref="S208:T208"/>
    <mergeCell ref="S24:T24"/>
    <mergeCell ref="S25:T25"/>
    <mergeCell ref="S26:T26"/>
    <mergeCell ref="S35:T35"/>
    <mergeCell ref="S113:T113"/>
    <mergeCell ref="S36:T36"/>
    <mergeCell ref="S108:T108"/>
    <mergeCell ref="S338:T338"/>
    <mergeCell ref="S131:T131"/>
    <mergeCell ref="S133:T133"/>
    <mergeCell ref="S483:T483"/>
    <mergeCell ref="S135:T135"/>
    <mergeCell ref="S481:T481"/>
    <mergeCell ref="S430:T430"/>
    <mergeCell ref="S423:T423"/>
    <mergeCell ref="S330:T330"/>
    <mergeCell ref="S325:T325"/>
    <mergeCell ref="S510:T510"/>
    <mergeCell ref="S136:T136"/>
    <mergeCell ref="S502:T502"/>
    <mergeCell ref="S503:T503"/>
    <mergeCell ref="S504:T504"/>
    <mergeCell ref="S509:T509"/>
    <mergeCell ref="S497:T497"/>
    <mergeCell ref="S498:T498"/>
    <mergeCell ref="S499:T499"/>
    <mergeCell ref="S492:T492"/>
    <mergeCell ref="S328:T328"/>
    <mergeCell ref="S326:T326"/>
    <mergeCell ref="S318:T318"/>
    <mergeCell ref="S320:T320"/>
    <mergeCell ref="S321:T321"/>
    <mergeCell ref="S322:T322"/>
    <mergeCell ref="S327:T327"/>
    <mergeCell ref="S324:T324"/>
    <mergeCell ref="S332:T332"/>
    <mergeCell ref="S337:T337"/>
    <mergeCell ref="S329:T329"/>
    <mergeCell ref="S482:T482"/>
    <mergeCell ref="S339:T339"/>
    <mergeCell ref="S336:T336"/>
    <mergeCell ref="S361:T361"/>
    <mergeCell ref="S350:T350"/>
    <mergeCell ref="S340:T340"/>
    <mergeCell ref="S355:T355"/>
    <mergeCell ref="S552:T552"/>
    <mergeCell ref="S150:T150"/>
    <mergeCell ref="S149:T149"/>
    <mergeCell ref="S151:T154"/>
    <mergeCell ref="S532:T532"/>
    <mergeCell ref="S533:T533"/>
    <mergeCell ref="S534:T534"/>
    <mergeCell ref="S495:T495"/>
    <mergeCell ref="S491:T491"/>
    <mergeCell ref="S490:T490"/>
    <mergeCell ref="S226:T226"/>
    <mergeCell ref="S539:T539"/>
    <mergeCell ref="S500:T500"/>
    <mergeCell ref="S501:T501"/>
    <mergeCell ref="S484:T484"/>
    <mergeCell ref="S496:T496"/>
    <mergeCell ref="S493:T493"/>
    <mergeCell ref="S494:T494"/>
    <mergeCell ref="S323:T323"/>
    <mergeCell ref="S331:T331"/>
    <mergeCell ref="S544:T544"/>
    <mergeCell ref="S545:T545"/>
    <mergeCell ref="S546:T546"/>
    <mergeCell ref="S540:T540"/>
    <mergeCell ref="S541:T541"/>
    <mergeCell ref="S542:T542"/>
    <mergeCell ref="S543:T543"/>
    <mergeCell ref="S237:T237"/>
    <mergeCell ref="S91:T91"/>
    <mergeCell ref="S182:T182"/>
    <mergeCell ref="S92:T92"/>
    <mergeCell ref="S188:T188"/>
    <mergeCell ref="S189:T189"/>
    <mergeCell ref="S190:T190"/>
    <mergeCell ref="S95:T95"/>
    <mergeCell ref="S157:T157"/>
    <mergeCell ref="S158:T158"/>
    <mergeCell ref="S185:T185"/>
    <mergeCell ref="S186:T186"/>
    <mergeCell ref="S187:T187"/>
    <mergeCell ref="S90:T90"/>
    <mergeCell ref="S144:T144"/>
    <mergeCell ref="S161:T161"/>
    <mergeCell ref="S147:T147"/>
    <mergeCell ref="S129:T129"/>
    <mergeCell ref="S118:T118"/>
    <mergeCell ref="S124:T124"/>
    <mergeCell ref="S93:T93"/>
    <mergeCell ref="S183:T183"/>
    <mergeCell ref="S184:T184"/>
    <mergeCell ref="S94:T94"/>
    <mergeCell ref="S125:T125"/>
    <mergeCell ref="S126:T126"/>
    <mergeCell ref="S122:T122"/>
    <mergeCell ref="S123:T123"/>
    <mergeCell ref="S119:T119"/>
    <mergeCell ref="S120:T120"/>
    <mergeCell ref="S584:T584"/>
    <mergeCell ref="S585:T585"/>
    <mergeCell ref="S581:T581"/>
    <mergeCell ref="S582:T582"/>
    <mergeCell ref="S583:T583"/>
  </mergeCells>
  <printOptions horizontalCentered="1"/>
  <pageMargins left="0.1968503937007874" right="0" top="0.2362204724409449" bottom="0.2362204724409449" header="0.15748031496062992" footer="0.15748031496062992"/>
  <pageSetup horizontalDpi="300" verticalDpi="3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2008-10-16T09:20:34Z</cp:lastPrinted>
  <dcterms:created xsi:type="dcterms:W3CDTF">2005-04-28T08:10:49Z</dcterms:created>
  <dcterms:modified xsi:type="dcterms:W3CDTF">2008-10-16T10:24:36Z</dcterms:modified>
  <cp:category/>
  <cp:version/>
  <cp:contentType/>
  <cp:contentStatus/>
</cp:coreProperties>
</file>