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Complessivo" sheetId="2" r:id="rId2"/>
  </sheets>
  <externalReferences>
    <externalReference r:id="rId5"/>
  </externalReferences>
  <definedNames>
    <definedName name="_xlnm._FilterDatabase" localSheetId="1" hidden="1">'Complessivo'!$A$7:$X$7</definedName>
    <definedName name="_xlnm.Print_Area" localSheetId="1">'Complessivo'!$A$1:$T$139</definedName>
    <definedName name="_xlnm.Print_Titles" localSheetId="1">'Complessivo'!$1:$3</definedName>
  </definedNames>
  <calcPr fullCalcOnLoad="1"/>
</workbook>
</file>

<file path=xl/sharedStrings.xml><?xml version="1.0" encoding="utf-8"?>
<sst xmlns="http://schemas.openxmlformats.org/spreadsheetml/2006/main" count="651" uniqueCount="225">
  <si>
    <t>PROGETTO</t>
  </si>
  <si>
    <t>LICENZE</t>
  </si>
  <si>
    <t>Fornitore</t>
  </si>
  <si>
    <t>Imponibile</t>
  </si>
  <si>
    <t>Iva</t>
  </si>
  <si>
    <t>Totale fattura</t>
  </si>
  <si>
    <t>PERSONALE</t>
  </si>
  <si>
    <t>CONSULENZE</t>
  </si>
  <si>
    <t>SOFTWARE</t>
  </si>
  <si>
    <t>INFRASTRUTTURE</t>
  </si>
  <si>
    <t>SPESE GENERALI</t>
  </si>
  <si>
    <t>Att.</t>
  </si>
  <si>
    <t>Previsto</t>
  </si>
  <si>
    <t>Residuo</t>
  </si>
  <si>
    <t>SAL</t>
  </si>
  <si>
    <t>Modalità</t>
  </si>
  <si>
    <t>Data Pag</t>
  </si>
  <si>
    <t>Data fatt</t>
  </si>
  <si>
    <t>N. fattura</t>
  </si>
  <si>
    <t>Descr.</t>
  </si>
  <si>
    <t>Costi ammessi</t>
  </si>
  <si>
    <t>Contributo</t>
  </si>
  <si>
    <t>Partner</t>
  </si>
  <si>
    <t>Ant.</t>
  </si>
  <si>
    <t>Erogare</t>
  </si>
  <si>
    <t>Spesa</t>
  </si>
  <si>
    <t>Note</t>
  </si>
  <si>
    <t>SAL 1</t>
  </si>
  <si>
    <t>SAL 2</t>
  </si>
  <si>
    <t>TOT GEN</t>
  </si>
  <si>
    <t>TOT SAL 1</t>
  </si>
  <si>
    <t>TOT SAL 2</t>
  </si>
  <si>
    <t>Avvio PR</t>
  </si>
  <si>
    <t>TOT PROGETTO=</t>
  </si>
  <si>
    <t>CONTRIBUTO=</t>
  </si>
  <si>
    <t>CONTRIBUTO IVA=</t>
  </si>
  <si>
    <t>TOT CONTRIBUTO=</t>
  </si>
  <si>
    <t xml:space="preserve">SAL 2 - </t>
  </si>
  <si>
    <t>IVA=</t>
  </si>
  <si>
    <t>Res IVA=</t>
  </si>
  <si>
    <t>IVA Ammessa</t>
  </si>
  <si>
    <t>Totale ammesso</t>
  </si>
  <si>
    <t>IVA Contributo</t>
  </si>
  <si>
    <t>Totale Contributo</t>
  </si>
  <si>
    <t xml:space="preserve">SAL 1 - </t>
  </si>
  <si>
    <t>NOLO, LEASING, AMMORTAMENTI</t>
  </si>
  <si>
    <t>I</t>
  </si>
  <si>
    <t>LEGACOOP PUGLIA IN RETE</t>
  </si>
  <si>
    <t>01/12/2004-15/11/2005</t>
  </si>
  <si>
    <t>Legacoop</t>
  </si>
  <si>
    <t>Carella Elena</t>
  </si>
  <si>
    <t>Giotta Loredana</t>
  </si>
  <si>
    <t>Rollo Carmelo</t>
  </si>
  <si>
    <t>Dipendente</t>
  </si>
  <si>
    <t>Co.Co.Pro.</t>
  </si>
  <si>
    <t>Link's</t>
  </si>
  <si>
    <t>Andriani De Vito Gaetano</t>
  </si>
  <si>
    <t>Caldarazzo Giuseppe</t>
  </si>
  <si>
    <t>Corvaglia Stefania</t>
  </si>
  <si>
    <t>De Marini Valentina</t>
  </si>
  <si>
    <t>Falcone Fabrizio</t>
  </si>
  <si>
    <t>Perlangeli Barbara</t>
  </si>
  <si>
    <t>Salvatore Fabio</t>
  </si>
  <si>
    <t>Sicoli Maurizio</t>
  </si>
  <si>
    <t xml:space="preserve">Simone Maurizio </t>
  </si>
  <si>
    <t>Spedicato Salvatore</t>
  </si>
  <si>
    <t>Vadrucci Roberto</t>
  </si>
  <si>
    <t>Co.co.pro.</t>
  </si>
  <si>
    <t>Cangialosi Domenico</t>
  </si>
  <si>
    <t>Guarnieri Teresa</t>
  </si>
  <si>
    <t>Marazia Roberta</t>
  </si>
  <si>
    <t>Zecca Maria Iris</t>
  </si>
  <si>
    <t>Progettazione esecutiva</t>
  </si>
  <si>
    <t>Monitoraggio gestionale</t>
  </si>
  <si>
    <t>Rendicontazione</t>
  </si>
  <si>
    <t>Coordinamento organizzativo</t>
  </si>
  <si>
    <t>N. 58</t>
  </si>
  <si>
    <t>N. 59</t>
  </si>
  <si>
    <t>N. 1</t>
  </si>
  <si>
    <t>N. 2</t>
  </si>
  <si>
    <t>N. 10</t>
  </si>
  <si>
    <t>N. 9</t>
  </si>
  <si>
    <t>N. 3</t>
  </si>
  <si>
    <t>Bonifico bancario</t>
  </si>
  <si>
    <t>Realizzazione prototipale portale</t>
  </si>
  <si>
    <t>Solimena Riccardo</t>
  </si>
  <si>
    <t>Sponziello Andrea</t>
  </si>
  <si>
    <t>N. 7</t>
  </si>
  <si>
    <t>N. 8</t>
  </si>
  <si>
    <t>A/B 3112716175 Unicredit</t>
  </si>
  <si>
    <t>Software Microsoft Office 2003</t>
  </si>
  <si>
    <t>Edy Computers</t>
  </si>
  <si>
    <t>N. 300</t>
  </si>
  <si>
    <t>A/B 3112716179 Unicredit</t>
  </si>
  <si>
    <t>Realizzazione intranet</t>
  </si>
  <si>
    <t>Vasm Computers</t>
  </si>
  <si>
    <t>A/B 3112716176 Unicredit</t>
  </si>
  <si>
    <t>A/B 3112716177 Unicredit</t>
  </si>
  <si>
    <t>A/B 3112716178 Unicredit</t>
  </si>
  <si>
    <t>Fidejussione</t>
  </si>
  <si>
    <t>Fitto Sede dedicata al progetto</t>
  </si>
  <si>
    <t>Industria e Finanza SPA</t>
  </si>
  <si>
    <t>Selce srl</t>
  </si>
  <si>
    <t>A.B.</t>
  </si>
  <si>
    <t>Bonifico</t>
  </si>
  <si>
    <t>Manca: 1) calcolo aliquota oraria 2) riepliogo presenze giornaliere</t>
  </si>
  <si>
    <t>Manca: 1) calcolo aliquota oraria 2) riepliogo presenze giornaliere 3) contratto cocopro</t>
  </si>
  <si>
    <t>???</t>
  </si>
  <si>
    <t>Mancano: 1) curriculum persona 2) riepilogativi giornalieri 3) rapporto di attività 4) codice attività su cui caricare la spesa 5) annullamento e firma su fattura 6) giornate lavorate e rif progetto assente su fattura</t>
  </si>
  <si>
    <t>Manca 1) curriculum persona 2) riepilogativi giornalieri 3) rapporto di attività 4) codice attività su cui caricare la spesa 5) annullamento e firma su fattura 6) giornate lavorate assente su fattura 7) data su assegno e dimostrazione di incasso</t>
  </si>
  <si>
    <t>Lega Regionale delle Cooperative e Mutue -  cod 8    - RIEPILOGO SPESE</t>
  </si>
  <si>
    <t>II</t>
  </si>
  <si>
    <r>
      <t xml:space="preserve">Manca: </t>
    </r>
    <r>
      <rPr>
        <sz val="8"/>
        <rFont val="Arial"/>
        <family val="2"/>
      </rPr>
      <t xml:space="preserve">1) calcolo aliquota oraria. </t>
    </r>
    <r>
      <rPr>
        <b/>
        <sz val="8"/>
        <rFont val="Arial"/>
        <family val="2"/>
      </rPr>
      <t xml:space="preserve">Ok 15,06,06 </t>
    </r>
    <r>
      <rPr>
        <sz val="8"/>
        <color indexed="10"/>
        <rFont val="Arial"/>
        <family val="2"/>
      </rPr>
      <t>2) riepilogo presenze giornaliere</t>
    </r>
    <r>
      <rPr>
        <sz val="8"/>
        <rFont val="Arial"/>
        <family val="2"/>
      </rPr>
      <t>.</t>
    </r>
  </si>
  <si>
    <r>
      <t xml:space="preserve">Manca: </t>
    </r>
    <r>
      <rPr>
        <sz val="8"/>
        <rFont val="Arial"/>
        <family val="2"/>
      </rPr>
      <t xml:space="preserve">1) calcolo aliquota oraria. </t>
    </r>
    <r>
      <rPr>
        <b/>
        <sz val="8"/>
        <rFont val="Arial"/>
        <family val="2"/>
      </rPr>
      <t>Ok 15,06,06</t>
    </r>
    <r>
      <rPr>
        <sz val="8"/>
        <color indexed="10"/>
        <rFont val="Arial"/>
        <family val="2"/>
      </rPr>
      <t xml:space="preserve"> 2) riepliogo presenze giornaliere 3) contratto cocopro</t>
    </r>
  </si>
  <si>
    <t>Documentazione integrata ed ammesso nel secondo sal</t>
  </si>
  <si>
    <t>Ass.MPS n. 0685049741</t>
  </si>
  <si>
    <t>Eliminati videoproiettore e fax</t>
  </si>
  <si>
    <t>16/11/2005-10/04/2006</t>
  </si>
  <si>
    <t>N.ro 27 dipendenti</t>
  </si>
  <si>
    <t>N.ro 2 dipendenti + 1  co.co.pro</t>
  </si>
  <si>
    <t>Monitoraggio</t>
  </si>
  <si>
    <t>Coord. organizzativo</t>
  </si>
  <si>
    <t>N. 71/2005</t>
  </si>
  <si>
    <t>N. 28/2006</t>
  </si>
  <si>
    <t>N. 01/2006</t>
  </si>
  <si>
    <t>N. 17/2005</t>
  </si>
  <si>
    <t>N. 05/2006</t>
  </si>
  <si>
    <t>Aleph srl</t>
  </si>
  <si>
    <t>N. 13/2005</t>
  </si>
  <si>
    <t>N. 02/2006</t>
  </si>
  <si>
    <t>Bon. banc.</t>
  </si>
  <si>
    <t>Attrezzature rete</t>
  </si>
  <si>
    <t>Apulia Impianti</t>
  </si>
  <si>
    <t>062/2005</t>
  </si>
  <si>
    <t>Bonifico Bancario</t>
  </si>
  <si>
    <t>Bon. Banc.</t>
  </si>
  <si>
    <t>Fornitura e posa in opera 5 apparecchi</t>
  </si>
  <si>
    <t>Acquisto francobolli</t>
  </si>
  <si>
    <t>Poste Italiane</t>
  </si>
  <si>
    <t>Ricevuta</t>
  </si>
  <si>
    <t>Ass. Circ. MPS 6032989447-04</t>
  </si>
  <si>
    <t>Ass. Circ. MPS 6033041964-01</t>
  </si>
  <si>
    <t>Materiale di cancelleria</t>
  </si>
  <si>
    <t>Technopoint</t>
  </si>
  <si>
    <t>N. 51/2005</t>
  </si>
  <si>
    <t>N. 10/2006</t>
  </si>
  <si>
    <t>Spese condominiali</t>
  </si>
  <si>
    <t>Studio tecnico Dicorato</t>
  </si>
  <si>
    <t>Fitto sede dedicata al progetto NOV</t>
  </si>
  <si>
    <t>N. 02/2005</t>
  </si>
  <si>
    <t>Fitto sede dedicata al progetto DIC</t>
  </si>
  <si>
    <t>N. 03/2005</t>
  </si>
  <si>
    <t>Fitto sede dedicata al progetto GEN</t>
  </si>
  <si>
    <t>Fitto sede dedicata al progetto FEB</t>
  </si>
  <si>
    <t>Fitto sede dedicata al progetto MAR</t>
  </si>
  <si>
    <t>N. 03/2006</t>
  </si>
  <si>
    <t>Pro</t>
  </si>
  <si>
    <t>Marchio, logo, linea grafica</t>
  </si>
  <si>
    <t>Studio Progest</t>
  </si>
  <si>
    <t>N. 57/2005</t>
  </si>
  <si>
    <t>Addetto stampa</t>
  </si>
  <si>
    <t>Massimo Avvantaggiato</t>
  </si>
  <si>
    <t>N. 35/2005</t>
  </si>
  <si>
    <t>Stampa materiale pubblicitario</t>
  </si>
  <si>
    <t>Arti Grafiche Ariete</t>
  </si>
  <si>
    <t>N. 34/2005</t>
  </si>
  <si>
    <t>A.B. MPS 0685049743-01</t>
  </si>
  <si>
    <t>Stendardi pubblicitari</t>
  </si>
  <si>
    <t>Corvasce</t>
  </si>
  <si>
    <t>N. 625/2005</t>
  </si>
  <si>
    <t>Riprese e messa in onda</t>
  </si>
  <si>
    <t>Telefoggia</t>
  </si>
  <si>
    <t>N. 179/2005</t>
  </si>
  <si>
    <t>Buffet per seminario Lecce</t>
  </si>
  <si>
    <t>Pasticceria Chantilly</t>
  </si>
  <si>
    <t>N. 59/2005</t>
  </si>
  <si>
    <t>Ass. Circ. MPS 6032989495-00</t>
  </si>
  <si>
    <t>Buffet per seminario Foggia</t>
  </si>
  <si>
    <t>Bar Pasticceria Catalano</t>
  </si>
  <si>
    <t>N. 93/2005</t>
  </si>
  <si>
    <t>Mancano Timesheet</t>
  </si>
  <si>
    <t>Manca copia contratto</t>
  </si>
  <si>
    <t>Manca dimostrazione di pagamento</t>
  </si>
  <si>
    <t>NB:  Il contributo sul primo sal deve essere integrato di un punto percentuale per un importo di euro 2,248,88.</t>
  </si>
  <si>
    <t>AMMISSIONE PROGETTO E IMPEGNO DI SPESA</t>
  </si>
  <si>
    <t>%AVANZAM.</t>
  </si>
  <si>
    <t>inizio</t>
  </si>
  <si>
    <t>fine</t>
  </si>
  <si>
    <t>progetto di 36 mesi</t>
  </si>
  <si>
    <t>CONTRIBUTO</t>
  </si>
  <si>
    <t>COSTI</t>
  </si>
  <si>
    <t>PREVISTO</t>
  </si>
  <si>
    <t>RESIDUO</t>
  </si>
  <si>
    <t>NOLO LEASING AMM</t>
  </si>
  <si>
    <t>TOTALE</t>
  </si>
  <si>
    <t>DETTAGLIO SITUAZIONE SPESA ED EROGAZIONI</t>
  </si>
  <si>
    <t>Anticip. corrisposta</t>
  </si>
  <si>
    <t>Liquidazione s.a.l.</t>
  </si>
  <si>
    <t>Totale</t>
  </si>
  <si>
    <t>ATS</t>
  </si>
  <si>
    <t>IVA ESPOSTA</t>
  </si>
  <si>
    <t>ANTIMAFIA</t>
  </si>
  <si>
    <t>STATO DELLA DOCUMENTAZIONE ALLEGATA ALLA RICHIESTA DI EROGAZIONE ULTIMO SAL</t>
  </si>
  <si>
    <t>DOMANDA DI AGEVOLAZIONE</t>
  </si>
  <si>
    <t>ok</t>
  </si>
  <si>
    <t>COMPLETEZZA DELLA DOCUMENTAZIONE DI RENDICONTAZIONE</t>
  </si>
  <si>
    <t>DICHIARAZIONE DI ESENZIONE DALLA RITENUTA D’ACCONTO DEL 4% PREVISTA DALL’ART. 28, SECONDO COMMA, DPR 600/73</t>
  </si>
  <si>
    <t xml:space="preserve">ESENTE </t>
  </si>
  <si>
    <t>NOTE</t>
  </si>
  <si>
    <t>DATE</t>
  </si>
  <si>
    <t>ISTRUTTORI</t>
  </si>
  <si>
    <t>FIRME</t>
  </si>
  <si>
    <t xml:space="preserve">Lega Regionale delle Cooperative e Mutue -  cod 8  </t>
  </si>
  <si>
    <t>NOME PROGETTO: LEGACOOP PUGLIA IN RETE</t>
  </si>
  <si>
    <t>SPESO</t>
  </si>
  <si>
    <t>Sal 1  01/12/2004-15/11/2005</t>
  </si>
  <si>
    <t>Sal 2  16/11/2005-10/04/2006</t>
  </si>
  <si>
    <t>Gli esiti dell'istruttoria sul III sal saranno disponibili con la prossima rendicontazione</t>
  </si>
  <si>
    <t xml:space="preserve">SAL 3 - </t>
  </si>
  <si>
    <t>01/04/2006-31/10/2006</t>
  </si>
  <si>
    <t>TOT SAL 3</t>
  </si>
  <si>
    <t>Sal 3  01/04/2006-31/10/2006</t>
  </si>
  <si>
    <t>III</t>
  </si>
  <si>
    <t>PROVVISORIO</t>
  </si>
  <si>
    <t>SAL 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</si>
</sst>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0_-;\-* #,##0.00_-;_-* &quot;-&quot;_-;_-@_-"/>
    <numFmt numFmtId="172" formatCode="#,##0.00_ ;\-#,##0.00\ "/>
    <numFmt numFmtId="173" formatCode="mmm\-yyyy"/>
  </numFmts>
  <fonts count="20">
    <font>
      <sz val="10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4" fontId="3" fillId="0" borderId="2" xfId="0" applyNumberFormat="1" applyFont="1" applyBorder="1" applyAlignment="1">
      <alignment/>
    </xf>
    <xf numFmtId="14" fontId="3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14" fontId="3" fillId="0" borderId="2" xfId="0" applyNumberFormat="1" applyFont="1" applyBorder="1" applyAlignment="1">
      <alignment wrapText="1"/>
    </xf>
    <xf numFmtId="14" fontId="3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justify" wrapText="1"/>
    </xf>
    <xf numFmtId="171" fontId="3" fillId="2" borderId="2" xfId="19" applyNumberFormat="1" applyFont="1" applyFill="1" applyBorder="1" applyAlignment="1">
      <alignment horizontal="right"/>
    </xf>
    <xf numFmtId="171" fontId="3" fillId="0" borderId="2" xfId="19" applyNumberFormat="1" applyFont="1" applyBorder="1" applyAlignment="1">
      <alignment horizontal="right"/>
    </xf>
    <xf numFmtId="14" fontId="3" fillId="0" borderId="2" xfId="0" applyNumberFormat="1" applyFont="1" applyFill="1" applyBorder="1" applyAlignment="1">
      <alignment wrapText="1"/>
    </xf>
    <xf numFmtId="2" fontId="3" fillId="0" borderId="2" xfId="0" applyNumberFormat="1" applyFont="1" applyBorder="1" applyAlignment="1">
      <alignment/>
    </xf>
    <xf numFmtId="0" fontId="8" fillId="0" borderId="3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4" fontId="3" fillId="0" borderId="2" xfId="0" applyNumberFormat="1" applyFont="1" applyFill="1" applyBorder="1" applyAlignment="1">
      <alignment/>
    </xf>
    <xf numFmtId="4" fontId="1" fillId="0" borderId="0" xfId="0" applyNumberFormat="1" applyFont="1" applyBorder="1" applyAlignment="1">
      <alignment wrapText="1"/>
    </xf>
    <xf numFmtId="14" fontId="3" fillId="0" borderId="2" xfId="0" applyNumberFormat="1" applyFont="1" applyFill="1" applyBorder="1" applyAlignment="1">
      <alignment horizontal="center" wrapText="1"/>
    </xf>
    <xf numFmtId="4" fontId="1" fillId="3" borderId="4" xfId="0" applyNumberFormat="1" applyFont="1" applyFill="1" applyBorder="1" applyAlignment="1">
      <alignment horizontal="center"/>
    </xf>
    <xf numFmtId="4" fontId="1" fillId="3" borderId="6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" fontId="9" fillId="0" borderId="7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/>
    </xf>
    <xf numFmtId="0" fontId="1" fillId="3" borderId="5" xfId="0" applyFont="1" applyFill="1" applyBorder="1" applyAlignment="1">
      <alignment horizontal="left" vertical="center" wrapText="1"/>
    </xf>
    <xf numFmtId="4" fontId="2" fillId="3" borderId="4" xfId="0" applyNumberFormat="1" applyFont="1" applyFill="1" applyBorder="1" applyAlignment="1">
      <alignment horizontal="left"/>
    </xf>
    <xf numFmtId="0" fontId="3" fillId="3" borderId="4" xfId="0" applyFont="1" applyFill="1" applyBorder="1" applyAlignment="1">
      <alignment/>
    </xf>
    <xf numFmtId="4" fontId="2" fillId="3" borderId="8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4" fontId="4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7" xfId="0" applyNumberFormat="1" applyFont="1" applyBorder="1" applyAlignment="1" applyProtection="1">
      <alignment horizontal="right"/>
      <protection/>
    </xf>
    <xf numFmtId="4" fontId="5" fillId="0" borderId="9" xfId="0" applyNumberFormat="1" applyFont="1" applyBorder="1" applyAlignment="1" applyProtection="1">
      <alignment horizontal="right"/>
      <protection/>
    </xf>
    <xf numFmtId="4" fontId="7" fillId="0" borderId="10" xfId="0" applyNumberFormat="1" applyFont="1" applyBorder="1" applyAlignment="1" applyProtection="1">
      <alignment horizontal="right"/>
      <protection/>
    </xf>
    <xf numFmtId="4" fontId="7" fillId="0" borderId="11" xfId="0" applyNumberFormat="1" applyFont="1" applyBorder="1" applyAlignment="1" applyProtection="1">
      <alignment horizontal="right"/>
      <protection/>
    </xf>
    <xf numFmtId="4" fontId="7" fillId="0" borderId="12" xfId="0" applyNumberFormat="1" applyFont="1" applyBorder="1" applyAlignment="1" applyProtection="1">
      <alignment horizontal="right"/>
      <protection/>
    </xf>
    <xf numFmtId="4" fontId="1" fillId="3" borderId="8" xfId="0" applyNumberFormat="1" applyFont="1" applyFill="1" applyBorder="1" applyAlignment="1">
      <alignment horizontal="center"/>
    </xf>
    <xf numFmtId="4" fontId="1" fillId="3" borderId="13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1" fillId="3" borderId="2" xfId="0" applyNumberFormat="1" applyFont="1" applyFill="1" applyBorder="1" applyAlignment="1">
      <alignment horizontal="center"/>
    </xf>
    <xf numFmtId="4" fontId="4" fillId="0" borderId="7" xfId="0" applyNumberFormat="1" applyFont="1" applyBorder="1" applyAlignment="1" applyProtection="1">
      <alignment horizontal="right"/>
      <protection/>
    </xf>
    <xf numFmtId="4" fontId="4" fillId="0" borderId="9" xfId="0" applyNumberFormat="1" applyFont="1" applyBorder="1" applyAlignment="1" applyProtection="1">
      <alignment horizontal="right"/>
      <protection/>
    </xf>
    <xf numFmtId="4" fontId="3" fillId="3" borderId="4" xfId="0" applyNumberFormat="1" applyFont="1" applyFill="1" applyBorder="1" applyAlignment="1">
      <alignment/>
    </xf>
    <xf numFmtId="4" fontId="1" fillId="0" borderId="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3" borderId="5" xfId="0" applyFont="1" applyFill="1" applyBorder="1" applyAlignment="1">
      <alignment/>
    </xf>
    <xf numFmtId="0" fontId="1" fillId="0" borderId="2" xfId="0" applyFont="1" applyBorder="1" applyAlignment="1">
      <alignment/>
    </xf>
    <xf numFmtId="4" fontId="9" fillId="0" borderId="2" xfId="0" applyNumberFormat="1" applyFont="1" applyBorder="1" applyAlignment="1">
      <alignment/>
    </xf>
    <xf numFmtId="0" fontId="1" fillId="3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5" fillId="0" borderId="15" xfId="0" applyNumberFormat="1" applyFont="1" applyBorder="1" applyAlignment="1" applyProtection="1">
      <alignment horizontal="right"/>
      <protection/>
    </xf>
    <xf numFmtId="4" fontId="5" fillId="0" borderId="16" xfId="0" applyNumberFormat="1" applyFont="1" applyBorder="1" applyAlignment="1" applyProtection="1">
      <alignment horizontal="right"/>
      <protection/>
    </xf>
    <xf numFmtId="43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left"/>
    </xf>
    <xf numFmtId="4" fontId="4" fillId="0" borderId="8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1" fillId="0" borderId="7" xfId="0" applyNumberFormat="1" applyFont="1" applyBorder="1" applyAlignment="1" applyProtection="1">
      <alignment horizontal="left" vertical="center" wrapText="1"/>
      <protection locked="0"/>
    </xf>
    <xf numFmtId="4" fontId="4" fillId="0" borderId="0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1" fillId="3" borderId="8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14" fontId="3" fillId="0" borderId="2" xfId="0" applyNumberFormat="1" applyFont="1" applyBorder="1" applyAlignment="1">
      <alignment horizontal="center" wrapText="1"/>
    </xf>
    <xf numFmtId="4" fontId="3" fillId="0" borderId="2" xfId="17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left"/>
    </xf>
    <xf numFmtId="14" fontId="3" fillId="0" borderId="3" xfId="0" applyNumberFormat="1" applyFont="1" applyBorder="1" applyAlignment="1">
      <alignment/>
    </xf>
    <xf numFmtId="14" fontId="3" fillId="0" borderId="3" xfId="0" applyNumberFormat="1" applyFont="1" applyBorder="1" applyAlignment="1">
      <alignment/>
    </xf>
    <xf numFmtId="14" fontId="3" fillId="0" borderId="3" xfId="0" applyNumberFormat="1" applyFont="1" applyBorder="1" applyAlignment="1">
      <alignment horizontal="center" wrapText="1"/>
    </xf>
    <xf numFmtId="4" fontId="3" fillId="0" borderId="3" xfId="17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NumberFormat="1" applyFont="1" applyBorder="1" applyAlignment="1">
      <alignment horizontal="center"/>
    </xf>
    <xf numFmtId="4" fontId="3" fillId="0" borderId="2" xfId="17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center"/>
    </xf>
    <xf numFmtId="14" fontId="12" fillId="0" borderId="2" xfId="0" applyNumberFormat="1" applyFont="1" applyBorder="1" applyAlignment="1">
      <alignment horizontal="center"/>
    </xf>
    <xf numFmtId="14" fontId="12" fillId="0" borderId="2" xfId="0" applyNumberFormat="1" applyFont="1" applyBorder="1" applyAlignment="1">
      <alignment horizontal="center" wrapText="1"/>
    </xf>
    <xf numFmtId="4" fontId="12" fillId="0" borderId="2" xfId="17" applyNumberFormat="1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4" fontId="12" fillId="0" borderId="2" xfId="17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" fontId="3" fillId="0" borderId="2" xfId="17" applyNumberFormat="1" applyFont="1" applyBorder="1" applyAlignment="1">
      <alignment wrapText="1"/>
    </xf>
    <xf numFmtId="1" fontId="3" fillId="0" borderId="5" xfId="0" applyNumberFormat="1" applyFont="1" applyBorder="1" applyAlignment="1">
      <alignment/>
    </xf>
    <xf numFmtId="4" fontId="3" fillId="0" borderId="2" xfId="17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wrapText="1"/>
    </xf>
    <xf numFmtId="0" fontId="9" fillId="4" borderId="0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4" fontId="4" fillId="4" borderId="1" xfId="0" applyNumberFormat="1" applyFont="1" applyFill="1" applyBorder="1" applyAlignment="1" applyProtection="1">
      <alignment horizontal="right"/>
      <protection/>
    </xf>
    <xf numFmtId="4" fontId="5" fillId="4" borderId="4" xfId="0" applyNumberFormat="1" applyFont="1" applyFill="1" applyBorder="1" applyAlignment="1" applyProtection="1">
      <alignment horizontal="right"/>
      <protection/>
    </xf>
    <xf numFmtId="4" fontId="7" fillId="4" borderId="4" xfId="0" applyNumberFormat="1" applyFont="1" applyFill="1" applyBorder="1" applyAlignment="1" applyProtection="1">
      <alignment horizontal="right"/>
      <protection/>
    </xf>
    <xf numFmtId="0" fontId="8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4" fontId="4" fillId="4" borderId="2" xfId="0" applyNumberFormat="1" applyFont="1" applyFill="1" applyBorder="1" applyAlignment="1" applyProtection="1">
      <alignment horizontal="right"/>
      <protection/>
    </xf>
    <xf numFmtId="4" fontId="5" fillId="4" borderId="2" xfId="0" applyNumberFormat="1" applyFont="1" applyFill="1" applyBorder="1" applyAlignment="1" applyProtection="1">
      <alignment horizontal="right"/>
      <protection/>
    </xf>
    <xf numFmtId="4" fontId="7" fillId="4" borderId="2" xfId="0" applyNumberFormat="1" applyFont="1" applyFill="1" applyBorder="1" applyAlignment="1" applyProtection="1">
      <alignment horizontal="right"/>
      <protection/>
    </xf>
    <xf numFmtId="0" fontId="3" fillId="4" borderId="4" xfId="0" applyFont="1" applyFill="1" applyBorder="1" applyAlignment="1">
      <alignment/>
    </xf>
    <xf numFmtId="4" fontId="4" fillId="4" borderId="11" xfId="0" applyNumberFormat="1" applyFont="1" applyFill="1" applyBorder="1" applyAlignment="1" applyProtection="1">
      <alignment horizontal="right"/>
      <protection/>
    </xf>
    <xf numFmtId="170" fontId="3" fillId="4" borderId="2" xfId="0" applyNumberFormat="1" applyFont="1" applyFill="1" applyBorder="1" applyAlignment="1">
      <alignment/>
    </xf>
    <xf numFmtId="171" fontId="3" fillId="4" borderId="2" xfId="19" applyNumberFormat="1" applyFont="1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/>
    </xf>
    <xf numFmtId="0" fontId="1" fillId="4" borderId="4" xfId="0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/>
    </xf>
    <xf numFmtId="4" fontId="5" fillId="4" borderId="2" xfId="0" applyNumberFormat="1" applyFont="1" applyFill="1" applyBorder="1" applyAlignment="1">
      <alignment/>
    </xf>
    <xf numFmtId="4" fontId="7" fillId="4" borderId="2" xfId="0" applyNumberFormat="1" applyFont="1" applyFill="1" applyBorder="1" applyAlignment="1">
      <alignment/>
    </xf>
    <xf numFmtId="0" fontId="5" fillId="4" borderId="2" xfId="0" applyFont="1" applyFill="1" applyBorder="1" applyAlignment="1">
      <alignment/>
    </xf>
    <xf numFmtId="4" fontId="4" fillId="4" borderId="0" xfId="0" applyNumberFormat="1" applyFont="1" applyFill="1" applyBorder="1" applyAlignment="1">
      <alignment/>
    </xf>
    <xf numFmtId="4" fontId="5" fillId="4" borderId="6" xfId="0" applyNumberFormat="1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1" fillId="4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9" fontId="9" fillId="0" borderId="0" xfId="0" applyNumberFormat="1" applyFont="1" applyBorder="1" applyAlignment="1">
      <alignment/>
    </xf>
    <xf numFmtId="4" fontId="3" fillId="4" borderId="2" xfId="17" applyNumberFormat="1" applyFont="1" applyFill="1" applyBorder="1" applyAlignment="1">
      <alignment/>
    </xf>
    <xf numFmtId="4" fontId="3" fillId="4" borderId="3" xfId="17" applyNumberFormat="1" applyFont="1" applyFill="1" applyBorder="1" applyAlignment="1">
      <alignment/>
    </xf>
    <xf numFmtId="0" fontId="3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" fontId="3" fillId="0" borderId="2" xfId="17" applyNumberFormat="1" applyFont="1" applyBorder="1" applyAlignment="1">
      <alignment horizontal="right" wrapText="1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4" fontId="3" fillId="0" borderId="2" xfId="17" applyNumberFormat="1" applyFont="1" applyBorder="1" applyAlignment="1">
      <alignment horizontal="right"/>
    </xf>
    <xf numFmtId="4" fontId="3" fillId="4" borderId="2" xfId="17" applyNumberFormat="1" applyFont="1" applyFill="1" applyBorder="1" applyAlignment="1">
      <alignment horizontal="right" wrapText="1"/>
    </xf>
    <xf numFmtId="4" fontId="3" fillId="4" borderId="2" xfId="17" applyNumberFormat="1" applyFont="1" applyFill="1" applyBorder="1" applyAlignment="1">
      <alignment horizontal="right"/>
    </xf>
    <xf numFmtId="4" fontId="3" fillId="4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16" fillId="0" borderId="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9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10" fontId="1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9" fontId="16" fillId="0" borderId="0" xfId="0" applyNumberFormat="1" applyFont="1" applyBorder="1" applyAlignment="1">
      <alignment/>
    </xf>
    <xf numFmtId="0" fontId="17" fillId="0" borderId="7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9" xfId="0" applyFont="1" applyBorder="1" applyAlignment="1">
      <alignment/>
    </xf>
    <xf numFmtId="0" fontId="17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4" fontId="18" fillId="0" borderId="11" xfId="0" applyNumberFormat="1" applyFont="1" applyBorder="1" applyAlignment="1">
      <alignment/>
    </xf>
    <xf numFmtId="0" fontId="17" fillId="0" borderId="12" xfId="0" applyFont="1" applyBorder="1" applyAlignment="1">
      <alignment/>
    </xf>
    <xf numFmtId="4" fontId="18" fillId="0" borderId="0" xfId="0" applyNumberFormat="1" applyFont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4" fontId="16" fillId="0" borderId="7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4" fontId="16" fillId="0" borderId="0" xfId="0" applyNumberFormat="1" applyFont="1" applyAlignment="1">
      <alignment/>
    </xf>
    <xf numFmtId="0" fontId="16" fillId="0" borderId="11" xfId="0" applyFont="1" applyBorder="1" applyAlignment="1">
      <alignment/>
    </xf>
    <xf numFmtId="10" fontId="16" fillId="0" borderId="0" xfId="0" applyNumberFormat="1" applyFont="1" applyAlignment="1">
      <alignment/>
    </xf>
    <xf numFmtId="0" fontId="16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 wrapText="1"/>
    </xf>
    <xf numFmtId="0" fontId="16" fillId="0" borderId="5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4" fontId="4" fillId="0" borderId="18" xfId="0" applyNumberFormat="1" applyFont="1" applyBorder="1" applyAlignment="1" applyProtection="1">
      <alignment horizontal="right"/>
      <protection/>
    </xf>
    <xf numFmtId="4" fontId="4" fillId="0" borderId="8" xfId="0" applyNumberFormat="1" applyFont="1" applyBorder="1" applyAlignment="1" applyProtection="1">
      <alignment horizontal="right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7" fillId="0" borderId="10" xfId="0" applyNumberFormat="1" applyFont="1" applyBorder="1" applyAlignment="1" applyProtection="1">
      <alignment horizontal="right"/>
      <protection/>
    </xf>
    <xf numFmtId="4" fontId="7" fillId="0" borderId="11" xfId="0" applyNumberFormat="1" applyFont="1" applyBorder="1" applyAlignment="1" applyProtection="1">
      <alignment horizontal="right"/>
      <protection/>
    </xf>
    <xf numFmtId="4" fontId="7" fillId="0" borderId="12" xfId="0" applyNumberFormat="1" applyFont="1" applyBorder="1" applyAlignment="1" applyProtection="1">
      <alignment horizontal="right"/>
      <protection/>
    </xf>
    <xf numFmtId="4" fontId="4" fillId="3" borderId="4" xfId="0" applyNumberFormat="1" applyFont="1" applyFill="1" applyBorder="1" applyAlignment="1">
      <alignment horizontal="center"/>
    </xf>
    <xf numFmtId="4" fontId="4" fillId="0" borderId="7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horizontal="right"/>
      <protection/>
    </xf>
    <xf numFmtId="4" fontId="4" fillId="0" borderId="9" xfId="0" applyNumberFormat="1" applyFont="1" applyBorder="1" applyAlignment="1" applyProtection="1">
      <alignment horizontal="right"/>
      <protection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iacovellireg\misura%206.2\Misura%206.2\Misura%206_2%20Imprese%20e%20Professioni\valutazioni\44_e_VNC%20ingegneri\scheda%20complessiva%20INGEGNERI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Complessiv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6"/>
  <sheetViews>
    <sheetView tabSelected="1" workbookViewId="0" topLeftCell="A16">
      <selection activeCell="F32" sqref="F32"/>
    </sheetView>
  </sheetViews>
  <sheetFormatPr defaultColWidth="9.140625" defaultRowHeight="12.75"/>
  <cols>
    <col min="1" max="2" width="9.140625" style="176" customWidth="1"/>
    <col min="3" max="3" width="8.8515625" style="176" customWidth="1"/>
    <col min="4" max="4" width="11.140625" style="176" customWidth="1"/>
    <col min="5" max="5" width="13.421875" style="176" customWidth="1"/>
    <col min="6" max="6" width="11.28125" style="176" customWidth="1"/>
    <col min="7" max="7" width="12.140625" style="176" customWidth="1"/>
    <col min="8" max="9" width="11.28125" style="176" customWidth="1"/>
    <col min="10" max="10" width="10.140625" style="176" customWidth="1"/>
    <col min="11" max="11" width="10.00390625" style="176" customWidth="1"/>
    <col min="12" max="16384" width="9.140625" style="176" customWidth="1"/>
  </cols>
  <sheetData>
    <row r="2" spans="1:11" ht="12.75">
      <c r="A2" s="227" t="s">
        <v>212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>
      <c r="A3" s="228" t="s">
        <v>213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1" ht="12.7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s="178" customFormat="1" ht="12.75">
      <c r="A5" s="229" t="s">
        <v>184</v>
      </c>
      <c r="B5" s="230"/>
      <c r="C5" s="230"/>
      <c r="D5" s="230"/>
      <c r="E5" s="230"/>
      <c r="F5" s="230"/>
      <c r="G5" s="230"/>
      <c r="H5" s="230"/>
      <c r="I5" s="230"/>
      <c r="J5" s="230"/>
      <c r="K5" s="231"/>
    </row>
    <row r="6" spans="1:11" ht="12.75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9"/>
    </row>
    <row r="7" spans="1:11" ht="12.75">
      <c r="A7" s="190"/>
      <c r="B7" s="191"/>
      <c r="C7" s="191"/>
      <c r="D7" s="190"/>
      <c r="E7" s="191" t="s">
        <v>185</v>
      </c>
      <c r="F7" s="188"/>
      <c r="G7" s="188"/>
      <c r="H7" s="188"/>
      <c r="I7" s="188" t="s">
        <v>186</v>
      </c>
      <c r="J7" s="192">
        <v>38330</v>
      </c>
      <c r="K7" s="189"/>
    </row>
    <row r="8" spans="1:11" ht="12.75">
      <c r="A8" s="191" t="s">
        <v>33</v>
      </c>
      <c r="B8" s="191"/>
      <c r="C8" s="191"/>
      <c r="D8" s="193">
        <f>+Complessivo!G2</f>
        <v>2422000</v>
      </c>
      <c r="E8" s="194">
        <f>+Complessivo!H2</f>
        <v>0.4684785169281585</v>
      </c>
      <c r="F8" s="188"/>
      <c r="G8" s="188"/>
      <c r="H8" s="188"/>
      <c r="I8" s="188" t="s">
        <v>187</v>
      </c>
      <c r="J8" s="192">
        <v>39425</v>
      </c>
      <c r="K8" s="189"/>
    </row>
    <row r="9" spans="1:11" ht="12.75">
      <c r="A9" s="191" t="s">
        <v>34</v>
      </c>
      <c r="B9" s="191"/>
      <c r="C9" s="191"/>
      <c r="D9" s="193">
        <f>+Complessivo!G3</f>
        <v>1550080</v>
      </c>
      <c r="E9" s="194">
        <f>+Complessivo!H3</f>
        <v>0.44999714092175885</v>
      </c>
      <c r="F9" s="188"/>
      <c r="G9" s="188"/>
      <c r="H9" s="188"/>
      <c r="I9" s="195" t="s">
        <v>188</v>
      </c>
      <c r="J9" s="188"/>
      <c r="K9" s="189"/>
    </row>
    <row r="10" spans="1:11" ht="12.75">
      <c r="A10" s="191" t="s">
        <v>35</v>
      </c>
      <c r="B10" s="191"/>
      <c r="C10" s="191"/>
      <c r="D10" s="193">
        <f>+Complessivo!G4</f>
        <v>274944</v>
      </c>
      <c r="E10" s="194">
        <f>+Complessivo!H4</f>
        <v>0.1372835130062849</v>
      </c>
      <c r="F10" s="188"/>
      <c r="G10" s="188"/>
      <c r="H10" s="188"/>
      <c r="I10" s="188"/>
      <c r="J10" s="188"/>
      <c r="K10" s="189"/>
    </row>
    <row r="11" spans="1:11" ht="12.75">
      <c r="A11" s="191" t="s">
        <v>36</v>
      </c>
      <c r="B11" s="191"/>
      <c r="C11" s="191"/>
      <c r="D11" s="193">
        <f>+Complessivo!G5</f>
        <v>1825024</v>
      </c>
      <c r="E11" s="194">
        <f>+Complessivo!H5</f>
        <v>0.40288612445644545</v>
      </c>
      <c r="F11" s="188"/>
      <c r="G11" s="188"/>
      <c r="H11" s="188"/>
      <c r="I11" s="195" t="s">
        <v>189</v>
      </c>
      <c r="J11" s="196">
        <v>0.65</v>
      </c>
      <c r="K11" s="189"/>
    </row>
    <row r="12" spans="1:11" ht="12.75">
      <c r="A12" s="187"/>
      <c r="B12" s="188"/>
      <c r="C12" s="188"/>
      <c r="D12" s="188"/>
      <c r="E12" s="188"/>
      <c r="F12" s="188"/>
      <c r="G12" s="188"/>
      <c r="H12" s="188"/>
      <c r="I12" s="188"/>
      <c r="J12" s="188"/>
      <c r="K12" s="189"/>
    </row>
    <row r="13" spans="1:11" s="200" customFormat="1" ht="12.75">
      <c r="A13" s="197" t="s">
        <v>190</v>
      </c>
      <c r="B13" s="191"/>
      <c r="C13" s="191"/>
      <c r="D13" s="198" t="s">
        <v>191</v>
      </c>
      <c r="E13" s="198" t="s">
        <v>192</v>
      </c>
      <c r="F13" s="219" t="s">
        <v>214</v>
      </c>
      <c r="G13" s="191"/>
      <c r="H13" s="191"/>
      <c r="I13" s="191"/>
      <c r="J13" s="191"/>
      <c r="K13" s="199"/>
    </row>
    <row r="14" spans="1:11" ht="12.75">
      <c r="A14" s="188" t="s">
        <v>6</v>
      </c>
      <c r="B14" s="188"/>
      <c r="C14" s="188"/>
      <c r="D14" s="201">
        <f>+Complessivo!M9</f>
        <v>1328777.01</v>
      </c>
      <c r="E14" s="201">
        <f>+Complessivo!M13</f>
        <v>584981.71</v>
      </c>
      <c r="F14" s="201">
        <f>+D14-E14</f>
        <v>743795.3</v>
      </c>
      <c r="G14" s="188"/>
      <c r="H14" s="188"/>
      <c r="I14" s="188"/>
      <c r="J14" s="188"/>
      <c r="K14" s="189"/>
    </row>
    <row r="15" spans="1:11" ht="12.75">
      <c r="A15" s="188" t="s">
        <v>7</v>
      </c>
      <c r="B15" s="188"/>
      <c r="C15" s="188"/>
      <c r="D15" s="201">
        <f>+Complessivo!M35</f>
        <v>447500</v>
      </c>
      <c r="E15" s="201">
        <f>+Complessivo!M39</f>
        <v>216920.08000000002</v>
      </c>
      <c r="F15" s="201">
        <f aca="true" t="shared" si="0" ref="F15:F20">+D15-E15</f>
        <v>230579.91999999998</v>
      </c>
      <c r="G15" s="188"/>
      <c r="H15" s="188"/>
      <c r="I15" s="188"/>
      <c r="J15" s="188"/>
      <c r="K15" s="189"/>
    </row>
    <row r="16" spans="1:11" ht="12.75">
      <c r="A16" s="188" t="s">
        <v>1</v>
      </c>
      <c r="B16" s="188"/>
      <c r="C16" s="188"/>
      <c r="D16" s="201">
        <f>+Complessivo!M67</f>
        <v>23310</v>
      </c>
      <c r="E16" s="201">
        <f>+Complessivo!M71</f>
        <v>23310</v>
      </c>
      <c r="F16" s="201">
        <f t="shared" si="0"/>
        <v>0</v>
      </c>
      <c r="G16" s="188"/>
      <c r="H16" s="188"/>
      <c r="I16" s="188"/>
      <c r="J16" s="188"/>
      <c r="K16" s="189"/>
    </row>
    <row r="17" spans="1:11" ht="12.75">
      <c r="A17" s="188" t="s">
        <v>8</v>
      </c>
      <c r="B17" s="188"/>
      <c r="C17" s="188"/>
      <c r="D17" s="201">
        <f>+Complessivo!M77</f>
        <v>127050</v>
      </c>
      <c r="E17" s="201">
        <f>+Complessivo!M81</f>
        <v>125570</v>
      </c>
      <c r="F17" s="201">
        <f t="shared" si="0"/>
        <v>1480</v>
      </c>
      <c r="G17" s="188"/>
      <c r="H17" s="188"/>
      <c r="I17" s="188"/>
      <c r="J17" s="188"/>
      <c r="K17" s="189"/>
    </row>
    <row r="18" spans="1:11" ht="12.75">
      <c r="A18" s="188" t="s">
        <v>193</v>
      </c>
      <c r="B18" s="188"/>
      <c r="C18" s="188"/>
      <c r="D18" s="201">
        <f>+Complessivo!M87</f>
        <v>255300</v>
      </c>
      <c r="E18" s="201">
        <f>+Complessivo!M91</f>
        <v>255300</v>
      </c>
      <c r="F18" s="201">
        <f t="shared" si="0"/>
        <v>0</v>
      </c>
      <c r="G18" s="188"/>
      <c r="H18" s="188"/>
      <c r="I18" s="188"/>
      <c r="J18" s="188"/>
      <c r="K18" s="189"/>
    </row>
    <row r="19" spans="1:11" ht="12.75">
      <c r="A19" s="188" t="s">
        <v>9</v>
      </c>
      <c r="B19" s="188"/>
      <c r="C19" s="188"/>
      <c r="D19" s="201">
        <f>+Complessivo!M98</f>
        <v>117540</v>
      </c>
      <c r="E19" s="201">
        <f>+Complessivo!M102</f>
        <v>101830</v>
      </c>
      <c r="F19" s="201">
        <f t="shared" si="0"/>
        <v>15710</v>
      </c>
      <c r="G19" s="188"/>
      <c r="H19" s="188"/>
      <c r="I19" s="188"/>
      <c r="J19" s="188"/>
      <c r="K19" s="189"/>
    </row>
    <row r="20" spans="1:11" ht="12.75">
      <c r="A20" s="188" t="s">
        <v>10</v>
      </c>
      <c r="B20" s="188"/>
      <c r="C20" s="188"/>
      <c r="D20" s="201">
        <f>+Complessivo!M111</f>
        <v>122522.99</v>
      </c>
      <c r="E20" s="201">
        <f>+Complessivo!M115</f>
        <v>37685.670000000006</v>
      </c>
      <c r="F20" s="201">
        <f t="shared" si="0"/>
        <v>84837.32</v>
      </c>
      <c r="G20" s="188"/>
      <c r="H20" s="188"/>
      <c r="I20" s="188"/>
      <c r="J20" s="188"/>
      <c r="K20" s="189"/>
    </row>
    <row r="21" spans="1:11" s="200" customFormat="1" ht="12.75">
      <c r="A21" s="202" t="s">
        <v>194</v>
      </c>
      <c r="B21" s="203"/>
      <c r="C21" s="203"/>
      <c r="D21" s="204">
        <f>SUM(D14:D20)</f>
        <v>2422000</v>
      </c>
      <c r="E21" s="204">
        <f>SUM(E14:E20)</f>
        <v>1345597.46</v>
      </c>
      <c r="F21" s="204">
        <f>SUM(F14:F20)</f>
        <v>1076402.54</v>
      </c>
      <c r="G21" s="203"/>
      <c r="H21" s="203"/>
      <c r="I21" s="203"/>
      <c r="J21" s="203"/>
      <c r="K21" s="205"/>
    </row>
    <row r="22" spans="4:6" s="200" customFormat="1" ht="12.75">
      <c r="D22" s="206"/>
      <c r="E22" s="206"/>
      <c r="F22" s="206"/>
    </row>
    <row r="23" spans="1:11" s="178" customFormat="1" ht="12.75">
      <c r="A23" s="229" t="s">
        <v>195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1"/>
    </row>
    <row r="24" spans="1:11" s="200" customFormat="1" ht="12.75">
      <c r="A24" s="197"/>
      <c r="B24" s="191"/>
      <c r="C24" s="191"/>
      <c r="D24" s="191"/>
      <c r="E24" s="191"/>
      <c r="F24" s="191"/>
      <c r="G24" s="191"/>
      <c r="H24" s="191"/>
      <c r="I24" s="191"/>
      <c r="J24" s="191"/>
      <c r="K24" s="199"/>
    </row>
    <row r="25" spans="1:11" ht="21">
      <c r="A25" s="187"/>
      <c r="B25" s="188"/>
      <c r="C25" s="188"/>
      <c r="D25" s="209" t="s">
        <v>20</v>
      </c>
      <c r="E25" s="209" t="s">
        <v>40</v>
      </c>
      <c r="F25" s="210" t="s">
        <v>41</v>
      </c>
      <c r="G25" s="209" t="s">
        <v>21</v>
      </c>
      <c r="H25" s="209" t="s">
        <v>42</v>
      </c>
      <c r="I25" s="210" t="s">
        <v>43</v>
      </c>
      <c r="J25" s="209" t="s">
        <v>196</v>
      </c>
      <c r="K25" s="209" t="s">
        <v>197</v>
      </c>
    </row>
    <row r="26" spans="1:11" s="200" customFormat="1" ht="12.75">
      <c r="A26" s="197" t="s">
        <v>198</v>
      </c>
      <c r="B26" s="191"/>
      <c r="C26" s="191"/>
      <c r="D26" s="193">
        <f>+Complessivo!M2</f>
        <v>571453.34</v>
      </c>
      <c r="E26" s="193">
        <f>+Complessivo!N2</f>
        <v>58252.428</v>
      </c>
      <c r="F26" s="193">
        <f>+Complessivo!O2</f>
        <v>1134654.9679999999</v>
      </c>
      <c r="G26" s="193">
        <f>+Complessivo!P2</f>
        <v>697531.5682</v>
      </c>
      <c r="H26" s="193">
        <f>+Complessivo!Q2</f>
        <v>37745.2782</v>
      </c>
      <c r="I26" s="193">
        <f>+Complessivo!R2</f>
        <v>735276.8463999999</v>
      </c>
      <c r="J26" s="193">
        <f>+Complessivo!S2</f>
        <v>275728.8174</v>
      </c>
      <c r="K26" s="193">
        <f>+Complessivo!T2</f>
        <v>459548.02900000004</v>
      </c>
    </row>
    <row r="27" spans="1:12" ht="12.75">
      <c r="A27" s="211" t="s">
        <v>215</v>
      </c>
      <c r="B27" s="212"/>
      <c r="C27" s="188"/>
      <c r="D27" s="201">
        <f>+Complessivo!M3</f>
        <v>213008.27999999997</v>
      </c>
      <c r="E27" s="201">
        <f>+Complessivo!N3</f>
        <v>11880</v>
      </c>
      <c r="F27" s="201">
        <f>+Complessivo!O3</f>
        <v>224888.27999999997</v>
      </c>
      <c r="G27" s="201">
        <f>+Complessivo!P3</f>
        <v>136325.29919999998</v>
      </c>
      <c r="H27" s="201">
        <f>+Complessivo!Q3</f>
        <v>7603.200000000001</v>
      </c>
      <c r="I27" s="201">
        <f>+Complessivo!R3</f>
        <v>143928.4992</v>
      </c>
      <c r="J27" s="201">
        <f>+Complessivo!S3</f>
        <v>53973.18719999999</v>
      </c>
      <c r="K27" s="201">
        <f>+Complessivo!T3</f>
        <v>89955.31199999999</v>
      </c>
      <c r="L27" s="213"/>
    </row>
    <row r="28" spans="1:12" ht="12.75">
      <c r="A28" s="211" t="s">
        <v>216</v>
      </c>
      <c r="B28" s="201"/>
      <c r="C28" s="188"/>
      <c r="D28" s="201">
        <f>+Complessivo!M4</f>
        <v>358445.06</v>
      </c>
      <c r="E28" s="201">
        <f>+Complessivo!N4</f>
        <v>25524.638</v>
      </c>
      <c r="F28" s="201">
        <f>+Complessivo!O4</f>
        <v>383969.698</v>
      </c>
      <c r="G28" s="201">
        <f>+Complessivo!P4</f>
        <v>232989.289</v>
      </c>
      <c r="H28" s="201">
        <f>+Complessivo!Q4</f>
        <v>16591.0147</v>
      </c>
      <c r="I28" s="201">
        <f>+Complessivo!R4</f>
        <v>249580.3037</v>
      </c>
      <c r="J28" s="201">
        <f>+Complessivo!S4</f>
        <v>93592.61388749999</v>
      </c>
      <c r="K28" s="201">
        <f>+Complessivo!T4</f>
        <v>155987.6898125</v>
      </c>
      <c r="L28" s="213"/>
    </row>
    <row r="29" spans="1:11" ht="12.75">
      <c r="A29" s="176" t="s">
        <v>221</v>
      </c>
      <c r="D29" s="201">
        <f>+Complessivo!M5</f>
        <v>504949.2</v>
      </c>
      <c r="E29" s="201">
        <f>+Complessivo!N5</f>
        <v>20847.79</v>
      </c>
      <c r="F29" s="193">
        <f>+Complessivo!O5</f>
        <v>525796.99</v>
      </c>
      <c r="G29" s="201">
        <f>+Complessivo!P5</f>
        <v>328216.98</v>
      </c>
      <c r="H29" s="201">
        <f>+Complessivo!Q5</f>
        <v>13551.0635</v>
      </c>
      <c r="I29" s="193">
        <f>+Complessivo!R5</f>
        <v>341768.04349999997</v>
      </c>
      <c r="J29" s="201">
        <f>+Complessivo!S5</f>
        <v>128163.01631250003</v>
      </c>
      <c r="K29" s="193">
        <f>+Complessivo!T5</f>
        <v>213605.02718750003</v>
      </c>
    </row>
    <row r="30" ht="12.75">
      <c r="E30" s="215"/>
    </row>
    <row r="31" spans="1:11" ht="25.5">
      <c r="A31" s="223" t="s">
        <v>199</v>
      </c>
      <c r="B31" s="224"/>
      <c r="C31" s="224"/>
      <c r="D31" s="224"/>
      <c r="E31" s="224"/>
      <c r="F31" s="224"/>
      <c r="G31" s="224"/>
      <c r="H31" s="225"/>
      <c r="I31" s="216" t="s">
        <v>200</v>
      </c>
      <c r="J31" s="217" t="s">
        <v>201</v>
      </c>
      <c r="K31" s="188"/>
    </row>
    <row r="32" spans="1:11" ht="12.75">
      <c r="A32" s="188" t="s">
        <v>49</v>
      </c>
      <c r="B32" s="188"/>
      <c r="C32" s="188"/>
      <c r="D32" s="188"/>
      <c r="E32" s="188"/>
      <c r="F32" s="188"/>
      <c r="G32" s="188"/>
      <c r="H32" s="188"/>
      <c r="I32" s="218"/>
      <c r="J32" s="188"/>
      <c r="K32" s="188"/>
    </row>
    <row r="33" spans="1:11" ht="12.75">
      <c r="A33" s="188" t="s">
        <v>55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</row>
    <row r="34" spans="1:11" ht="12.75">
      <c r="A34" s="188"/>
      <c r="B34" s="188"/>
      <c r="C34" s="188"/>
      <c r="D34" s="188"/>
      <c r="E34" s="188"/>
      <c r="F34" s="188"/>
      <c r="G34" s="188"/>
      <c r="H34" s="188"/>
      <c r="I34" s="188"/>
      <c r="J34" s="188"/>
      <c r="K34" s="188"/>
    </row>
    <row r="35" ht="12.75">
      <c r="E35" s="215"/>
    </row>
    <row r="36" spans="1:11" ht="12.75">
      <c r="A36" s="226" t="s">
        <v>202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</row>
    <row r="39" spans="1:11" ht="23.25" customHeight="1">
      <c r="A39" s="221" t="s">
        <v>203</v>
      </c>
      <c r="B39" s="221"/>
      <c r="C39" s="221"/>
      <c r="D39" s="221"/>
      <c r="E39" s="221"/>
      <c r="F39" s="221"/>
      <c r="G39" s="220" t="s">
        <v>204</v>
      </c>
      <c r="H39" s="220"/>
      <c r="I39" s="220"/>
      <c r="J39" s="220"/>
      <c r="K39" s="220"/>
    </row>
    <row r="40" spans="1:11" ht="25.5" customHeight="1">
      <c r="A40" s="221" t="s">
        <v>205</v>
      </c>
      <c r="B40" s="221"/>
      <c r="C40" s="221"/>
      <c r="D40" s="221"/>
      <c r="E40" s="221"/>
      <c r="F40" s="221"/>
      <c r="G40" s="220" t="s">
        <v>204</v>
      </c>
      <c r="H40" s="220"/>
      <c r="I40" s="220"/>
      <c r="J40" s="220"/>
      <c r="K40" s="220"/>
    </row>
    <row r="41" spans="1:11" ht="24" customHeight="1">
      <c r="A41" s="222" t="s">
        <v>206</v>
      </c>
      <c r="B41" s="222"/>
      <c r="C41" s="222"/>
      <c r="D41" s="222"/>
      <c r="E41" s="222"/>
      <c r="F41" s="222"/>
      <c r="G41" s="220" t="s">
        <v>207</v>
      </c>
      <c r="H41" s="220"/>
      <c r="I41" s="220"/>
      <c r="J41" s="220"/>
      <c r="K41" s="220"/>
    </row>
    <row r="42" spans="1:11" ht="23.25" customHeight="1">
      <c r="A42" s="222"/>
      <c r="B42" s="222"/>
      <c r="C42" s="222"/>
      <c r="D42" s="222"/>
      <c r="E42" s="222"/>
      <c r="F42" s="222"/>
      <c r="G42" s="220"/>
      <c r="H42" s="220"/>
      <c r="I42" s="220"/>
      <c r="J42" s="220"/>
      <c r="K42" s="220"/>
    </row>
    <row r="43" ht="26.25" customHeight="1">
      <c r="A43" s="176" t="s">
        <v>208</v>
      </c>
    </row>
    <row r="44" spans="1:11" ht="12.75">
      <c r="A44" s="214"/>
      <c r="B44" s="214"/>
      <c r="C44" s="214"/>
      <c r="D44" s="214"/>
      <c r="E44" s="214"/>
      <c r="F44" s="214"/>
      <c r="G44" s="214"/>
      <c r="H44" s="214"/>
      <c r="I44" s="214"/>
      <c r="J44" s="214"/>
      <c r="K44" s="214"/>
    </row>
    <row r="45" spans="1:11" ht="24.75" customHeight="1">
      <c r="A45" s="203" t="s">
        <v>217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</row>
    <row r="46" spans="1:11" ht="24.75" customHeight="1">
      <c r="A46" s="214"/>
      <c r="B46" s="214"/>
      <c r="C46" s="214"/>
      <c r="D46" s="214"/>
      <c r="E46" s="214"/>
      <c r="F46" s="214"/>
      <c r="G46" s="214"/>
      <c r="H46" s="214"/>
      <c r="I46" s="214"/>
      <c r="J46" s="214"/>
      <c r="K46" s="214"/>
    </row>
    <row r="47" spans="1:11" ht="24.75" customHeight="1">
      <c r="A47" s="214"/>
      <c r="B47" s="214"/>
      <c r="C47" s="214"/>
      <c r="D47" s="214"/>
      <c r="E47" s="214"/>
      <c r="F47" s="214"/>
      <c r="G47" s="214"/>
      <c r="H47" s="214"/>
      <c r="I47" s="214"/>
      <c r="J47" s="214"/>
      <c r="K47" s="214"/>
    </row>
    <row r="48" spans="1:11" ht="24.75" customHeight="1">
      <c r="A48" s="214"/>
      <c r="B48" s="214"/>
      <c r="C48" s="214"/>
      <c r="D48" s="214"/>
      <c r="E48" s="214"/>
      <c r="F48" s="214"/>
      <c r="G48" s="214"/>
      <c r="H48" s="214"/>
      <c r="I48" s="214"/>
      <c r="J48" s="214"/>
      <c r="K48" s="214"/>
    </row>
    <row r="49" spans="1:11" ht="12.75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</row>
    <row r="50" spans="1:11" ht="12.75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</row>
    <row r="51" spans="1:11" ht="12.75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</row>
    <row r="53" spans="1:9" ht="12.75">
      <c r="A53" s="220" t="s">
        <v>209</v>
      </c>
      <c r="B53" s="220"/>
      <c r="C53" s="220"/>
      <c r="D53" s="220" t="s">
        <v>210</v>
      </c>
      <c r="E53" s="220"/>
      <c r="F53" s="220"/>
      <c r="G53" s="220" t="s">
        <v>211</v>
      </c>
      <c r="H53" s="220"/>
      <c r="I53" s="220"/>
    </row>
    <row r="54" spans="1:9" ht="23.25" customHeight="1">
      <c r="A54" s="220"/>
      <c r="B54" s="220"/>
      <c r="C54" s="220"/>
      <c r="D54" s="220"/>
      <c r="E54" s="220"/>
      <c r="F54" s="220"/>
      <c r="G54" s="220"/>
      <c r="H54" s="220"/>
      <c r="I54" s="220"/>
    </row>
    <row r="55" spans="1:9" ht="23.25" customHeight="1">
      <c r="A55" s="220"/>
      <c r="B55" s="220"/>
      <c r="C55" s="220"/>
      <c r="D55" s="220"/>
      <c r="E55" s="220"/>
      <c r="F55" s="220"/>
      <c r="G55" s="220"/>
      <c r="H55" s="220"/>
      <c r="I55" s="220"/>
    </row>
    <row r="56" spans="1:9" ht="23.25" customHeight="1">
      <c r="A56" s="220"/>
      <c r="B56" s="220"/>
      <c r="C56" s="220"/>
      <c r="D56" s="220"/>
      <c r="E56" s="220"/>
      <c r="F56" s="220"/>
      <c r="G56" s="220"/>
      <c r="H56" s="220"/>
      <c r="I56" s="220"/>
    </row>
  </sheetData>
  <mergeCells count="24">
    <mergeCell ref="A2:K2"/>
    <mergeCell ref="A3:K3"/>
    <mergeCell ref="A5:K5"/>
    <mergeCell ref="A23:K23"/>
    <mergeCell ref="A31:H31"/>
    <mergeCell ref="A36:K36"/>
    <mergeCell ref="A39:F39"/>
    <mergeCell ref="G39:K39"/>
    <mergeCell ref="A40:F40"/>
    <mergeCell ref="G40:K40"/>
    <mergeCell ref="A41:F42"/>
    <mergeCell ref="G41:K42"/>
    <mergeCell ref="A53:C53"/>
    <mergeCell ref="D53:F53"/>
    <mergeCell ref="G53:I53"/>
    <mergeCell ref="A54:C54"/>
    <mergeCell ref="D54:F54"/>
    <mergeCell ref="G54:I54"/>
    <mergeCell ref="A55:C55"/>
    <mergeCell ref="D55:F55"/>
    <mergeCell ref="G55:I55"/>
    <mergeCell ref="A56:C56"/>
    <mergeCell ref="D56:F56"/>
    <mergeCell ref="G56:I56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2"/>
  <sheetViews>
    <sheetView showGridLines="0" showZeros="0" zoomScale="85" zoomScaleNormal="85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5" sqref="D15"/>
    </sheetView>
  </sheetViews>
  <sheetFormatPr defaultColWidth="9.140625" defaultRowHeight="12.75"/>
  <cols>
    <col min="1" max="1" width="3.8515625" style="1" customWidth="1"/>
    <col min="2" max="2" width="3.28125" style="78" customWidth="1"/>
    <col min="3" max="3" width="9.421875" style="2" customWidth="1"/>
    <col min="4" max="4" width="23.140625" style="2" customWidth="1"/>
    <col min="5" max="5" width="16.7109375" style="2" customWidth="1"/>
    <col min="6" max="6" width="8.421875" style="2" customWidth="1"/>
    <col min="7" max="7" width="11.57421875" style="2" customWidth="1"/>
    <col min="8" max="8" width="11.28125" style="2" customWidth="1"/>
    <col min="9" max="9" width="9.421875" style="2" customWidth="1"/>
    <col min="10" max="10" width="10.140625" style="2" customWidth="1"/>
    <col min="11" max="11" width="10.7109375" style="2" customWidth="1"/>
    <col min="12" max="12" width="11.421875" style="137" customWidth="1"/>
    <col min="13" max="13" width="12.28125" style="2" customWidth="1"/>
    <col min="14" max="14" width="11.140625" style="2" customWidth="1"/>
    <col min="15" max="15" width="12.28125" style="137" customWidth="1"/>
    <col min="16" max="17" width="11.140625" style="2" customWidth="1"/>
    <col min="18" max="18" width="11.140625" style="137" customWidth="1"/>
    <col min="19" max="19" width="11.140625" style="2" bestFit="1" customWidth="1"/>
    <col min="20" max="20" width="10.28125" style="30" customWidth="1"/>
    <col min="21" max="21" width="14.140625" style="2" customWidth="1"/>
    <col min="22" max="16384" width="9.140625" style="2" customWidth="1"/>
  </cols>
  <sheetData>
    <row r="1" spans="1:20" s="1" customFormat="1" ht="12.75">
      <c r="A1" s="183" t="s">
        <v>110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5"/>
    </row>
    <row r="2" spans="1:20" ht="11.25">
      <c r="A2" s="90"/>
      <c r="B2" s="84"/>
      <c r="C2" s="85" t="s">
        <v>0</v>
      </c>
      <c r="D2" s="82" t="s">
        <v>47</v>
      </c>
      <c r="E2" s="83" t="s">
        <v>33</v>
      </c>
      <c r="F2" s="83"/>
      <c r="G2" s="86">
        <f>M9+M35+M67+M77+M87+M98+M111</f>
        <v>2422000</v>
      </c>
      <c r="H2" s="159">
        <f>+O2/G2</f>
        <v>0.4684785169281585</v>
      </c>
      <c r="I2" s="127" t="s">
        <v>32</v>
      </c>
      <c r="J2" s="126">
        <v>38201</v>
      </c>
      <c r="K2" s="91">
        <f>G4</f>
        <v>274944</v>
      </c>
      <c r="L2" s="130" t="s">
        <v>29</v>
      </c>
      <c r="M2" s="76">
        <f>SUM(M3:M4)</f>
        <v>571453.34</v>
      </c>
      <c r="N2" s="76">
        <f aca="true" t="shared" si="0" ref="N2:T2">SUM(N3:N7)</f>
        <v>58252.428</v>
      </c>
      <c r="O2" s="146">
        <f t="shared" si="0"/>
        <v>1134654.9679999999</v>
      </c>
      <c r="P2" s="76">
        <f t="shared" si="0"/>
        <v>697531.5682</v>
      </c>
      <c r="Q2" s="76">
        <f t="shared" si="0"/>
        <v>37745.2782</v>
      </c>
      <c r="R2" s="146">
        <f t="shared" si="0"/>
        <v>735276.8463999999</v>
      </c>
      <c r="S2" s="76">
        <f t="shared" si="0"/>
        <v>275728.8174</v>
      </c>
      <c r="T2" s="76">
        <f t="shared" si="0"/>
        <v>459548.02900000004</v>
      </c>
    </row>
    <row r="3" spans="1:21" s="33" customFormat="1" ht="11.25">
      <c r="A3" s="71"/>
      <c r="B3" s="84"/>
      <c r="C3" s="41" t="s">
        <v>44</v>
      </c>
      <c r="D3" s="42" t="s">
        <v>48</v>
      </c>
      <c r="E3" s="88" t="s">
        <v>34</v>
      </c>
      <c r="F3" s="44"/>
      <c r="G3" s="87">
        <f>+P9+P35+P67+P77+P87+P98+P111</f>
        <v>1550080</v>
      </c>
      <c r="H3" s="159">
        <f>+P2/G3</f>
        <v>0.44999714092175885</v>
      </c>
      <c r="J3" s="87" t="s">
        <v>38</v>
      </c>
      <c r="K3" s="76">
        <f>K10+K36+K68+K78+K88+K99+K112</f>
        <v>8598.4912</v>
      </c>
      <c r="L3" s="130" t="s">
        <v>30</v>
      </c>
      <c r="M3" s="76">
        <f aca="true" t="shared" si="1" ref="M3:T3">M10+M36+M68+M78+M88+M99+M112</f>
        <v>213008.27999999997</v>
      </c>
      <c r="N3" s="76">
        <f t="shared" si="1"/>
        <v>11880</v>
      </c>
      <c r="O3" s="146">
        <f t="shared" si="1"/>
        <v>224888.27999999997</v>
      </c>
      <c r="P3" s="76">
        <f t="shared" si="1"/>
        <v>136325.29919999998</v>
      </c>
      <c r="Q3" s="76">
        <f t="shared" si="1"/>
        <v>7603.200000000001</v>
      </c>
      <c r="R3" s="146">
        <f t="shared" si="1"/>
        <v>143928.4992</v>
      </c>
      <c r="S3" s="76">
        <f t="shared" si="1"/>
        <v>53973.18719999999</v>
      </c>
      <c r="T3" s="76">
        <f t="shared" si="1"/>
        <v>89955.31199999999</v>
      </c>
      <c r="U3" s="129">
        <v>89955.312</v>
      </c>
    </row>
    <row r="4" spans="1:21" s="33" customFormat="1" ht="11.25">
      <c r="A4" s="71"/>
      <c r="B4" s="84"/>
      <c r="C4" s="41" t="s">
        <v>37</v>
      </c>
      <c r="D4" s="42" t="s">
        <v>117</v>
      </c>
      <c r="E4" s="88" t="s">
        <v>35</v>
      </c>
      <c r="F4" s="44"/>
      <c r="G4" s="87">
        <v>274944</v>
      </c>
      <c r="H4" s="159">
        <f>+Q2/G4</f>
        <v>0.1372835130062849</v>
      </c>
      <c r="J4" s="88" t="s">
        <v>39</v>
      </c>
      <c r="K4" s="89">
        <f>K2-K3</f>
        <v>266345.5088</v>
      </c>
      <c r="L4" s="130" t="s">
        <v>31</v>
      </c>
      <c r="M4" s="76">
        <f>M11+M37+M69+M79+M89+M100+M113</f>
        <v>358445.06</v>
      </c>
      <c r="N4" s="76">
        <f>N11+N37+N69+N79+N89+N100+N113</f>
        <v>25524.638</v>
      </c>
      <c r="O4" s="146">
        <f>+N4+M4</f>
        <v>383969.698</v>
      </c>
      <c r="P4" s="76">
        <f>P11+P37+P69+P79+P89+P100+P113</f>
        <v>232989.289</v>
      </c>
      <c r="Q4" s="76">
        <f>Q11+Q37+Q69+Q79+Q89+Q100+Q113</f>
        <v>16591.0147</v>
      </c>
      <c r="R4" s="146">
        <f>+Q4+P4</f>
        <v>249580.3037</v>
      </c>
      <c r="S4" s="76">
        <f>S11+S37+S69+S79+S89+S100+S113</f>
        <v>93592.61388749999</v>
      </c>
      <c r="T4" s="76">
        <f>T11+T37+T69+T79+T89+T100+T113</f>
        <v>155987.6898125</v>
      </c>
      <c r="U4" s="129">
        <v>155987.69</v>
      </c>
    </row>
    <row r="5" spans="1:21" s="33" customFormat="1" ht="11.25">
      <c r="A5" s="71"/>
      <c r="B5" s="84"/>
      <c r="C5" s="41" t="s">
        <v>218</v>
      </c>
      <c r="D5" s="42" t="s">
        <v>219</v>
      </c>
      <c r="E5" s="88" t="s">
        <v>36</v>
      </c>
      <c r="F5" s="44"/>
      <c r="G5" s="87">
        <f>SUM(G3:G4)</f>
        <v>1825024</v>
      </c>
      <c r="H5" s="159">
        <f>+R2/G5</f>
        <v>0.40288612445644545</v>
      </c>
      <c r="L5" s="130" t="s">
        <v>220</v>
      </c>
      <c r="M5" s="76">
        <f>M12+M38+M70+M80+M90+M101+M114</f>
        <v>504949.2</v>
      </c>
      <c r="N5" s="76">
        <f>N12+N38+N70+N80+N90+N101+N114</f>
        <v>20847.79</v>
      </c>
      <c r="O5" s="146">
        <f>+N5+M5</f>
        <v>525796.99</v>
      </c>
      <c r="P5" s="76">
        <f>P12+P38+P70+P80+P90+P101+P114</f>
        <v>328216.98</v>
      </c>
      <c r="Q5" s="76">
        <f>Q12+Q38+Q70+Q80+Q90+Q101+Q114</f>
        <v>13551.0635</v>
      </c>
      <c r="R5" s="146">
        <f>+Q5+P5</f>
        <v>341768.04349999997</v>
      </c>
      <c r="S5" s="76">
        <f>S12+S38+S70+S80+S90+S101+S114</f>
        <v>128163.01631250003</v>
      </c>
      <c r="T5" s="76">
        <f>T12+T38+T70+T80+T90+T101+T114</f>
        <v>213605.02718750003</v>
      </c>
      <c r="U5" s="32"/>
    </row>
    <row r="6" spans="1:21" s="33" customFormat="1" ht="11.25">
      <c r="A6" s="71"/>
      <c r="B6" s="84"/>
      <c r="C6" s="41"/>
      <c r="D6" s="42"/>
      <c r="E6" s="43"/>
      <c r="F6" s="44"/>
      <c r="G6" s="87"/>
      <c r="H6" s="45"/>
      <c r="L6" s="130"/>
      <c r="M6" s="76"/>
      <c r="N6" s="76"/>
      <c r="O6" s="146"/>
      <c r="P6" s="76"/>
      <c r="Q6" s="76"/>
      <c r="R6" s="146"/>
      <c r="S6" s="76"/>
      <c r="T6" s="76"/>
      <c r="U6" s="32"/>
    </row>
    <row r="7" spans="1:21" s="33" customFormat="1" ht="11.25">
      <c r="A7" s="71"/>
      <c r="B7" s="128"/>
      <c r="D7" s="42"/>
      <c r="E7" s="43"/>
      <c r="F7" s="44"/>
      <c r="G7" s="44"/>
      <c r="H7" s="45"/>
      <c r="L7" s="130"/>
      <c r="M7" s="76">
        <f>M11+M37+M69+M79+M89+M100+M113</f>
        <v>358445.06</v>
      </c>
      <c r="N7" s="76"/>
      <c r="O7" s="146"/>
      <c r="P7" s="76"/>
      <c r="Q7" s="76"/>
      <c r="R7" s="146"/>
      <c r="S7" s="76"/>
      <c r="T7" s="76"/>
      <c r="U7" s="32"/>
    </row>
    <row r="8" spans="1:21" ht="11.25">
      <c r="A8" s="46"/>
      <c r="B8" s="77"/>
      <c r="C8" s="47"/>
      <c r="D8" s="247" t="s">
        <v>6</v>
      </c>
      <c r="E8" s="247"/>
      <c r="F8" s="247"/>
      <c r="G8" s="247"/>
      <c r="H8" s="247"/>
      <c r="I8" s="247"/>
      <c r="J8" s="48"/>
      <c r="K8" s="48"/>
      <c r="L8" s="131"/>
      <c r="M8" s="28" t="s">
        <v>25</v>
      </c>
      <c r="N8" s="28"/>
      <c r="O8" s="147"/>
      <c r="P8" s="28" t="s">
        <v>21</v>
      </c>
      <c r="Q8" s="28"/>
      <c r="R8" s="147"/>
      <c r="S8" s="37" t="s">
        <v>23</v>
      </c>
      <c r="T8" s="38" t="s">
        <v>24</v>
      </c>
      <c r="U8" s="31"/>
    </row>
    <row r="9" spans="1:21" s="1" customFormat="1" ht="11.25">
      <c r="A9" s="235"/>
      <c r="B9" s="236"/>
      <c r="C9" s="65"/>
      <c r="D9" s="52"/>
      <c r="E9" s="52"/>
      <c r="F9" s="52"/>
      <c r="G9" s="52"/>
      <c r="H9" s="52"/>
      <c r="I9" s="52"/>
      <c r="J9" s="52"/>
      <c r="K9" s="66"/>
      <c r="L9" s="132" t="s">
        <v>12</v>
      </c>
      <c r="M9" s="3">
        <v>1328777.01</v>
      </c>
      <c r="N9" s="3"/>
      <c r="O9" s="148">
        <f>+N9+M9</f>
        <v>1328777.01</v>
      </c>
      <c r="P9" s="3">
        <f>M9*0.64</f>
        <v>850417.2864</v>
      </c>
      <c r="Q9" s="91"/>
      <c r="R9" s="152">
        <f>+Q9+P9</f>
        <v>850417.2864</v>
      </c>
      <c r="U9" s="29"/>
    </row>
    <row r="10" spans="1:21" s="1" customFormat="1" ht="11.25">
      <c r="A10" s="235"/>
      <c r="B10" s="236"/>
      <c r="C10" s="54"/>
      <c r="D10" s="53"/>
      <c r="E10" s="53"/>
      <c r="F10" s="53"/>
      <c r="G10" s="53"/>
      <c r="H10" s="53"/>
      <c r="I10" s="53"/>
      <c r="J10" s="53"/>
      <c r="K10" s="4">
        <f>SUM(Q15:Q32)</f>
        <v>0</v>
      </c>
      <c r="L10" s="133" t="s">
        <v>27</v>
      </c>
      <c r="M10" s="4">
        <f>SUM(M15:M28)</f>
        <v>116158.27999999997</v>
      </c>
      <c r="N10" s="4">
        <f>SUM(N15:N28)</f>
        <v>0</v>
      </c>
      <c r="O10" s="149">
        <f>+N10+M10</f>
        <v>116158.27999999997</v>
      </c>
      <c r="P10" s="4">
        <f>SUM(P15:P28)</f>
        <v>74341.2992</v>
      </c>
      <c r="Q10" s="4">
        <f>SUM(Q15:Q28)</f>
        <v>0</v>
      </c>
      <c r="R10" s="149">
        <f>+Q10+P10</f>
        <v>74341.2992</v>
      </c>
      <c r="S10" s="5">
        <f>R10*0.375</f>
        <v>27877.987199999996</v>
      </c>
      <c r="T10" s="5">
        <f>R10-S10</f>
        <v>46463.312</v>
      </c>
      <c r="U10" s="35"/>
    </row>
    <row r="11" spans="1:21" s="1" customFormat="1" ht="11.25">
      <c r="A11" s="235"/>
      <c r="B11" s="236"/>
      <c r="C11" s="54"/>
      <c r="D11" s="53"/>
      <c r="E11" s="53"/>
      <c r="F11" s="53"/>
      <c r="G11" s="53"/>
      <c r="H11" s="53"/>
      <c r="I11" s="53"/>
      <c r="J11" s="53"/>
      <c r="K11" s="55"/>
      <c r="L11" s="133" t="s">
        <v>28</v>
      </c>
      <c r="M11" s="4">
        <f>SUM(M29:M30)</f>
        <v>228764.37</v>
      </c>
      <c r="N11" s="4">
        <f>SUM(N29:N30)</f>
        <v>0</v>
      </c>
      <c r="O11" s="149">
        <f>+N11+M11</f>
        <v>228764.37</v>
      </c>
      <c r="P11" s="4">
        <f>SUM(P29:P30)</f>
        <v>148696.8405</v>
      </c>
      <c r="Q11" s="4">
        <f>SUM(Q29:Q30)</f>
        <v>0</v>
      </c>
      <c r="R11" s="149">
        <f>+Q11+P11</f>
        <v>148696.8405</v>
      </c>
      <c r="S11" s="5">
        <f>R11*0.375</f>
        <v>55761.3151875</v>
      </c>
      <c r="T11" s="5">
        <f>R11-S11</f>
        <v>92935.52531249999</v>
      </c>
      <c r="U11" s="35"/>
    </row>
    <row r="12" spans="1:21" s="1" customFormat="1" ht="11.25">
      <c r="A12" s="235"/>
      <c r="B12" s="236"/>
      <c r="C12" s="54"/>
      <c r="D12" s="53"/>
      <c r="E12" s="53"/>
      <c r="F12" s="53"/>
      <c r="G12" s="53"/>
      <c r="H12" s="53"/>
      <c r="I12" s="53"/>
      <c r="J12" s="53"/>
      <c r="K12" s="55"/>
      <c r="L12" s="133" t="s">
        <v>224</v>
      </c>
      <c r="M12" s="4">
        <f>+M31</f>
        <v>398872.65</v>
      </c>
      <c r="N12" s="4"/>
      <c r="O12" s="149">
        <f>+N12+M12</f>
        <v>398872.65</v>
      </c>
      <c r="P12" s="4">
        <f>+P31</f>
        <v>259267.22250000003</v>
      </c>
      <c r="Q12" s="4"/>
      <c r="R12" s="149">
        <f>+Q12+P12</f>
        <v>259267.22250000003</v>
      </c>
      <c r="S12" s="5">
        <f>R12*0.375</f>
        <v>97225.20843750001</v>
      </c>
      <c r="T12" s="5">
        <f>R12-S12</f>
        <v>162042.01406250003</v>
      </c>
      <c r="U12" s="35"/>
    </row>
    <row r="13" spans="1:21" s="1" customFormat="1" ht="11.25">
      <c r="A13" s="237"/>
      <c r="B13" s="238"/>
      <c r="C13" s="56"/>
      <c r="D13" s="57"/>
      <c r="E13" s="57"/>
      <c r="F13" s="57"/>
      <c r="G13" s="57"/>
      <c r="H13" s="57"/>
      <c r="I13" s="57"/>
      <c r="J13" s="57"/>
      <c r="K13" s="58"/>
      <c r="L13" s="134" t="s">
        <v>13</v>
      </c>
      <c r="M13" s="6">
        <f>+M9-M10-M11-M12</f>
        <v>584981.71</v>
      </c>
      <c r="N13" s="6">
        <f>N9-N10-N11</f>
        <v>0</v>
      </c>
      <c r="O13" s="150"/>
      <c r="P13" s="6"/>
      <c r="Q13" s="6"/>
      <c r="R13" s="150"/>
      <c r="S13" s="40"/>
      <c r="T13" s="40"/>
      <c r="U13" s="29"/>
    </row>
    <row r="14" spans="1:21" ht="22.5">
      <c r="A14" s="7" t="s">
        <v>14</v>
      </c>
      <c r="B14" s="7" t="s">
        <v>11</v>
      </c>
      <c r="C14" s="39" t="s">
        <v>22</v>
      </c>
      <c r="D14" s="39" t="s">
        <v>19</v>
      </c>
      <c r="E14" s="51" t="s">
        <v>2</v>
      </c>
      <c r="F14" s="39" t="s">
        <v>18</v>
      </c>
      <c r="G14" s="39" t="s">
        <v>17</v>
      </c>
      <c r="H14" s="51" t="s">
        <v>16</v>
      </c>
      <c r="I14" s="51" t="s">
        <v>15</v>
      </c>
      <c r="J14" s="39" t="s">
        <v>3</v>
      </c>
      <c r="K14" s="39" t="s">
        <v>4</v>
      </c>
      <c r="L14" s="135" t="s">
        <v>5</v>
      </c>
      <c r="M14" s="7" t="s">
        <v>20</v>
      </c>
      <c r="N14" s="7" t="s">
        <v>40</v>
      </c>
      <c r="O14" s="135" t="s">
        <v>41</v>
      </c>
      <c r="P14" s="7" t="s">
        <v>21</v>
      </c>
      <c r="Q14" s="7" t="s">
        <v>42</v>
      </c>
      <c r="R14" s="135" t="s">
        <v>43</v>
      </c>
      <c r="S14" s="179" t="s">
        <v>26</v>
      </c>
      <c r="T14" s="179"/>
      <c r="U14" s="30"/>
    </row>
    <row r="15" spans="1:20" ht="39.75" customHeight="1">
      <c r="A15" s="72" t="s">
        <v>46</v>
      </c>
      <c r="B15" s="8"/>
      <c r="C15" s="95" t="s">
        <v>49</v>
      </c>
      <c r="D15" s="96" t="s">
        <v>50</v>
      </c>
      <c r="E15" s="96" t="s">
        <v>53</v>
      </c>
      <c r="F15" s="9"/>
      <c r="G15" s="10"/>
      <c r="H15" s="11"/>
      <c r="I15" s="11" t="s">
        <v>103</v>
      </c>
      <c r="J15" s="12">
        <v>14217.6</v>
      </c>
      <c r="K15" s="12"/>
      <c r="L15" s="136">
        <f>+K15+J15</f>
        <v>14217.6</v>
      </c>
      <c r="M15" s="12">
        <f>J15</f>
        <v>14217.6</v>
      </c>
      <c r="N15" s="12">
        <f>K15</f>
        <v>0</v>
      </c>
      <c r="O15" s="136">
        <f>+N15+M15</f>
        <v>14217.6</v>
      </c>
      <c r="P15" s="12">
        <f>+M15*0.64</f>
        <v>9099.264000000001</v>
      </c>
      <c r="Q15" s="12"/>
      <c r="R15" s="136">
        <f>+Q15+P15</f>
        <v>9099.264000000001</v>
      </c>
      <c r="S15" s="180" t="s">
        <v>112</v>
      </c>
      <c r="T15" s="232"/>
    </row>
    <row r="16" spans="1:21" ht="52.5" customHeight="1">
      <c r="A16" s="72" t="s">
        <v>46</v>
      </c>
      <c r="B16" s="8"/>
      <c r="C16" s="95" t="s">
        <v>49</v>
      </c>
      <c r="D16" s="96" t="s">
        <v>51</v>
      </c>
      <c r="E16" s="96" t="s">
        <v>54</v>
      </c>
      <c r="F16" s="9"/>
      <c r="G16" s="10"/>
      <c r="H16" s="11"/>
      <c r="I16" s="11" t="s">
        <v>104</v>
      </c>
      <c r="J16" s="12">
        <v>4032</v>
      </c>
      <c r="K16" s="12"/>
      <c r="L16" s="136">
        <f aca="true" t="shared" si="2" ref="L16:L28">+K16+J16</f>
        <v>4032</v>
      </c>
      <c r="M16" s="12">
        <f>J16</f>
        <v>4032</v>
      </c>
      <c r="N16" s="12">
        <f>K16</f>
        <v>0</v>
      </c>
      <c r="O16" s="136">
        <f>+N16+M16</f>
        <v>4032</v>
      </c>
      <c r="P16" s="12">
        <f aca="true" t="shared" si="3" ref="P16:P28">+M16*0.64</f>
        <v>2580.48</v>
      </c>
      <c r="Q16" s="12"/>
      <c r="R16" s="136">
        <f aca="true" t="shared" si="4" ref="R16:R29">+Q16+P16</f>
        <v>2580.48</v>
      </c>
      <c r="S16" s="180" t="s">
        <v>113</v>
      </c>
      <c r="T16" s="180"/>
      <c r="U16" s="30"/>
    </row>
    <row r="17" spans="1:21" ht="39.75" customHeight="1">
      <c r="A17" s="72" t="s">
        <v>46</v>
      </c>
      <c r="B17" s="8"/>
      <c r="C17" s="95" t="s">
        <v>49</v>
      </c>
      <c r="D17" s="96" t="s">
        <v>52</v>
      </c>
      <c r="E17" s="96" t="s">
        <v>53</v>
      </c>
      <c r="F17" s="9"/>
      <c r="G17" s="10"/>
      <c r="H17" s="11"/>
      <c r="I17" s="11" t="s">
        <v>104</v>
      </c>
      <c r="J17" s="12">
        <v>22672.8</v>
      </c>
      <c r="K17" s="12"/>
      <c r="L17" s="136">
        <f t="shared" si="2"/>
        <v>22672.8</v>
      </c>
      <c r="M17" s="12">
        <f aca="true" t="shared" si="5" ref="M17:M28">J17</f>
        <v>22672.8</v>
      </c>
      <c r="N17" s="12"/>
      <c r="O17" s="136">
        <f>+N17+M17</f>
        <v>22672.8</v>
      </c>
      <c r="P17" s="12">
        <f t="shared" si="3"/>
        <v>14510.592</v>
      </c>
      <c r="Q17" s="12"/>
      <c r="R17" s="136">
        <f t="shared" si="4"/>
        <v>14510.592</v>
      </c>
      <c r="S17" s="180" t="s">
        <v>112</v>
      </c>
      <c r="T17" s="232"/>
      <c r="U17" s="30"/>
    </row>
    <row r="18" spans="1:21" ht="39.75" customHeight="1">
      <c r="A18" s="72" t="s">
        <v>46</v>
      </c>
      <c r="B18" s="8"/>
      <c r="C18" s="95" t="s">
        <v>55</v>
      </c>
      <c r="D18" s="96" t="s">
        <v>56</v>
      </c>
      <c r="E18" s="96" t="s">
        <v>53</v>
      </c>
      <c r="F18" s="9"/>
      <c r="G18" s="10"/>
      <c r="H18" s="11"/>
      <c r="I18" s="11"/>
      <c r="J18" s="12">
        <v>9348.36</v>
      </c>
      <c r="K18" s="12"/>
      <c r="L18" s="136">
        <f t="shared" si="2"/>
        <v>9348.36</v>
      </c>
      <c r="M18" s="12">
        <f t="shared" si="5"/>
        <v>9348.36</v>
      </c>
      <c r="N18" s="12"/>
      <c r="O18" s="136">
        <f aca="true" t="shared" si="6" ref="O18:O29">+N18+M18</f>
        <v>9348.36</v>
      </c>
      <c r="P18" s="12">
        <f t="shared" si="3"/>
        <v>5982.950400000001</v>
      </c>
      <c r="Q18" s="12"/>
      <c r="R18" s="136">
        <f t="shared" si="4"/>
        <v>5982.950400000001</v>
      </c>
      <c r="S18" s="232" t="s">
        <v>105</v>
      </c>
      <c r="T18" s="232"/>
      <c r="U18" s="30"/>
    </row>
    <row r="19" spans="1:21" ht="39.75" customHeight="1">
      <c r="A19" s="72" t="s">
        <v>46</v>
      </c>
      <c r="B19" s="8"/>
      <c r="C19" s="95" t="s">
        <v>55</v>
      </c>
      <c r="D19" s="96" t="s">
        <v>57</v>
      </c>
      <c r="E19" s="96" t="s">
        <v>53</v>
      </c>
      <c r="F19" s="9"/>
      <c r="G19" s="10"/>
      <c r="H19" s="11"/>
      <c r="I19" s="11"/>
      <c r="J19" s="12">
        <v>10207.48</v>
      </c>
      <c r="K19" s="12"/>
      <c r="L19" s="136">
        <f t="shared" si="2"/>
        <v>10207.48</v>
      </c>
      <c r="M19" s="12">
        <f t="shared" si="5"/>
        <v>10207.48</v>
      </c>
      <c r="N19" s="12"/>
      <c r="O19" s="136">
        <f t="shared" si="6"/>
        <v>10207.48</v>
      </c>
      <c r="P19" s="12">
        <f t="shared" si="3"/>
        <v>6532.7872</v>
      </c>
      <c r="Q19" s="12"/>
      <c r="R19" s="136">
        <f t="shared" si="4"/>
        <v>6532.7872</v>
      </c>
      <c r="S19" s="232" t="s">
        <v>105</v>
      </c>
      <c r="T19" s="232"/>
      <c r="U19" s="30"/>
    </row>
    <row r="20" spans="1:21" ht="46.5" customHeight="1">
      <c r="A20" s="72" t="s">
        <v>46</v>
      </c>
      <c r="B20" s="8"/>
      <c r="C20" s="95" t="s">
        <v>55</v>
      </c>
      <c r="D20" s="96" t="s">
        <v>58</v>
      </c>
      <c r="E20" s="96" t="s">
        <v>67</v>
      </c>
      <c r="F20" s="9"/>
      <c r="G20" s="10"/>
      <c r="H20" s="11"/>
      <c r="I20" s="11"/>
      <c r="J20" s="12">
        <v>3206.4</v>
      </c>
      <c r="K20" s="12"/>
      <c r="L20" s="136">
        <f t="shared" si="2"/>
        <v>3206.4</v>
      </c>
      <c r="M20" s="12">
        <f t="shared" si="5"/>
        <v>3206.4</v>
      </c>
      <c r="N20" s="12"/>
      <c r="O20" s="136">
        <f t="shared" si="6"/>
        <v>3206.4</v>
      </c>
      <c r="P20" s="12">
        <f t="shared" si="3"/>
        <v>2052.096</v>
      </c>
      <c r="Q20" s="12"/>
      <c r="R20" s="136">
        <f t="shared" si="4"/>
        <v>2052.096</v>
      </c>
      <c r="S20" s="232" t="s">
        <v>106</v>
      </c>
      <c r="T20" s="232"/>
      <c r="U20" s="30"/>
    </row>
    <row r="21" spans="1:21" ht="55.5" customHeight="1">
      <c r="A21" s="72" t="s">
        <v>46</v>
      </c>
      <c r="B21" s="8"/>
      <c r="C21" s="95" t="s">
        <v>55</v>
      </c>
      <c r="D21" s="96" t="s">
        <v>59</v>
      </c>
      <c r="E21" s="96" t="s">
        <v>67</v>
      </c>
      <c r="F21" s="9"/>
      <c r="G21" s="10"/>
      <c r="H21" s="11"/>
      <c r="I21" s="11"/>
      <c r="J21" s="12">
        <v>1688</v>
      </c>
      <c r="K21" s="12"/>
      <c r="L21" s="136">
        <f t="shared" si="2"/>
        <v>1688</v>
      </c>
      <c r="M21" s="12">
        <f t="shared" si="5"/>
        <v>1688</v>
      </c>
      <c r="N21" s="12"/>
      <c r="O21" s="136">
        <f t="shared" si="6"/>
        <v>1688</v>
      </c>
      <c r="P21" s="12">
        <f t="shared" si="3"/>
        <v>1080.32</v>
      </c>
      <c r="Q21" s="12"/>
      <c r="R21" s="136">
        <f t="shared" si="4"/>
        <v>1080.32</v>
      </c>
      <c r="S21" s="232" t="s">
        <v>106</v>
      </c>
      <c r="T21" s="232"/>
      <c r="U21" s="30"/>
    </row>
    <row r="22" spans="1:21" ht="39.75" customHeight="1">
      <c r="A22" s="72" t="s">
        <v>46</v>
      </c>
      <c r="B22" s="8"/>
      <c r="C22" s="95" t="s">
        <v>55</v>
      </c>
      <c r="D22" s="96" t="s">
        <v>60</v>
      </c>
      <c r="E22" s="96" t="s">
        <v>53</v>
      </c>
      <c r="F22" s="9"/>
      <c r="G22" s="10"/>
      <c r="H22" s="11"/>
      <c r="I22" s="11"/>
      <c r="J22" s="12">
        <v>6853.96</v>
      </c>
      <c r="K22" s="12"/>
      <c r="L22" s="136">
        <f t="shared" si="2"/>
        <v>6853.96</v>
      </c>
      <c r="M22" s="12">
        <f t="shared" si="5"/>
        <v>6853.96</v>
      </c>
      <c r="N22" s="12"/>
      <c r="O22" s="136">
        <f t="shared" si="6"/>
        <v>6853.96</v>
      </c>
      <c r="P22" s="12">
        <f t="shared" si="3"/>
        <v>4386.5344000000005</v>
      </c>
      <c r="Q22" s="12"/>
      <c r="R22" s="136">
        <f t="shared" si="4"/>
        <v>4386.5344000000005</v>
      </c>
      <c r="S22" s="232" t="s">
        <v>105</v>
      </c>
      <c r="T22" s="232"/>
      <c r="U22" s="30"/>
    </row>
    <row r="23" spans="1:21" ht="39.75" customHeight="1">
      <c r="A23" s="72" t="s">
        <v>46</v>
      </c>
      <c r="B23" s="8"/>
      <c r="C23" s="95" t="s">
        <v>55</v>
      </c>
      <c r="D23" s="96" t="s">
        <v>61</v>
      </c>
      <c r="E23" s="96" t="s">
        <v>53</v>
      </c>
      <c r="F23" s="9"/>
      <c r="G23" s="10"/>
      <c r="H23" s="11"/>
      <c r="I23" s="11"/>
      <c r="J23" s="12">
        <v>7767.32</v>
      </c>
      <c r="K23" s="12"/>
      <c r="L23" s="136">
        <f t="shared" si="2"/>
        <v>7767.32</v>
      </c>
      <c r="M23" s="12">
        <f t="shared" si="5"/>
        <v>7767.32</v>
      </c>
      <c r="N23" s="12"/>
      <c r="O23" s="136">
        <f t="shared" si="6"/>
        <v>7767.32</v>
      </c>
      <c r="P23" s="12">
        <f t="shared" si="3"/>
        <v>4971.0848</v>
      </c>
      <c r="Q23" s="12"/>
      <c r="R23" s="136">
        <f t="shared" si="4"/>
        <v>4971.0848</v>
      </c>
      <c r="S23" s="232" t="s">
        <v>105</v>
      </c>
      <c r="T23" s="232"/>
      <c r="U23" s="30"/>
    </row>
    <row r="24" spans="1:21" ht="39.75" customHeight="1">
      <c r="A24" s="72" t="s">
        <v>46</v>
      </c>
      <c r="B24" s="8"/>
      <c r="C24" s="95" t="s">
        <v>55</v>
      </c>
      <c r="D24" s="96" t="s">
        <v>62</v>
      </c>
      <c r="E24" s="96" t="s">
        <v>53</v>
      </c>
      <c r="F24" s="9"/>
      <c r="G24" s="10"/>
      <c r="H24" s="11"/>
      <c r="I24" s="11"/>
      <c r="J24" s="12">
        <v>10997.96</v>
      </c>
      <c r="K24" s="12"/>
      <c r="L24" s="136">
        <f t="shared" si="2"/>
        <v>10997.96</v>
      </c>
      <c r="M24" s="12">
        <f t="shared" si="5"/>
        <v>10997.96</v>
      </c>
      <c r="N24" s="12"/>
      <c r="O24" s="136">
        <f t="shared" si="6"/>
        <v>10997.96</v>
      </c>
      <c r="P24" s="12">
        <f t="shared" si="3"/>
        <v>7038.694399999999</v>
      </c>
      <c r="Q24" s="12"/>
      <c r="R24" s="136">
        <f t="shared" si="4"/>
        <v>7038.694399999999</v>
      </c>
      <c r="S24" s="232" t="s">
        <v>105</v>
      </c>
      <c r="T24" s="232"/>
      <c r="U24" s="30"/>
    </row>
    <row r="25" spans="1:21" ht="39.75" customHeight="1">
      <c r="A25" s="72" t="s">
        <v>46</v>
      </c>
      <c r="B25" s="8"/>
      <c r="C25" s="95" t="s">
        <v>55</v>
      </c>
      <c r="D25" s="96" t="s">
        <v>63</v>
      </c>
      <c r="E25" s="96" t="s">
        <v>53</v>
      </c>
      <c r="F25" s="9"/>
      <c r="G25" s="10"/>
      <c r="H25" s="11"/>
      <c r="I25" s="11"/>
      <c r="J25" s="12">
        <v>7412.4</v>
      </c>
      <c r="K25" s="12"/>
      <c r="L25" s="136">
        <f t="shared" si="2"/>
        <v>7412.4</v>
      </c>
      <c r="M25" s="12">
        <f t="shared" si="5"/>
        <v>7412.4</v>
      </c>
      <c r="N25" s="12"/>
      <c r="O25" s="136">
        <f t="shared" si="6"/>
        <v>7412.4</v>
      </c>
      <c r="P25" s="12">
        <f t="shared" si="3"/>
        <v>4743.936</v>
      </c>
      <c r="Q25" s="12"/>
      <c r="R25" s="136">
        <f t="shared" si="4"/>
        <v>4743.936</v>
      </c>
      <c r="S25" s="232" t="s">
        <v>105</v>
      </c>
      <c r="T25" s="232"/>
      <c r="U25" s="30"/>
    </row>
    <row r="26" spans="1:21" ht="43.5" customHeight="1">
      <c r="A26" s="72" t="s">
        <v>46</v>
      </c>
      <c r="B26" s="8"/>
      <c r="C26" s="95" t="s">
        <v>55</v>
      </c>
      <c r="D26" s="96" t="s">
        <v>64</v>
      </c>
      <c r="E26" s="96" t="s">
        <v>67</v>
      </c>
      <c r="F26" s="9"/>
      <c r="G26" s="10"/>
      <c r="H26" s="11"/>
      <c r="I26" s="11"/>
      <c r="J26" s="12">
        <v>6748.8</v>
      </c>
      <c r="K26" s="12"/>
      <c r="L26" s="136">
        <f t="shared" si="2"/>
        <v>6748.8</v>
      </c>
      <c r="M26" s="12">
        <f t="shared" si="5"/>
        <v>6748.8</v>
      </c>
      <c r="N26" s="12"/>
      <c r="O26" s="136">
        <f t="shared" si="6"/>
        <v>6748.8</v>
      </c>
      <c r="P26" s="12">
        <f t="shared" si="3"/>
        <v>4319.232</v>
      </c>
      <c r="Q26" s="12"/>
      <c r="R26" s="136">
        <f t="shared" si="4"/>
        <v>4319.232</v>
      </c>
      <c r="S26" s="232" t="s">
        <v>106</v>
      </c>
      <c r="T26" s="232"/>
      <c r="U26" s="30"/>
    </row>
    <row r="27" spans="1:21" ht="39.75" customHeight="1">
      <c r="A27" s="72" t="s">
        <v>46</v>
      </c>
      <c r="B27" s="8"/>
      <c r="C27" s="95" t="s">
        <v>55</v>
      </c>
      <c r="D27" s="96" t="s">
        <v>65</v>
      </c>
      <c r="E27" s="96" t="s">
        <v>53</v>
      </c>
      <c r="F27" s="9"/>
      <c r="G27" s="10"/>
      <c r="H27" s="11"/>
      <c r="I27" s="11"/>
      <c r="J27" s="12">
        <v>6116.4</v>
      </c>
      <c r="K27" s="12"/>
      <c r="L27" s="136">
        <f t="shared" si="2"/>
        <v>6116.4</v>
      </c>
      <c r="M27" s="12">
        <f t="shared" si="5"/>
        <v>6116.4</v>
      </c>
      <c r="N27" s="12"/>
      <c r="O27" s="136">
        <f t="shared" si="6"/>
        <v>6116.4</v>
      </c>
      <c r="P27" s="12">
        <f t="shared" si="3"/>
        <v>3914.4959999999996</v>
      </c>
      <c r="Q27" s="12"/>
      <c r="R27" s="136">
        <f t="shared" si="4"/>
        <v>3914.4959999999996</v>
      </c>
      <c r="S27" s="232" t="s">
        <v>105</v>
      </c>
      <c r="T27" s="232"/>
      <c r="U27" s="30"/>
    </row>
    <row r="28" spans="1:21" ht="39.75" customHeight="1">
      <c r="A28" s="72" t="s">
        <v>46</v>
      </c>
      <c r="B28" s="8"/>
      <c r="C28" s="95" t="s">
        <v>55</v>
      </c>
      <c r="D28" s="96" t="s">
        <v>66</v>
      </c>
      <c r="E28" s="96" t="s">
        <v>53</v>
      </c>
      <c r="F28" s="9"/>
      <c r="G28" s="10"/>
      <c r="H28" s="11"/>
      <c r="I28" s="11"/>
      <c r="J28" s="12">
        <v>4888.8</v>
      </c>
      <c r="K28" s="12"/>
      <c r="L28" s="136">
        <f t="shared" si="2"/>
        <v>4888.8</v>
      </c>
      <c r="M28" s="12">
        <f t="shared" si="5"/>
        <v>4888.8</v>
      </c>
      <c r="N28" s="12"/>
      <c r="O28" s="136">
        <f t="shared" si="6"/>
        <v>4888.8</v>
      </c>
      <c r="P28" s="12">
        <f t="shared" si="3"/>
        <v>3128.8320000000003</v>
      </c>
      <c r="Q28" s="12"/>
      <c r="R28" s="136">
        <f t="shared" si="4"/>
        <v>3128.8320000000003</v>
      </c>
      <c r="S28" s="232" t="s">
        <v>105</v>
      </c>
      <c r="T28" s="232"/>
      <c r="U28" s="30"/>
    </row>
    <row r="29" spans="1:21" ht="39.75" customHeight="1">
      <c r="A29" s="72" t="s">
        <v>111</v>
      </c>
      <c r="B29" s="8"/>
      <c r="C29" s="95" t="s">
        <v>55</v>
      </c>
      <c r="D29" s="96" t="s">
        <v>118</v>
      </c>
      <c r="E29" s="96"/>
      <c r="F29" s="9"/>
      <c r="G29" s="10"/>
      <c r="H29" s="11"/>
      <c r="I29" s="11"/>
      <c r="J29" s="12">
        <v>195237.36606298998</v>
      </c>
      <c r="K29" s="12"/>
      <c r="L29" s="136">
        <f>+K29+J29</f>
        <v>195237.36606298998</v>
      </c>
      <c r="M29" s="12">
        <v>195237.37</v>
      </c>
      <c r="N29" s="12"/>
      <c r="O29" s="136">
        <f t="shared" si="6"/>
        <v>195237.37</v>
      </c>
      <c r="P29" s="12">
        <f>+M29*0.65</f>
        <v>126904.2905</v>
      </c>
      <c r="Q29" s="12"/>
      <c r="R29" s="136">
        <f t="shared" si="4"/>
        <v>126904.2905</v>
      </c>
      <c r="S29" s="233"/>
      <c r="T29" s="234"/>
      <c r="U29" s="30"/>
    </row>
    <row r="30" spans="1:21" ht="39.75" customHeight="1">
      <c r="A30" s="72" t="s">
        <v>111</v>
      </c>
      <c r="B30" s="8"/>
      <c r="C30" s="95" t="s">
        <v>49</v>
      </c>
      <c r="D30" s="96" t="s">
        <v>119</v>
      </c>
      <c r="E30" s="96"/>
      <c r="F30" s="9"/>
      <c r="G30" s="10"/>
      <c r="H30" s="11"/>
      <c r="I30" s="11"/>
      <c r="J30" s="12">
        <v>33529.4</v>
      </c>
      <c r="K30" s="12"/>
      <c r="L30" s="136">
        <f>+K30+J30</f>
        <v>33529.4</v>
      </c>
      <c r="M30" s="12">
        <f>14.81*600+11.12*800+31.49*500</f>
        <v>33527</v>
      </c>
      <c r="N30" s="12"/>
      <c r="O30" s="136">
        <f>+N30+M30</f>
        <v>33527</v>
      </c>
      <c r="P30" s="12">
        <f>+M30*0.65</f>
        <v>21792.55</v>
      </c>
      <c r="Q30" s="12"/>
      <c r="R30" s="136">
        <f>+Q30+P30</f>
        <v>21792.55</v>
      </c>
      <c r="S30" s="157"/>
      <c r="T30" s="158"/>
      <c r="U30" s="30"/>
    </row>
    <row r="31" spans="1:21" ht="39.75" customHeight="1">
      <c r="A31" s="254" t="s">
        <v>222</v>
      </c>
      <c r="B31" s="8"/>
      <c r="C31" s="251" t="s">
        <v>223</v>
      </c>
      <c r="D31" s="252"/>
      <c r="E31" s="252"/>
      <c r="F31" s="252"/>
      <c r="G31" s="252"/>
      <c r="H31" s="252"/>
      <c r="I31" s="253"/>
      <c r="J31" s="12">
        <v>398872.65</v>
      </c>
      <c r="K31" s="12"/>
      <c r="L31" s="136">
        <f>+K31+J31</f>
        <v>398872.65</v>
      </c>
      <c r="M31" s="12">
        <v>398872.65</v>
      </c>
      <c r="N31" s="12"/>
      <c r="O31" s="136">
        <f>+N31+M31</f>
        <v>398872.65</v>
      </c>
      <c r="P31" s="12">
        <f>+M31*0.65</f>
        <v>259267.22250000003</v>
      </c>
      <c r="Q31" s="12"/>
      <c r="R31" s="136">
        <f>+Q31+P31</f>
        <v>259267.22250000003</v>
      </c>
      <c r="S31" s="157"/>
      <c r="T31" s="158"/>
      <c r="U31" s="30"/>
    </row>
    <row r="32" spans="1:21" ht="11.25">
      <c r="A32" s="73"/>
      <c r="B32" s="8"/>
      <c r="C32" s="9"/>
      <c r="D32" s="9"/>
      <c r="E32" s="9"/>
      <c r="F32" s="9"/>
      <c r="G32" s="10"/>
      <c r="H32" s="11"/>
      <c r="I32" s="11"/>
      <c r="J32" s="12"/>
      <c r="K32" s="12"/>
      <c r="L32" s="136"/>
      <c r="M32" s="12"/>
      <c r="N32" s="12"/>
      <c r="O32" s="136"/>
      <c r="P32" s="12"/>
      <c r="Q32" s="12"/>
      <c r="R32" s="136"/>
      <c r="S32" s="186"/>
      <c r="T32" s="186"/>
      <c r="U32" s="30"/>
    </row>
    <row r="33" ht="11.25">
      <c r="U33" s="30"/>
    </row>
    <row r="34" spans="1:21" ht="11.25">
      <c r="A34" s="74"/>
      <c r="B34" s="26"/>
      <c r="C34" s="26"/>
      <c r="D34" s="247" t="s">
        <v>7</v>
      </c>
      <c r="E34" s="247"/>
      <c r="F34" s="247"/>
      <c r="G34" s="247"/>
      <c r="H34" s="247"/>
      <c r="I34" s="247"/>
      <c r="J34" s="67"/>
      <c r="K34" s="67"/>
      <c r="L34" s="131"/>
      <c r="M34" s="28" t="s">
        <v>25</v>
      </c>
      <c r="N34" s="28"/>
      <c r="O34" s="147"/>
      <c r="P34" s="28" t="s">
        <v>21</v>
      </c>
      <c r="Q34" s="28"/>
      <c r="R34" s="147"/>
      <c r="S34" s="37" t="s">
        <v>23</v>
      </c>
      <c r="T34" s="38" t="s">
        <v>24</v>
      </c>
      <c r="U34" s="30"/>
    </row>
    <row r="35" spans="1:22" ht="11.25">
      <c r="A35" s="239"/>
      <c r="B35" s="240"/>
      <c r="C35" s="241"/>
      <c r="D35" s="242"/>
      <c r="E35" s="242"/>
      <c r="F35" s="242"/>
      <c r="G35" s="242"/>
      <c r="H35" s="242"/>
      <c r="I35" s="242"/>
      <c r="J35" s="242"/>
      <c r="K35" s="243"/>
      <c r="L35" s="138" t="s">
        <v>12</v>
      </c>
      <c r="M35" s="3">
        <v>447500</v>
      </c>
      <c r="N35" s="3">
        <f>M35*0.2</f>
        <v>89500</v>
      </c>
      <c r="O35" s="148">
        <f>+N35+M35</f>
        <v>537000</v>
      </c>
      <c r="P35" s="3">
        <f>M35*0.64</f>
        <v>286400</v>
      </c>
      <c r="Q35" s="3">
        <f>N35*0.64</f>
        <v>57280</v>
      </c>
      <c r="R35" s="148">
        <f>+Q35+P35</f>
        <v>343680</v>
      </c>
      <c r="S35" s="61"/>
      <c r="T35" s="61"/>
      <c r="U35" s="30"/>
      <c r="V35" s="30"/>
    </row>
    <row r="36" spans="1:22" ht="11.25">
      <c r="A36" s="235"/>
      <c r="B36" s="236"/>
      <c r="C36" s="54"/>
      <c r="D36" s="53"/>
      <c r="E36" s="53"/>
      <c r="F36" s="53"/>
      <c r="G36" s="53"/>
      <c r="H36" s="53"/>
      <c r="I36" s="53"/>
      <c r="J36" s="53"/>
      <c r="K36" s="4"/>
      <c r="L36" s="139" t="s">
        <v>27</v>
      </c>
      <c r="M36" s="4">
        <f>SUM(M41:M50)</f>
        <v>64860</v>
      </c>
      <c r="N36" s="4">
        <f>SUM(N41:N50)</f>
        <v>11880</v>
      </c>
      <c r="O36" s="149">
        <f>+N36+M36</f>
        <v>76740</v>
      </c>
      <c r="P36" s="4">
        <f>SUM(P41:P50)</f>
        <v>41510.399999999994</v>
      </c>
      <c r="Q36" s="4">
        <f>SUM(Q41:Q50)</f>
        <v>7603.200000000001</v>
      </c>
      <c r="R36" s="149">
        <f>+Q36+P36</f>
        <v>49113.59999999999</v>
      </c>
      <c r="S36" s="5">
        <f>R36*0.375</f>
        <v>18417.6</v>
      </c>
      <c r="T36" s="5">
        <f>R36-S36</f>
        <v>30695.999999999993</v>
      </c>
      <c r="U36" s="30"/>
      <c r="V36" s="30"/>
    </row>
    <row r="37" spans="1:22" ht="11.25">
      <c r="A37" s="235"/>
      <c r="B37" s="236"/>
      <c r="C37" s="54"/>
      <c r="D37" s="53"/>
      <c r="E37" s="53"/>
      <c r="F37" s="79"/>
      <c r="G37" s="80"/>
      <c r="H37" s="53"/>
      <c r="I37" s="53"/>
      <c r="J37" s="53"/>
      <c r="K37" s="55"/>
      <c r="L37" s="139" t="s">
        <v>28</v>
      </c>
      <c r="M37" s="4">
        <f>SUM(M51:M59)</f>
        <v>98520</v>
      </c>
      <c r="N37" s="4">
        <f>SUM(N51:N59)</f>
        <v>19704</v>
      </c>
      <c r="O37" s="149">
        <f>+N37+M37</f>
        <v>118224</v>
      </c>
      <c r="P37" s="4">
        <f>SUM(P51:P59)</f>
        <v>64038</v>
      </c>
      <c r="Q37" s="4">
        <f>SUM(Q51:Q59)</f>
        <v>12807.6</v>
      </c>
      <c r="R37" s="149">
        <f>+Q37+P37</f>
        <v>76845.6</v>
      </c>
      <c r="S37" s="5">
        <f>R37*0.375</f>
        <v>28817.100000000002</v>
      </c>
      <c r="T37" s="5">
        <f>R37-S37</f>
        <v>48028.5</v>
      </c>
      <c r="U37" s="30"/>
      <c r="V37" s="30"/>
    </row>
    <row r="38" spans="1:22" ht="11.25">
      <c r="A38" s="235"/>
      <c r="B38" s="236"/>
      <c r="C38" s="54"/>
      <c r="D38" s="53"/>
      <c r="E38" s="53"/>
      <c r="F38" s="53"/>
      <c r="G38" s="53"/>
      <c r="H38" s="53"/>
      <c r="I38" s="53"/>
      <c r="J38" s="53"/>
      <c r="K38" s="55"/>
      <c r="L38" s="139" t="s">
        <v>224</v>
      </c>
      <c r="M38" s="4">
        <f>+M60</f>
        <v>67199.92</v>
      </c>
      <c r="N38" s="4">
        <f>+N60</f>
        <v>13439.98</v>
      </c>
      <c r="O38" s="149">
        <f>+N38+M38</f>
        <v>80639.9</v>
      </c>
      <c r="P38" s="4">
        <f>+P60</f>
        <v>43679.948000000004</v>
      </c>
      <c r="Q38" s="4">
        <f>+Q60</f>
        <v>8735.987</v>
      </c>
      <c r="R38" s="149">
        <f>+Q38+P38</f>
        <v>52415.935000000005</v>
      </c>
      <c r="S38" s="5">
        <f>R38*0.375</f>
        <v>19655.975625000003</v>
      </c>
      <c r="T38" s="5">
        <f>R38-S38</f>
        <v>32759.959375000002</v>
      </c>
      <c r="U38" s="30"/>
      <c r="V38" s="30"/>
    </row>
    <row r="39" spans="1:22" ht="11.25">
      <c r="A39" s="237"/>
      <c r="B39" s="238"/>
      <c r="C39" s="244"/>
      <c r="D39" s="245"/>
      <c r="E39" s="245"/>
      <c r="F39" s="245"/>
      <c r="G39" s="245"/>
      <c r="H39" s="245"/>
      <c r="I39" s="245"/>
      <c r="J39" s="245"/>
      <c r="K39" s="246"/>
      <c r="L39" s="140" t="s">
        <v>13</v>
      </c>
      <c r="M39" s="6">
        <f>M35-M36-M37-M38</f>
        <v>216920.08000000002</v>
      </c>
      <c r="N39" s="6"/>
      <c r="O39" s="150"/>
      <c r="P39" s="6"/>
      <c r="Q39" s="6"/>
      <c r="R39" s="150"/>
      <c r="S39" s="40"/>
      <c r="T39" s="1"/>
      <c r="U39" s="30"/>
      <c r="V39" s="30"/>
    </row>
    <row r="40" spans="1:21" ht="22.5">
      <c r="A40" s="7" t="s">
        <v>14</v>
      </c>
      <c r="B40" s="7" t="s">
        <v>11</v>
      </c>
      <c r="C40" s="39" t="s">
        <v>22</v>
      </c>
      <c r="D40" s="39" t="s">
        <v>19</v>
      </c>
      <c r="E40" s="51" t="s">
        <v>2</v>
      </c>
      <c r="F40" s="39" t="s">
        <v>18</v>
      </c>
      <c r="G40" s="39" t="s">
        <v>17</v>
      </c>
      <c r="H40" s="51" t="s">
        <v>16</v>
      </c>
      <c r="I40" s="51" t="s">
        <v>15</v>
      </c>
      <c r="J40" s="39" t="s">
        <v>3</v>
      </c>
      <c r="K40" s="39" t="s">
        <v>4</v>
      </c>
      <c r="L40" s="135" t="s">
        <v>5</v>
      </c>
      <c r="M40" s="7" t="s">
        <v>20</v>
      </c>
      <c r="N40" s="7" t="s">
        <v>40</v>
      </c>
      <c r="O40" s="135" t="s">
        <v>41</v>
      </c>
      <c r="P40" s="7" t="s">
        <v>21</v>
      </c>
      <c r="Q40" s="7" t="s">
        <v>42</v>
      </c>
      <c r="R40" s="135" t="s">
        <v>43</v>
      </c>
      <c r="S40" s="179" t="s">
        <v>26</v>
      </c>
      <c r="T40" s="179"/>
      <c r="U40" s="30"/>
    </row>
    <row r="41" spans="1:20" ht="22.5">
      <c r="A41" s="72" t="s">
        <v>46</v>
      </c>
      <c r="B41" s="8"/>
      <c r="C41" s="97" t="s">
        <v>49</v>
      </c>
      <c r="D41" s="9" t="s">
        <v>72</v>
      </c>
      <c r="E41" s="9" t="s">
        <v>68</v>
      </c>
      <c r="F41" s="96" t="s">
        <v>76</v>
      </c>
      <c r="G41" s="10">
        <v>38568</v>
      </c>
      <c r="H41" s="11">
        <v>38569</v>
      </c>
      <c r="I41" s="98" t="s">
        <v>83</v>
      </c>
      <c r="J41" s="99">
        <v>7800</v>
      </c>
      <c r="K41" s="99">
        <f aca="true" t="shared" si="7" ref="K41:K47">J41*20%</f>
        <v>1560</v>
      </c>
      <c r="L41" s="136">
        <f>+K41+J41</f>
        <v>9360</v>
      </c>
      <c r="M41" s="34"/>
      <c r="N41" s="34">
        <v>0</v>
      </c>
      <c r="O41" s="136">
        <f aca="true" t="shared" si="8" ref="O41:O59">+N41+M41</f>
        <v>0</v>
      </c>
      <c r="P41" s="12">
        <f aca="true" t="shared" si="9" ref="P41:P50">+M41*0.64</f>
        <v>0</v>
      </c>
      <c r="Q41" s="12">
        <f>+N41*0.64</f>
        <v>0</v>
      </c>
      <c r="R41" s="136">
        <f>SUM(P41:Q41)</f>
        <v>0</v>
      </c>
      <c r="S41" s="232" t="s">
        <v>114</v>
      </c>
      <c r="T41" s="232"/>
    </row>
    <row r="42" spans="1:20" ht="22.5">
      <c r="A42" s="72" t="s">
        <v>46</v>
      </c>
      <c r="B42" s="8"/>
      <c r="C42" s="97" t="s">
        <v>49</v>
      </c>
      <c r="D42" s="9" t="s">
        <v>73</v>
      </c>
      <c r="E42" s="9" t="s">
        <v>68</v>
      </c>
      <c r="F42" s="96" t="s">
        <v>77</v>
      </c>
      <c r="G42" s="10">
        <v>38568</v>
      </c>
      <c r="H42" s="11">
        <v>38569</v>
      </c>
      <c r="I42" s="98" t="s">
        <v>83</v>
      </c>
      <c r="J42" s="99">
        <v>10500</v>
      </c>
      <c r="K42" s="99">
        <f t="shared" si="7"/>
        <v>2100</v>
      </c>
      <c r="L42" s="136">
        <f aca="true" t="shared" si="10" ref="L42:L47">+K42+J42</f>
        <v>12600</v>
      </c>
      <c r="M42" s="34">
        <v>0</v>
      </c>
      <c r="N42" s="34">
        <v>0</v>
      </c>
      <c r="O42" s="136">
        <f t="shared" si="8"/>
        <v>0</v>
      </c>
      <c r="P42" s="12">
        <f t="shared" si="9"/>
        <v>0</v>
      </c>
      <c r="Q42" s="12">
        <f aca="true" t="shared" si="11" ref="Q42:Q50">+N42*0.64</f>
        <v>0</v>
      </c>
      <c r="R42" s="136">
        <f aca="true" t="shared" si="12" ref="R42:R50">SUM(P42:Q42)</f>
        <v>0</v>
      </c>
      <c r="S42" s="232" t="s">
        <v>114</v>
      </c>
      <c r="T42" s="232"/>
    </row>
    <row r="43" spans="1:20" ht="22.5">
      <c r="A43" s="72" t="s">
        <v>46</v>
      </c>
      <c r="B43" s="8"/>
      <c r="C43" s="97" t="s">
        <v>49</v>
      </c>
      <c r="D43" s="9" t="s">
        <v>72</v>
      </c>
      <c r="E43" s="9" t="s">
        <v>69</v>
      </c>
      <c r="F43" s="96" t="s">
        <v>78</v>
      </c>
      <c r="G43" s="10">
        <v>38568</v>
      </c>
      <c r="H43" s="11">
        <v>38569</v>
      </c>
      <c r="I43" s="98" t="s">
        <v>83</v>
      </c>
      <c r="J43" s="99">
        <v>7800</v>
      </c>
      <c r="K43" s="99">
        <f t="shared" si="7"/>
        <v>1560</v>
      </c>
      <c r="L43" s="136">
        <f t="shared" si="10"/>
        <v>9360</v>
      </c>
      <c r="M43" s="34">
        <f>J43</f>
        <v>7800</v>
      </c>
      <c r="N43" s="34">
        <f>K43</f>
        <v>1560</v>
      </c>
      <c r="O43" s="136">
        <f t="shared" si="8"/>
        <v>9360</v>
      </c>
      <c r="P43" s="12">
        <f t="shared" si="9"/>
        <v>4992</v>
      </c>
      <c r="Q43" s="12">
        <f t="shared" si="11"/>
        <v>998.4</v>
      </c>
      <c r="R43" s="136">
        <f t="shared" si="12"/>
        <v>5990.4</v>
      </c>
      <c r="S43" s="180"/>
      <c r="T43" s="180"/>
    </row>
    <row r="44" spans="1:24" ht="22.5">
      <c r="A44" s="72" t="s">
        <v>46</v>
      </c>
      <c r="B44" s="8"/>
      <c r="C44" s="97" t="s">
        <v>49</v>
      </c>
      <c r="D44" s="100" t="s">
        <v>74</v>
      </c>
      <c r="E44" s="9" t="s">
        <v>69</v>
      </c>
      <c r="F44" s="101" t="s">
        <v>79</v>
      </c>
      <c r="G44" s="102">
        <v>38568</v>
      </c>
      <c r="H44" s="103">
        <v>38569</v>
      </c>
      <c r="I44" s="104" t="s">
        <v>83</v>
      </c>
      <c r="J44" s="105">
        <v>18900</v>
      </c>
      <c r="K44" s="105">
        <f t="shared" si="7"/>
        <v>3780</v>
      </c>
      <c r="L44" s="136">
        <f t="shared" si="10"/>
        <v>22680</v>
      </c>
      <c r="M44" s="34">
        <v>18900</v>
      </c>
      <c r="N44" s="34">
        <v>3780</v>
      </c>
      <c r="O44" s="136">
        <f t="shared" si="8"/>
        <v>22680</v>
      </c>
      <c r="P44" s="12">
        <f t="shared" si="9"/>
        <v>12096</v>
      </c>
      <c r="Q44" s="12">
        <f t="shared" si="11"/>
        <v>2419.2000000000003</v>
      </c>
      <c r="R44" s="136">
        <f t="shared" si="12"/>
        <v>14515.2</v>
      </c>
      <c r="S44" s="180"/>
      <c r="T44" s="180"/>
      <c r="X44" s="2">
        <f>W43/10080</f>
        <v>0</v>
      </c>
    </row>
    <row r="45" spans="1:20" ht="22.5">
      <c r="A45" s="72" t="s">
        <v>46</v>
      </c>
      <c r="B45" s="8"/>
      <c r="C45" s="97" t="s">
        <v>49</v>
      </c>
      <c r="D45" s="9" t="s">
        <v>72</v>
      </c>
      <c r="E45" s="9" t="s">
        <v>70</v>
      </c>
      <c r="F45" s="96" t="s">
        <v>80</v>
      </c>
      <c r="G45" s="10">
        <v>38565</v>
      </c>
      <c r="H45" s="11">
        <v>38569</v>
      </c>
      <c r="I45" s="98" t="s">
        <v>83</v>
      </c>
      <c r="J45" s="99">
        <v>7800</v>
      </c>
      <c r="K45" s="99">
        <f t="shared" si="7"/>
        <v>1560</v>
      </c>
      <c r="L45" s="136">
        <f t="shared" si="10"/>
        <v>9360</v>
      </c>
      <c r="M45" s="34">
        <f>J45</f>
        <v>7800</v>
      </c>
      <c r="N45" s="34">
        <f>K45</f>
        <v>1560</v>
      </c>
      <c r="O45" s="136">
        <f t="shared" si="8"/>
        <v>9360</v>
      </c>
      <c r="P45" s="12">
        <f t="shared" si="9"/>
        <v>4992</v>
      </c>
      <c r="Q45" s="12">
        <f t="shared" si="11"/>
        <v>998.4</v>
      </c>
      <c r="R45" s="136">
        <f t="shared" si="12"/>
        <v>5990.4</v>
      </c>
      <c r="S45" s="180"/>
      <c r="T45" s="180"/>
    </row>
    <row r="46" spans="1:20" ht="22.5">
      <c r="A46" s="72" t="s">
        <v>46</v>
      </c>
      <c r="B46" s="8"/>
      <c r="C46" s="97" t="s">
        <v>49</v>
      </c>
      <c r="D46" s="9" t="s">
        <v>75</v>
      </c>
      <c r="E46" s="9" t="s">
        <v>70</v>
      </c>
      <c r="F46" s="96" t="s">
        <v>81</v>
      </c>
      <c r="G46" s="10">
        <v>38565</v>
      </c>
      <c r="H46" s="11">
        <v>38569</v>
      </c>
      <c r="I46" s="98" t="s">
        <v>83</v>
      </c>
      <c r="J46" s="99">
        <v>18900</v>
      </c>
      <c r="K46" s="99">
        <f t="shared" si="7"/>
        <v>3780</v>
      </c>
      <c r="L46" s="136">
        <f t="shared" si="10"/>
        <v>22680</v>
      </c>
      <c r="M46" s="34">
        <v>18900</v>
      </c>
      <c r="N46" s="34">
        <v>3780</v>
      </c>
      <c r="O46" s="136">
        <f t="shared" si="8"/>
        <v>22680</v>
      </c>
      <c r="P46" s="12">
        <f t="shared" si="9"/>
        <v>12096</v>
      </c>
      <c r="Q46" s="12">
        <f t="shared" si="11"/>
        <v>2419.2000000000003</v>
      </c>
      <c r="R46" s="136">
        <f t="shared" si="12"/>
        <v>14515.2</v>
      </c>
      <c r="S46" s="180"/>
      <c r="T46" s="180"/>
    </row>
    <row r="47" spans="1:20" ht="22.5">
      <c r="A47" s="72" t="s">
        <v>46</v>
      </c>
      <c r="B47" s="8"/>
      <c r="C47" s="97" t="s">
        <v>49</v>
      </c>
      <c r="D47" s="9" t="s">
        <v>72</v>
      </c>
      <c r="E47" s="9" t="s">
        <v>71</v>
      </c>
      <c r="F47" s="96" t="s">
        <v>82</v>
      </c>
      <c r="G47" s="10">
        <v>38566</v>
      </c>
      <c r="H47" s="11">
        <v>38569</v>
      </c>
      <c r="I47" s="98" t="s">
        <v>83</v>
      </c>
      <c r="J47" s="99">
        <v>6000</v>
      </c>
      <c r="K47" s="99">
        <f t="shared" si="7"/>
        <v>1200</v>
      </c>
      <c r="L47" s="136">
        <f t="shared" si="10"/>
        <v>7200</v>
      </c>
      <c r="M47" s="34">
        <f>J47</f>
        <v>6000</v>
      </c>
      <c r="N47" s="34">
        <f>K47</f>
        <v>1200</v>
      </c>
      <c r="O47" s="136">
        <f t="shared" si="8"/>
        <v>7200</v>
      </c>
      <c r="P47" s="12">
        <f t="shared" si="9"/>
        <v>3840</v>
      </c>
      <c r="Q47" s="12">
        <f t="shared" si="11"/>
        <v>768</v>
      </c>
      <c r="R47" s="136">
        <f t="shared" si="12"/>
        <v>4608</v>
      </c>
      <c r="S47" s="232"/>
      <c r="T47" s="180"/>
    </row>
    <row r="48" spans="1:20" ht="100.5" customHeight="1">
      <c r="A48" s="72" t="s">
        <v>46</v>
      </c>
      <c r="B48" s="109"/>
      <c r="C48" s="97" t="s">
        <v>55</v>
      </c>
      <c r="D48" s="106" t="s">
        <v>84</v>
      </c>
      <c r="E48" s="8" t="s">
        <v>85</v>
      </c>
      <c r="F48" s="107" t="s">
        <v>87</v>
      </c>
      <c r="G48" s="98">
        <v>38632</v>
      </c>
      <c r="H48" s="98">
        <v>38637</v>
      </c>
      <c r="I48" s="98" t="s">
        <v>83</v>
      </c>
      <c r="J48" s="108">
        <v>800</v>
      </c>
      <c r="K48" s="108">
        <v>160</v>
      </c>
      <c r="L48" s="136">
        <f>+K48+J48</f>
        <v>960</v>
      </c>
      <c r="M48" s="34">
        <f>J48</f>
        <v>800</v>
      </c>
      <c r="N48" s="34"/>
      <c r="O48" s="136">
        <f t="shared" si="8"/>
        <v>800</v>
      </c>
      <c r="P48" s="12">
        <f t="shared" si="9"/>
        <v>512</v>
      </c>
      <c r="Q48" s="12">
        <f t="shared" si="11"/>
        <v>0</v>
      </c>
      <c r="R48" s="136">
        <f t="shared" si="12"/>
        <v>512</v>
      </c>
      <c r="S48" s="232" t="s">
        <v>108</v>
      </c>
      <c r="T48" s="232"/>
    </row>
    <row r="49" spans="1:20" ht="97.5" customHeight="1">
      <c r="A49" s="72" t="s">
        <v>46</v>
      </c>
      <c r="B49" s="109"/>
      <c r="C49" s="97" t="s">
        <v>55</v>
      </c>
      <c r="D49" s="14" t="s">
        <v>84</v>
      </c>
      <c r="E49" s="8" t="s">
        <v>85</v>
      </c>
      <c r="F49" s="107" t="s">
        <v>88</v>
      </c>
      <c r="G49" s="98">
        <v>38658</v>
      </c>
      <c r="H49" s="98">
        <v>38667</v>
      </c>
      <c r="I49" s="98" t="s">
        <v>83</v>
      </c>
      <c r="J49" s="108">
        <v>1480</v>
      </c>
      <c r="K49" s="108">
        <v>296</v>
      </c>
      <c r="L49" s="136">
        <f>+K49+J49</f>
        <v>1776</v>
      </c>
      <c r="M49" s="34">
        <f>J49</f>
        <v>1480</v>
      </c>
      <c r="N49" s="34"/>
      <c r="O49" s="136">
        <f t="shared" si="8"/>
        <v>1480</v>
      </c>
      <c r="P49" s="12">
        <f t="shared" si="9"/>
        <v>947.2</v>
      </c>
      <c r="Q49" s="12">
        <f t="shared" si="11"/>
        <v>0</v>
      </c>
      <c r="R49" s="136">
        <f t="shared" si="12"/>
        <v>947.2</v>
      </c>
      <c r="S49" s="232" t="s">
        <v>108</v>
      </c>
      <c r="T49" s="232"/>
    </row>
    <row r="50" spans="1:20" ht="111.75" customHeight="1">
      <c r="A50" s="72" t="s">
        <v>46</v>
      </c>
      <c r="B50" s="109"/>
      <c r="C50" s="97" t="s">
        <v>55</v>
      </c>
      <c r="D50" s="14" t="s">
        <v>84</v>
      </c>
      <c r="E50" s="8" t="s">
        <v>86</v>
      </c>
      <c r="F50" s="107" t="s">
        <v>79</v>
      </c>
      <c r="G50" s="98">
        <v>38656</v>
      </c>
      <c r="H50" s="98" t="s">
        <v>107</v>
      </c>
      <c r="I50" s="98" t="s">
        <v>89</v>
      </c>
      <c r="J50" s="108">
        <v>3180</v>
      </c>
      <c r="K50" s="108">
        <v>636</v>
      </c>
      <c r="L50" s="136">
        <f>+K50+J50</f>
        <v>3816</v>
      </c>
      <c r="M50" s="34">
        <f>J50</f>
        <v>3180</v>
      </c>
      <c r="N50" s="34"/>
      <c r="O50" s="136">
        <f t="shared" si="8"/>
        <v>3180</v>
      </c>
      <c r="P50" s="12">
        <f t="shared" si="9"/>
        <v>2035.2</v>
      </c>
      <c r="Q50" s="12">
        <f t="shared" si="11"/>
        <v>0</v>
      </c>
      <c r="R50" s="136">
        <f t="shared" si="12"/>
        <v>2035.2</v>
      </c>
      <c r="S50" s="232" t="s">
        <v>109</v>
      </c>
      <c r="T50" s="232"/>
    </row>
    <row r="51" spans="1:20" ht="12" customHeight="1">
      <c r="A51" s="72" t="s">
        <v>111</v>
      </c>
      <c r="B51" s="8"/>
      <c r="C51" s="97" t="s">
        <v>49</v>
      </c>
      <c r="D51" s="9" t="s">
        <v>72</v>
      </c>
      <c r="E51" s="9" t="s">
        <v>68</v>
      </c>
      <c r="F51" s="96" t="s">
        <v>76</v>
      </c>
      <c r="G51" s="10">
        <v>38568</v>
      </c>
      <c r="H51" s="11">
        <v>38569</v>
      </c>
      <c r="I51" s="98" t="s">
        <v>130</v>
      </c>
      <c r="J51" s="99">
        <v>7800</v>
      </c>
      <c r="K51" s="99">
        <f>J51*20%</f>
        <v>1560</v>
      </c>
      <c r="L51" s="136">
        <f>+K51+J51</f>
        <v>9360</v>
      </c>
      <c r="M51" s="34">
        <f>26*300</f>
        <v>7800</v>
      </c>
      <c r="N51" s="34">
        <f aca="true" t="shared" si="13" ref="N51:N57">+M51*0.2</f>
        <v>1560</v>
      </c>
      <c r="O51" s="136">
        <f t="shared" si="8"/>
        <v>9360</v>
      </c>
      <c r="P51" s="12">
        <f aca="true" t="shared" si="14" ref="P51:P59">+M51*0.65</f>
        <v>5070</v>
      </c>
      <c r="Q51" s="12">
        <f aca="true" t="shared" si="15" ref="Q51:Q59">+N51*0.65</f>
        <v>1014</v>
      </c>
      <c r="R51" s="136">
        <f>SUM(P51:Q51)</f>
        <v>6084</v>
      </c>
      <c r="S51" s="156"/>
      <c r="T51" s="156"/>
    </row>
    <row r="52" spans="1:20" ht="12" customHeight="1">
      <c r="A52" s="72" t="s">
        <v>111</v>
      </c>
      <c r="B52" s="8"/>
      <c r="C52" s="97" t="s">
        <v>49</v>
      </c>
      <c r="D52" s="9" t="s">
        <v>73</v>
      </c>
      <c r="E52" s="9" t="s">
        <v>68</v>
      </c>
      <c r="F52" s="96" t="s">
        <v>77</v>
      </c>
      <c r="G52" s="10">
        <v>38568</v>
      </c>
      <c r="H52" s="11">
        <v>38569</v>
      </c>
      <c r="I52" s="98" t="s">
        <v>130</v>
      </c>
      <c r="J52" s="99">
        <v>10500</v>
      </c>
      <c r="K52" s="99">
        <f>J52*20%</f>
        <v>2100</v>
      </c>
      <c r="L52" s="136">
        <f>+K52+J52</f>
        <v>12600</v>
      </c>
      <c r="M52" s="34">
        <f>300*35</f>
        <v>10500</v>
      </c>
      <c r="N52" s="34">
        <f t="shared" si="13"/>
        <v>2100</v>
      </c>
      <c r="O52" s="136">
        <f t="shared" si="8"/>
        <v>12600</v>
      </c>
      <c r="P52" s="12">
        <f t="shared" si="14"/>
        <v>6825</v>
      </c>
      <c r="Q52" s="12">
        <f t="shared" si="15"/>
        <v>1365</v>
      </c>
      <c r="R52" s="136">
        <f>SUM(P52:Q52)</f>
        <v>8190</v>
      </c>
      <c r="S52" s="156"/>
      <c r="T52" s="156"/>
    </row>
    <row r="53" spans="1:20" ht="12" customHeight="1">
      <c r="A53" s="72" t="s">
        <v>111</v>
      </c>
      <c r="B53" s="8"/>
      <c r="C53" s="97" t="s">
        <v>49</v>
      </c>
      <c r="D53" s="9" t="s">
        <v>73</v>
      </c>
      <c r="E53" s="9" t="s">
        <v>68</v>
      </c>
      <c r="F53" s="96" t="s">
        <v>122</v>
      </c>
      <c r="G53" s="10">
        <v>38693</v>
      </c>
      <c r="H53" s="11">
        <v>38695</v>
      </c>
      <c r="I53" s="98" t="s">
        <v>130</v>
      </c>
      <c r="J53" s="99">
        <v>5400</v>
      </c>
      <c r="K53" s="99">
        <f aca="true" t="shared" si="16" ref="K53:K60">J53*20%</f>
        <v>1080</v>
      </c>
      <c r="L53" s="160">
        <f aca="true" t="shared" si="17" ref="L53:L60">J53+K53</f>
        <v>6480</v>
      </c>
      <c r="M53" s="34">
        <f>300*18</f>
        <v>5400</v>
      </c>
      <c r="N53" s="34">
        <f t="shared" si="13"/>
        <v>1080</v>
      </c>
      <c r="O53" s="136">
        <f t="shared" si="8"/>
        <v>6480</v>
      </c>
      <c r="P53" s="12">
        <f t="shared" si="14"/>
        <v>3510</v>
      </c>
      <c r="Q53" s="12">
        <f t="shared" si="15"/>
        <v>702</v>
      </c>
      <c r="R53" s="136">
        <f aca="true" t="shared" si="18" ref="R53:R59">+Q53+P53</f>
        <v>4212</v>
      </c>
      <c r="S53" s="207" t="s">
        <v>180</v>
      </c>
      <c r="T53" s="208"/>
    </row>
    <row r="54" spans="1:20" ht="12" customHeight="1">
      <c r="A54" s="72" t="s">
        <v>111</v>
      </c>
      <c r="B54" s="8"/>
      <c r="C54" s="97" t="s">
        <v>49</v>
      </c>
      <c r="D54" s="9" t="s">
        <v>73</v>
      </c>
      <c r="E54" s="9" t="s">
        <v>68</v>
      </c>
      <c r="F54" s="96" t="s">
        <v>123</v>
      </c>
      <c r="G54" s="10">
        <v>38813</v>
      </c>
      <c r="H54" s="11">
        <v>38814</v>
      </c>
      <c r="I54" s="98" t="s">
        <v>130</v>
      </c>
      <c r="J54" s="105">
        <v>6000</v>
      </c>
      <c r="K54" s="105">
        <f t="shared" si="16"/>
        <v>1200</v>
      </c>
      <c r="L54" s="161">
        <f t="shared" si="17"/>
        <v>7200</v>
      </c>
      <c r="M54" s="34">
        <f>300*20</f>
        <v>6000</v>
      </c>
      <c r="N54" s="34">
        <f t="shared" si="13"/>
        <v>1200</v>
      </c>
      <c r="O54" s="136">
        <f t="shared" si="8"/>
        <v>7200</v>
      </c>
      <c r="P54" s="12">
        <f t="shared" si="14"/>
        <v>3900</v>
      </c>
      <c r="Q54" s="12">
        <f t="shared" si="15"/>
        <v>780</v>
      </c>
      <c r="R54" s="136">
        <f t="shared" si="18"/>
        <v>4680</v>
      </c>
      <c r="S54" s="207" t="s">
        <v>180</v>
      </c>
      <c r="T54" s="208"/>
    </row>
    <row r="55" spans="1:20" ht="12" customHeight="1">
      <c r="A55" s="72" t="s">
        <v>111</v>
      </c>
      <c r="B55" s="8"/>
      <c r="C55" s="97" t="s">
        <v>49</v>
      </c>
      <c r="D55" s="100" t="s">
        <v>74</v>
      </c>
      <c r="E55" s="9" t="s">
        <v>69</v>
      </c>
      <c r="F55" s="101" t="s">
        <v>124</v>
      </c>
      <c r="G55" s="102">
        <v>38813</v>
      </c>
      <c r="H55" s="103">
        <v>38814</v>
      </c>
      <c r="I55" s="98" t="s">
        <v>130</v>
      </c>
      <c r="J55" s="105">
        <v>19800</v>
      </c>
      <c r="K55" s="105">
        <f t="shared" si="16"/>
        <v>3960</v>
      </c>
      <c r="L55" s="161">
        <f t="shared" si="17"/>
        <v>23760</v>
      </c>
      <c r="M55" s="34">
        <f>66*300</f>
        <v>19800</v>
      </c>
      <c r="N55" s="34">
        <f t="shared" si="13"/>
        <v>3960</v>
      </c>
      <c r="O55" s="136">
        <f t="shared" si="8"/>
        <v>23760</v>
      </c>
      <c r="P55" s="12">
        <f t="shared" si="14"/>
        <v>12870</v>
      </c>
      <c r="Q55" s="12">
        <f t="shared" si="15"/>
        <v>2574</v>
      </c>
      <c r="R55" s="136">
        <f t="shared" si="18"/>
        <v>15444</v>
      </c>
      <c r="S55" s="207" t="s">
        <v>180</v>
      </c>
      <c r="T55" s="208"/>
    </row>
    <row r="56" spans="1:20" ht="12" customHeight="1">
      <c r="A56" s="72" t="s">
        <v>111</v>
      </c>
      <c r="B56" s="8"/>
      <c r="C56" s="97" t="s">
        <v>49</v>
      </c>
      <c r="D56" s="9" t="s">
        <v>121</v>
      </c>
      <c r="E56" s="9" t="s">
        <v>70</v>
      </c>
      <c r="F56" s="96" t="s">
        <v>125</v>
      </c>
      <c r="G56" s="10">
        <v>38693</v>
      </c>
      <c r="H56" s="11">
        <v>38695</v>
      </c>
      <c r="I56" s="98" t="s">
        <v>130</v>
      </c>
      <c r="J56" s="99">
        <v>9300</v>
      </c>
      <c r="K56" s="99">
        <f t="shared" si="16"/>
        <v>1860</v>
      </c>
      <c r="L56" s="160">
        <f t="shared" si="17"/>
        <v>11160</v>
      </c>
      <c r="M56" s="34">
        <f>31*300</f>
        <v>9300</v>
      </c>
      <c r="N56" s="34">
        <f t="shared" si="13"/>
        <v>1860</v>
      </c>
      <c r="O56" s="136">
        <f t="shared" si="8"/>
        <v>11160</v>
      </c>
      <c r="P56" s="12">
        <f t="shared" si="14"/>
        <v>6045</v>
      </c>
      <c r="Q56" s="12">
        <f t="shared" si="15"/>
        <v>1209</v>
      </c>
      <c r="R56" s="136">
        <f t="shared" si="18"/>
        <v>7254</v>
      </c>
      <c r="S56" s="156"/>
      <c r="T56" s="156"/>
    </row>
    <row r="57" spans="1:20" ht="12" customHeight="1">
      <c r="A57" s="72" t="s">
        <v>111</v>
      </c>
      <c r="B57" s="8"/>
      <c r="C57" s="97" t="s">
        <v>49</v>
      </c>
      <c r="D57" s="9" t="s">
        <v>121</v>
      </c>
      <c r="E57" s="9" t="s">
        <v>70</v>
      </c>
      <c r="F57" s="96" t="s">
        <v>126</v>
      </c>
      <c r="G57" s="10">
        <v>38810</v>
      </c>
      <c r="H57" s="11">
        <v>38812</v>
      </c>
      <c r="I57" s="98" t="s">
        <v>130</v>
      </c>
      <c r="J57" s="99">
        <v>10800</v>
      </c>
      <c r="K57" s="99">
        <f t="shared" si="16"/>
        <v>2160</v>
      </c>
      <c r="L57" s="160">
        <f t="shared" si="17"/>
        <v>12960</v>
      </c>
      <c r="M57" s="34">
        <f>36*300</f>
        <v>10800</v>
      </c>
      <c r="N57" s="34">
        <f t="shared" si="13"/>
        <v>2160</v>
      </c>
      <c r="O57" s="136">
        <f t="shared" si="8"/>
        <v>12960</v>
      </c>
      <c r="P57" s="12">
        <f t="shared" si="14"/>
        <v>7020</v>
      </c>
      <c r="Q57" s="12">
        <f t="shared" si="15"/>
        <v>1404</v>
      </c>
      <c r="R57" s="136">
        <f t="shared" si="18"/>
        <v>8424</v>
      </c>
      <c r="S57" s="207" t="s">
        <v>180</v>
      </c>
      <c r="T57" s="208"/>
    </row>
    <row r="58" spans="1:20" ht="12" customHeight="1">
      <c r="A58" s="72" t="s">
        <v>111</v>
      </c>
      <c r="B58" s="8"/>
      <c r="C58" s="97" t="s">
        <v>49</v>
      </c>
      <c r="D58" s="96" t="s">
        <v>120</v>
      </c>
      <c r="E58" s="9" t="s">
        <v>127</v>
      </c>
      <c r="F58" s="96" t="s">
        <v>128</v>
      </c>
      <c r="G58" s="10">
        <v>38693</v>
      </c>
      <c r="H58" s="11">
        <v>38695</v>
      </c>
      <c r="I58" s="98" t="s">
        <v>130</v>
      </c>
      <c r="J58" s="99">
        <v>13200</v>
      </c>
      <c r="K58" s="99">
        <f t="shared" si="16"/>
        <v>2640</v>
      </c>
      <c r="L58" s="160">
        <f t="shared" si="17"/>
        <v>15840</v>
      </c>
      <c r="M58" s="99">
        <v>13200</v>
      </c>
      <c r="N58" s="99">
        <f>M58*20%</f>
        <v>2640</v>
      </c>
      <c r="O58" s="136">
        <f t="shared" si="8"/>
        <v>15840</v>
      </c>
      <c r="P58" s="12">
        <f t="shared" si="14"/>
        <v>8580</v>
      </c>
      <c r="Q58" s="12">
        <f t="shared" si="15"/>
        <v>1716</v>
      </c>
      <c r="R58" s="136">
        <f t="shared" si="18"/>
        <v>10296</v>
      </c>
      <c r="S58" s="181" t="s">
        <v>181</v>
      </c>
      <c r="T58" s="182"/>
    </row>
    <row r="59" spans="1:20" ht="12" customHeight="1">
      <c r="A59" s="72" t="s">
        <v>111</v>
      </c>
      <c r="B59" s="8"/>
      <c r="C59" s="97" t="s">
        <v>49</v>
      </c>
      <c r="D59" s="96" t="s">
        <v>120</v>
      </c>
      <c r="E59" s="9" t="s">
        <v>127</v>
      </c>
      <c r="F59" s="96" t="s">
        <v>129</v>
      </c>
      <c r="G59" s="10">
        <v>38812</v>
      </c>
      <c r="H59" s="11">
        <v>38817</v>
      </c>
      <c r="I59" s="98" t="s">
        <v>130</v>
      </c>
      <c r="J59" s="99">
        <v>15720</v>
      </c>
      <c r="K59" s="99">
        <f t="shared" si="16"/>
        <v>3144</v>
      </c>
      <c r="L59" s="160">
        <f t="shared" si="17"/>
        <v>18864</v>
      </c>
      <c r="M59" s="99">
        <v>15720</v>
      </c>
      <c r="N59" s="99">
        <f>M59*20%</f>
        <v>3144</v>
      </c>
      <c r="O59" s="136">
        <f t="shared" si="8"/>
        <v>18864</v>
      </c>
      <c r="P59" s="12">
        <f t="shared" si="14"/>
        <v>10218</v>
      </c>
      <c r="Q59" s="12">
        <f t="shared" si="15"/>
        <v>2043.6000000000001</v>
      </c>
      <c r="R59" s="136">
        <f t="shared" si="18"/>
        <v>12261.6</v>
      </c>
      <c r="S59" s="181" t="s">
        <v>181</v>
      </c>
      <c r="T59" s="182"/>
    </row>
    <row r="60" spans="1:20" ht="20.25" customHeight="1">
      <c r="A60" s="254" t="s">
        <v>222</v>
      </c>
      <c r="B60" s="8"/>
      <c r="C60" s="251" t="s">
        <v>223</v>
      </c>
      <c r="D60" s="252"/>
      <c r="E60" s="252"/>
      <c r="F60" s="252"/>
      <c r="G60" s="252"/>
      <c r="H60" s="252"/>
      <c r="I60" s="253"/>
      <c r="J60" s="99">
        <v>67199.92</v>
      </c>
      <c r="K60" s="99">
        <v>13439.98</v>
      </c>
      <c r="L60" s="136">
        <f t="shared" si="17"/>
        <v>80639.9</v>
      </c>
      <c r="M60" s="99">
        <v>67199.92</v>
      </c>
      <c r="N60" s="99">
        <v>13439.98</v>
      </c>
      <c r="O60" s="136">
        <f>+N60+M60</f>
        <v>80639.9</v>
      </c>
      <c r="P60" s="12">
        <f>+M60*0.65</f>
        <v>43679.948000000004</v>
      </c>
      <c r="Q60" s="12">
        <f>+N60*0.65</f>
        <v>8735.987</v>
      </c>
      <c r="R60" s="136">
        <f>+Q60+P60</f>
        <v>52415.935000000005</v>
      </c>
      <c r="S60" s="156"/>
      <c r="T60" s="156"/>
    </row>
    <row r="61" spans="1:20" ht="12" customHeight="1">
      <c r="A61" s="72"/>
      <c r="B61" s="8"/>
      <c r="C61" s="97"/>
      <c r="D61" s="9"/>
      <c r="E61" s="9"/>
      <c r="F61" s="96"/>
      <c r="G61" s="10"/>
      <c r="H61" s="11"/>
      <c r="I61" s="98"/>
      <c r="J61" s="99"/>
      <c r="K61" s="99"/>
      <c r="L61" s="136"/>
      <c r="M61" s="34"/>
      <c r="N61" s="34"/>
      <c r="O61" s="136"/>
      <c r="P61" s="12"/>
      <c r="Q61" s="12"/>
      <c r="R61" s="136"/>
      <c r="S61" s="156"/>
      <c r="T61" s="156"/>
    </row>
    <row r="62" spans="1:20" ht="12" customHeight="1">
      <c r="A62" s="72"/>
      <c r="B62" s="8"/>
      <c r="C62" s="9"/>
      <c r="D62" s="14"/>
      <c r="E62" s="14"/>
      <c r="F62" s="14"/>
      <c r="G62" s="10"/>
      <c r="H62" s="15"/>
      <c r="I62" s="15"/>
      <c r="J62" s="12"/>
      <c r="K62" s="12"/>
      <c r="L62" s="136"/>
      <c r="M62" s="34"/>
      <c r="N62" s="34"/>
      <c r="O62" s="136"/>
      <c r="P62" s="12">
        <f aca="true" t="shared" si="19" ref="P62:Q64">+M62*0.65</f>
        <v>0</v>
      </c>
      <c r="Q62" s="12">
        <f t="shared" si="19"/>
        <v>0</v>
      </c>
      <c r="R62" s="136">
        <f>SUM(P62:Q62)</f>
        <v>0</v>
      </c>
      <c r="S62" s="156"/>
      <c r="T62" s="156"/>
    </row>
    <row r="63" spans="1:20" ht="12" customHeight="1">
      <c r="A63" s="72"/>
      <c r="B63" s="8"/>
      <c r="C63" s="9"/>
      <c r="D63" s="14"/>
      <c r="E63" s="14"/>
      <c r="F63" s="14"/>
      <c r="G63" s="10"/>
      <c r="H63" s="15"/>
      <c r="I63" s="15"/>
      <c r="J63" s="12"/>
      <c r="K63" s="12"/>
      <c r="L63" s="136"/>
      <c r="M63" s="34">
        <f>+J63</f>
        <v>0</v>
      </c>
      <c r="N63" s="34"/>
      <c r="O63" s="136">
        <f>+N63+M63</f>
        <v>0</v>
      </c>
      <c r="P63" s="12">
        <f t="shared" si="19"/>
        <v>0</v>
      </c>
      <c r="Q63" s="12">
        <f t="shared" si="19"/>
        <v>0</v>
      </c>
      <c r="R63" s="136">
        <f>SUM(P63:Q63)</f>
        <v>0</v>
      </c>
      <c r="S63" s="232"/>
      <c r="T63" s="232"/>
    </row>
    <row r="64" spans="1:20" ht="12" customHeight="1">
      <c r="A64" s="72"/>
      <c r="B64" s="8"/>
      <c r="C64" s="9"/>
      <c r="D64" s="14"/>
      <c r="E64" s="14"/>
      <c r="F64" s="14"/>
      <c r="G64" s="10"/>
      <c r="H64" s="15"/>
      <c r="I64" s="15"/>
      <c r="J64" s="12"/>
      <c r="K64" s="12"/>
      <c r="L64" s="136"/>
      <c r="M64" s="34">
        <f>+J64</f>
        <v>0</v>
      </c>
      <c r="N64" s="34"/>
      <c r="O64" s="136">
        <f>+N64+M64</f>
        <v>0</v>
      </c>
      <c r="P64" s="12">
        <f t="shared" si="19"/>
        <v>0</v>
      </c>
      <c r="Q64" s="12">
        <f t="shared" si="19"/>
        <v>0</v>
      </c>
      <c r="R64" s="136">
        <f>SUM(P64:Q64)</f>
        <v>0</v>
      </c>
      <c r="S64" s="232"/>
      <c r="T64" s="232"/>
    </row>
    <row r="65" ht="11.25">
      <c r="U65" s="30"/>
    </row>
    <row r="66" spans="1:21" ht="11.25">
      <c r="A66" s="46"/>
      <c r="B66" s="77"/>
      <c r="C66" s="47"/>
      <c r="D66" s="247" t="s">
        <v>1</v>
      </c>
      <c r="E66" s="247"/>
      <c r="F66" s="247"/>
      <c r="G66" s="247"/>
      <c r="H66" s="247"/>
      <c r="I66" s="247"/>
      <c r="J66" s="48"/>
      <c r="K66" s="48"/>
      <c r="L66" s="131"/>
      <c r="M66" s="28" t="s">
        <v>25</v>
      </c>
      <c r="N66" s="28"/>
      <c r="O66" s="147"/>
      <c r="P66" s="28" t="s">
        <v>21</v>
      </c>
      <c r="Q66" s="28"/>
      <c r="R66" s="147"/>
      <c r="S66" s="37" t="s">
        <v>23</v>
      </c>
      <c r="T66" s="38" t="s">
        <v>24</v>
      </c>
      <c r="U66" s="30"/>
    </row>
    <row r="67" spans="1:22" ht="11.25">
      <c r="A67" s="235"/>
      <c r="B67" s="236"/>
      <c r="C67" s="248"/>
      <c r="D67" s="249"/>
      <c r="E67" s="249"/>
      <c r="F67" s="249"/>
      <c r="G67" s="249"/>
      <c r="H67" s="249"/>
      <c r="I67" s="249"/>
      <c r="J67" s="249"/>
      <c r="K67" s="250"/>
      <c r="L67" s="132" t="s">
        <v>12</v>
      </c>
      <c r="M67" s="3">
        <v>23310</v>
      </c>
      <c r="N67" s="3">
        <f>M67*0.2</f>
        <v>4662</v>
      </c>
      <c r="O67" s="148">
        <f>+N67+M67</f>
        <v>27972</v>
      </c>
      <c r="P67" s="3">
        <f>M67*0.64</f>
        <v>14918.4</v>
      </c>
      <c r="Q67" s="3">
        <f>N67*0.64</f>
        <v>2983.68</v>
      </c>
      <c r="R67" s="148">
        <f>+Q67+P67</f>
        <v>17902.079999999998</v>
      </c>
      <c r="S67" s="61"/>
      <c r="T67" s="61"/>
      <c r="U67" s="30"/>
      <c r="V67" s="30"/>
    </row>
    <row r="68" spans="1:22" ht="11.25">
      <c r="A68" s="235"/>
      <c r="B68" s="236"/>
      <c r="C68" s="54"/>
      <c r="D68" s="53"/>
      <c r="E68" s="53"/>
      <c r="F68" s="53"/>
      <c r="G68" s="53"/>
      <c r="H68" s="53"/>
      <c r="I68" s="53"/>
      <c r="J68" s="53"/>
      <c r="K68" s="4">
        <f>SUM(Q73:Q74)</f>
        <v>0</v>
      </c>
      <c r="L68" s="133" t="s">
        <v>27</v>
      </c>
      <c r="M68" s="13">
        <f>SUM(M73:M74)</f>
        <v>0</v>
      </c>
      <c r="N68" s="13"/>
      <c r="O68" s="151"/>
      <c r="P68" s="13">
        <f>SUM(P73:P74)</f>
        <v>0</v>
      </c>
      <c r="Q68" s="93"/>
      <c r="R68" s="154"/>
      <c r="S68" s="5">
        <f>R68*0.375</f>
        <v>0</v>
      </c>
      <c r="T68" s="5">
        <f>R68-S68</f>
        <v>0</v>
      </c>
      <c r="U68" s="30"/>
      <c r="V68" s="30"/>
    </row>
    <row r="69" spans="1:22" ht="11.25">
      <c r="A69" s="235"/>
      <c r="B69" s="236"/>
      <c r="C69" s="54"/>
      <c r="D69" s="53"/>
      <c r="E69" s="53"/>
      <c r="F69" s="53"/>
      <c r="G69" s="53"/>
      <c r="H69" s="53"/>
      <c r="I69" s="53"/>
      <c r="J69" s="53"/>
      <c r="K69" s="55"/>
      <c r="L69" s="139" t="s">
        <v>28</v>
      </c>
      <c r="M69" s="4">
        <v>0</v>
      </c>
      <c r="N69" s="4"/>
      <c r="O69" s="149"/>
      <c r="P69" s="4">
        <v>0</v>
      </c>
      <c r="Q69" s="92"/>
      <c r="R69" s="153"/>
      <c r="S69" s="62">
        <f>P69*0.375</f>
        <v>0</v>
      </c>
      <c r="T69" s="5">
        <f>P69-S69</f>
        <v>0</v>
      </c>
      <c r="U69" s="30"/>
      <c r="V69" s="30"/>
    </row>
    <row r="70" spans="1:22" ht="11.25">
      <c r="A70" s="235"/>
      <c r="B70" s="236"/>
      <c r="C70" s="54"/>
      <c r="D70" s="53"/>
      <c r="E70" s="53"/>
      <c r="F70" s="53"/>
      <c r="G70" s="53"/>
      <c r="H70" s="53"/>
      <c r="I70" s="53"/>
      <c r="J70" s="53"/>
      <c r="K70" s="55"/>
      <c r="L70" s="139" t="s">
        <v>224</v>
      </c>
      <c r="M70" s="4"/>
      <c r="N70" s="4"/>
      <c r="O70" s="149"/>
      <c r="P70" s="4"/>
      <c r="Q70" s="92"/>
      <c r="R70" s="153"/>
      <c r="S70" s="255"/>
      <c r="T70" s="255"/>
      <c r="U70" s="30"/>
      <c r="V70" s="30"/>
    </row>
    <row r="71" spans="1:22" ht="11.25">
      <c r="A71" s="237"/>
      <c r="B71" s="238"/>
      <c r="C71" s="244"/>
      <c r="D71" s="245"/>
      <c r="E71" s="245"/>
      <c r="F71" s="245"/>
      <c r="G71" s="245"/>
      <c r="H71" s="245"/>
      <c r="I71" s="245"/>
      <c r="J71" s="245"/>
      <c r="K71" s="246"/>
      <c r="L71" s="134" t="s">
        <v>13</v>
      </c>
      <c r="M71" s="6">
        <f aca="true" t="shared" si="20" ref="M71:R71">M67-M68-M69</f>
        <v>23310</v>
      </c>
      <c r="N71" s="6">
        <f t="shared" si="20"/>
        <v>4662</v>
      </c>
      <c r="O71" s="150">
        <f t="shared" si="20"/>
        <v>27972</v>
      </c>
      <c r="P71" s="6">
        <f t="shared" si="20"/>
        <v>14918.4</v>
      </c>
      <c r="Q71" s="6">
        <f t="shared" si="20"/>
        <v>2983.68</v>
      </c>
      <c r="R71" s="150">
        <f t="shared" si="20"/>
        <v>17902.079999999998</v>
      </c>
      <c r="S71" s="63"/>
      <c r="T71" s="1"/>
      <c r="U71" s="30"/>
      <c r="V71" s="30"/>
    </row>
    <row r="72" spans="1:21" ht="22.5">
      <c r="A72" s="7" t="s">
        <v>14</v>
      </c>
      <c r="B72" s="7" t="s">
        <v>11</v>
      </c>
      <c r="C72" s="39" t="s">
        <v>22</v>
      </c>
      <c r="D72" s="39" t="s">
        <v>19</v>
      </c>
      <c r="E72" s="51" t="s">
        <v>2</v>
      </c>
      <c r="F72" s="39" t="s">
        <v>18</v>
      </c>
      <c r="G72" s="39" t="s">
        <v>17</v>
      </c>
      <c r="H72" s="51" t="s">
        <v>16</v>
      </c>
      <c r="I72" s="51" t="s">
        <v>15</v>
      </c>
      <c r="J72" s="39" t="s">
        <v>3</v>
      </c>
      <c r="K72" s="39" t="s">
        <v>4</v>
      </c>
      <c r="L72" s="135" t="s">
        <v>5</v>
      </c>
      <c r="M72" s="7" t="s">
        <v>20</v>
      </c>
      <c r="N72" s="7" t="s">
        <v>40</v>
      </c>
      <c r="O72" s="135" t="s">
        <v>41</v>
      </c>
      <c r="P72" s="7" t="s">
        <v>21</v>
      </c>
      <c r="Q72" s="7" t="s">
        <v>42</v>
      </c>
      <c r="R72" s="135" t="s">
        <v>43</v>
      </c>
      <c r="S72" s="179" t="s">
        <v>26</v>
      </c>
      <c r="T72" s="179"/>
      <c r="U72" s="30"/>
    </row>
    <row r="73" spans="1:20" ht="14.25" customHeight="1">
      <c r="A73" s="72"/>
      <c r="B73" s="8"/>
      <c r="C73" s="9"/>
      <c r="D73" s="14"/>
      <c r="E73" s="14"/>
      <c r="F73" s="9"/>
      <c r="G73" s="10"/>
      <c r="H73" s="11"/>
      <c r="I73" s="11"/>
      <c r="J73" s="12"/>
      <c r="K73" s="12">
        <f>+J73*0.2</f>
        <v>0</v>
      </c>
      <c r="L73" s="136">
        <f>SUM(J73:K73)</f>
        <v>0</v>
      </c>
      <c r="M73" s="12">
        <f>+L73</f>
        <v>0</v>
      </c>
      <c r="N73" s="12"/>
      <c r="O73" s="136"/>
      <c r="P73" s="12">
        <f>M73*0.65</f>
        <v>0</v>
      </c>
      <c r="Q73" s="12"/>
      <c r="R73" s="136"/>
      <c r="S73" s="232"/>
      <c r="T73" s="232"/>
    </row>
    <row r="74" spans="1:21" ht="11.25">
      <c r="A74" s="75"/>
      <c r="B74" s="8"/>
      <c r="C74" s="9"/>
      <c r="D74" s="9"/>
      <c r="E74" s="9"/>
      <c r="F74" s="9"/>
      <c r="G74" s="10"/>
      <c r="H74" s="11"/>
      <c r="I74" s="11"/>
      <c r="J74" s="12"/>
      <c r="K74" s="12"/>
      <c r="L74" s="136"/>
      <c r="M74" s="12"/>
      <c r="N74" s="12"/>
      <c r="O74" s="136"/>
      <c r="P74" s="12"/>
      <c r="Q74" s="12"/>
      <c r="R74" s="136"/>
      <c r="S74" s="232"/>
      <c r="T74" s="232"/>
      <c r="U74" s="30"/>
    </row>
    <row r="75" ht="11.25">
      <c r="U75" s="30"/>
    </row>
    <row r="76" spans="1:21" ht="11.25">
      <c r="A76" s="46"/>
      <c r="B76" s="77"/>
      <c r="C76" s="47"/>
      <c r="D76" s="247" t="s">
        <v>8</v>
      </c>
      <c r="E76" s="247"/>
      <c r="F76" s="247"/>
      <c r="G76" s="247"/>
      <c r="H76" s="247"/>
      <c r="I76" s="247"/>
      <c r="J76" s="48"/>
      <c r="K76" s="48"/>
      <c r="L76" s="141"/>
      <c r="M76" s="27" t="s">
        <v>25</v>
      </c>
      <c r="N76" s="28"/>
      <c r="O76" s="147"/>
      <c r="P76" s="28" t="s">
        <v>21</v>
      </c>
      <c r="Q76" s="28"/>
      <c r="R76" s="147"/>
      <c r="S76" s="37" t="s">
        <v>23</v>
      </c>
      <c r="T76" s="38" t="s">
        <v>24</v>
      </c>
      <c r="U76" s="30"/>
    </row>
    <row r="77" spans="1:22" ht="11.25">
      <c r="A77" s="235"/>
      <c r="B77" s="236"/>
      <c r="C77" s="248"/>
      <c r="D77" s="249"/>
      <c r="E77" s="249"/>
      <c r="F77" s="249"/>
      <c r="G77" s="249"/>
      <c r="H77" s="249"/>
      <c r="I77" s="249"/>
      <c r="J77" s="249"/>
      <c r="K77" s="250"/>
      <c r="L77" s="142" t="s">
        <v>12</v>
      </c>
      <c r="M77" s="3">
        <v>127050</v>
      </c>
      <c r="N77" s="3">
        <f>M77*0.2</f>
        <v>25410</v>
      </c>
      <c r="O77" s="148">
        <f>+N77+M77</f>
        <v>152460</v>
      </c>
      <c r="P77" s="3">
        <f>M77*0.64</f>
        <v>81312</v>
      </c>
      <c r="Q77" s="3">
        <f>N77*0.64</f>
        <v>16262.4</v>
      </c>
      <c r="R77" s="148">
        <f>+Q77+P77</f>
        <v>97574.4</v>
      </c>
      <c r="S77" s="61"/>
      <c r="T77" s="61"/>
      <c r="U77" s="30"/>
      <c r="V77" s="30"/>
    </row>
    <row r="78" spans="1:22" ht="11.25">
      <c r="A78" s="235"/>
      <c r="B78" s="236"/>
      <c r="C78" s="54"/>
      <c r="D78" s="53"/>
      <c r="E78" s="53"/>
      <c r="F78" s="53"/>
      <c r="G78" s="53"/>
      <c r="H78" s="53"/>
      <c r="I78" s="53"/>
      <c r="J78" s="53"/>
      <c r="K78" s="4">
        <f>SUM(Q83:Q84)</f>
        <v>0</v>
      </c>
      <c r="L78" s="133" t="s">
        <v>27</v>
      </c>
      <c r="M78" s="4">
        <f>SUM(M83:M84)</f>
        <v>1480</v>
      </c>
      <c r="N78" s="4">
        <f>SUM(N83:N84)</f>
        <v>0</v>
      </c>
      <c r="O78" s="149">
        <f>+N78+M78</f>
        <v>1480</v>
      </c>
      <c r="P78" s="4">
        <f>SUM(P83)</f>
        <v>947.2</v>
      </c>
      <c r="Q78" s="4">
        <f>SUM(Q83:Q84)</f>
        <v>0</v>
      </c>
      <c r="R78" s="149">
        <f>+Q78+P78</f>
        <v>947.2</v>
      </c>
      <c r="S78" s="5">
        <f>R78*0.375</f>
        <v>355.20000000000005</v>
      </c>
      <c r="T78" s="5">
        <f>R78-S78</f>
        <v>592</v>
      </c>
      <c r="U78" s="30"/>
      <c r="V78" s="30"/>
    </row>
    <row r="79" spans="1:22" ht="11.25">
      <c r="A79" s="235"/>
      <c r="B79" s="236"/>
      <c r="C79" s="54"/>
      <c r="D79" s="53"/>
      <c r="E79" s="53"/>
      <c r="F79" s="53"/>
      <c r="G79" s="53"/>
      <c r="H79" s="53"/>
      <c r="I79" s="53"/>
      <c r="J79" s="53"/>
      <c r="K79" s="55"/>
      <c r="L79" s="139" t="s">
        <v>28</v>
      </c>
      <c r="M79" s="4"/>
      <c r="N79" s="4"/>
      <c r="O79" s="149"/>
      <c r="P79" s="4"/>
      <c r="Q79" s="4"/>
      <c r="R79" s="149"/>
      <c r="S79" s="5">
        <f>R79*0.375</f>
        <v>0</v>
      </c>
      <c r="T79" s="5">
        <f>R79-S79</f>
        <v>0</v>
      </c>
      <c r="U79" s="30"/>
      <c r="V79" s="30"/>
    </row>
    <row r="80" spans="1:22" ht="11.25">
      <c r="A80" s="235"/>
      <c r="B80" s="236"/>
      <c r="C80" s="54"/>
      <c r="D80" s="53"/>
      <c r="E80" s="53"/>
      <c r="F80" s="53"/>
      <c r="G80" s="53"/>
      <c r="H80" s="53"/>
      <c r="I80" s="53"/>
      <c r="J80" s="53"/>
      <c r="K80" s="55"/>
      <c r="L80" s="139" t="s">
        <v>224</v>
      </c>
      <c r="M80" s="4"/>
      <c r="N80" s="4"/>
      <c r="O80" s="149"/>
      <c r="P80" s="4"/>
      <c r="Q80" s="4"/>
      <c r="R80" s="149"/>
      <c r="S80" s="255"/>
      <c r="T80" s="255"/>
      <c r="U80" s="30"/>
      <c r="V80" s="30"/>
    </row>
    <row r="81" spans="1:22" ht="11.25">
      <c r="A81" s="237"/>
      <c r="B81" s="238"/>
      <c r="C81" s="244"/>
      <c r="D81" s="245"/>
      <c r="E81" s="245"/>
      <c r="F81" s="245"/>
      <c r="G81" s="245"/>
      <c r="H81" s="245"/>
      <c r="I81" s="245"/>
      <c r="J81" s="245"/>
      <c r="K81" s="246"/>
      <c r="L81" s="134" t="s">
        <v>13</v>
      </c>
      <c r="M81" s="6">
        <f aca="true" t="shared" si="21" ref="M81:R81">M77-M78-M79</f>
        <v>125570</v>
      </c>
      <c r="N81" s="6">
        <f t="shared" si="21"/>
        <v>25410</v>
      </c>
      <c r="O81" s="150">
        <f t="shared" si="21"/>
        <v>150980</v>
      </c>
      <c r="P81" s="6">
        <f t="shared" si="21"/>
        <v>80364.8</v>
      </c>
      <c r="Q81" s="6">
        <f t="shared" si="21"/>
        <v>16262.4</v>
      </c>
      <c r="R81" s="150">
        <f t="shared" si="21"/>
        <v>96627.2</v>
      </c>
      <c r="S81" s="1"/>
      <c r="T81" s="1"/>
      <c r="U81" s="30"/>
      <c r="V81" s="30"/>
    </row>
    <row r="82" spans="1:21" ht="22.5">
      <c r="A82" s="7" t="s">
        <v>14</v>
      </c>
      <c r="B82" s="7" t="s">
        <v>11</v>
      </c>
      <c r="C82" s="39" t="s">
        <v>22</v>
      </c>
      <c r="D82" s="39" t="s">
        <v>19</v>
      </c>
      <c r="E82" s="51" t="s">
        <v>2</v>
      </c>
      <c r="F82" s="39" t="s">
        <v>18</v>
      </c>
      <c r="G82" s="39" t="s">
        <v>17</v>
      </c>
      <c r="H82" s="51" t="s">
        <v>16</v>
      </c>
      <c r="I82" s="51" t="s">
        <v>15</v>
      </c>
      <c r="J82" s="39" t="s">
        <v>3</v>
      </c>
      <c r="K82" s="39" t="s">
        <v>4</v>
      </c>
      <c r="L82" s="135" t="s">
        <v>5</v>
      </c>
      <c r="M82" s="7" t="s">
        <v>20</v>
      </c>
      <c r="N82" s="7" t="s">
        <v>40</v>
      </c>
      <c r="O82" s="135" t="s">
        <v>41</v>
      </c>
      <c r="P82" s="7" t="s">
        <v>21</v>
      </c>
      <c r="Q82" s="7" t="s">
        <v>42</v>
      </c>
      <c r="R82" s="135" t="s">
        <v>43</v>
      </c>
      <c r="S82" s="179" t="s">
        <v>26</v>
      </c>
      <c r="T82" s="179"/>
      <c r="U82" s="30"/>
    </row>
    <row r="83" spans="1:21" ht="33.75">
      <c r="A83" s="72" t="s">
        <v>46</v>
      </c>
      <c r="B83" s="8"/>
      <c r="C83" s="110" t="s">
        <v>55</v>
      </c>
      <c r="D83" s="111" t="s">
        <v>90</v>
      </c>
      <c r="E83" s="112" t="s">
        <v>91</v>
      </c>
      <c r="F83" s="113" t="s">
        <v>92</v>
      </c>
      <c r="G83" s="114">
        <v>38660</v>
      </c>
      <c r="H83" s="114">
        <v>38668</v>
      </c>
      <c r="I83" s="115" t="s">
        <v>93</v>
      </c>
      <c r="J83" s="116">
        <v>1480</v>
      </c>
      <c r="K83" s="116">
        <f>J83*0.2</f>
        <v>296</v>
      </c>
      <c r="L83" s="143">
        <f>J83+K83</f>
        <v>1776</v>
      </c>
      <c r="M83" s="12">
        <v>1480</v>
      </c>
      <c r="N83" s="12"/>
      <c r="O83" s="136">
        <f>+N83+M83</f>
        <v>1480</v>
      </c>
      <c r="P83" s="12">
        <f>+O83*0.64</f>
        <v>947.2</v>
      </c>
      <c r="Q83" s="12">
        <f>+N83*0.64</f>
        <v>0</v>
      </c>
      <c r="R83" s="136">
        <f>+Q83+P83</f>
        <v>947.2</v>
      </c>
      <c r="S83" s="180"/>
      <c r="T83" s="180"/>
      <c r="U83" s="30"/>
    </row>
    <row r="84" spans="1:21" ht="11.25">
      <c r="A84" s="75"/>
      <c r="B84" s="8"/>
      <c r="C84" s="9"/>
      <c r="D84" s="9"/>
      <c r="E84" s="9"/>
      <c r="F84" s="9"/>
      <c r="G84" s="10"/>
      <c r="H84" s="11"/>
      <c r="I84" s="11"/>
      <c r="J84" s="12"/>
      <c r="K84" s="12"/>
      <c r="L84" s="136"/>
      <c r="M84" s="12"/>
      <c r="N84" s="12"/>
      <c r="O84" s="136"/>
      <c r="P84" s="12"/>
      <c r="Q84" s="12"/>
      <c r="R84" s="136"/>
      <c r="S84" s="232"/>
      <c r="T84" s="232"/>
      <c r="U84" s="30"/>
    </row>
    <row r="85" ht="11.25">
      <c r="U85" s="30"/>
    </row>
    <row r="86" spans="1:21" ht="11.25">
      <c r="A86" s="46"/>
      <c r="B86" s="77"/>
      <c r="C86" s="49"/>
      <c r="D86" s="247" t="s">
        <v>45</v>
      </c>
      <c r="E86" s="247"/>
      <c r="F86" s="247"/>
      <c r="G86" s="247"/>
      <c r="H86" s="247"/>
      <c r="I86" s="247"/>
      <c r="J86" s="50"/>
      <c r="K86" s="50"/>
      <c r="L86" s="131"/>
      <c r="M86" s="28" t="s">
        <v>25</v>
      </c>
      <c r="N86" s="28"/>
      <c r="O86" s="147"/>
      <c r="P86" s="28" t="s">
        <v>21</v>
      </c>
      <c r="Q86" s="94"/>
      <c r="R86" s="155"/>
      <c r="S86" s="59" t="s">
        <v>23</v>
      </c>
      <c r="T86" s="60" t="s">
        <v>24</v>
      </c>
      <c r="U86" s="30"/>
    </row>
    <row r="87" spans="1:22" ht="11.25">
      <c r="A87" s="235"/>
      <c r="B87" s="236"/>
      <c r="C87" s="241"/>
      <c r="D87" s="242"/>
      <c r="E87" s="242"/>
      <c r="F87" s="242"/>
      <c r="G87" s="242"/>
      <c r="H87" s="242"/>
      <c r="I87" s="242"/>
      <c r="J87" s="242"/>
      <c r="K87" s="243"/>
      <c r="L87" s="142" t="s">
        <v>12</v>
      </c>
      <c r="M87" s="3">
        <v>255300</v>
      </c>
      <c r="N87" s="3">
        <f>M87*0.2</f>
        <v>51060</v>
      </c>
      <c r="O87" s="148">
        <f>+N87+M87</f>
        <v>306360</v>
      </c>
      <c r="P87" s="3">
        <f>M87*0.64</f>
        <v>163392</v>
      </c>
      <c r="Q87" s="3">
        <f>N87*0.64</f>
        <v>32678.4</v>
      </c>
      <c r="R87" s="148">
        <f>+Q87+P87</f>
        <v>196070.4</v>
      </c>
      <c r="S87" s="68"/>
      <c r="T87" s="68"/>
      <c r="U87" s="30"/>
      <c r="V87" s="30"/>
    </row>
    <row r="88" spans="1:22" ht="11.25">
      <c r="A88" s="235"/>
      <c r="B88" s="236"/>
      <c r="C88" s="54"/>
      <c r="D88" s="53"/>
      <c r="E88" s="53"/>
      <c r="F88" s="53"/>
      <c r="G88" s="53"/>
      <c r="H88" s="53"/>
      <c r="I88" s="53"/>
      <c r="J88" s="53"/>
      <c r="K88" s="4">
        <f>SUM(Q93:Q95)</f>
        <v>0</v>
      </c>
      <c r="L88" s="133" t="s">
        <v>27</v>
      </c>
      <c r="M88" s="4">
        <f aca="true" t="shared" si="22" ref="M88:R88">SUM(M93:M93)</f>
        <v>0</v>
      </c>
      <c r="N88" s="4">
        <f t="shared" si="22"/>
        <v>0</v>
      </c>
      <c r="O88" s="149">
        <f t="shared" si="22"/>
        <v>0</v>
      </c>
      <c r="P88" s="4">
        <f t="shared" si="22"/>
        <v>0</v>
      </c>
      <c r="Q88" s="4">
        <f t="shared" si="22"/>
        <v>0</v>
      </c>
      <c r="R88" s="149">
        <f t="shared" si="22"/>
        <v>0</v>
      </c>
      <c r="S88" s="5">
        <f>R88*0.375</f>
        <v>0</v>
      </c>
      <c r="T88" s="5">
        <f>R88-S88</f>
        <v>0</v>
      </c>
      <c r="U88" s="30"/>
      <c r="V88" s="30"/>
    </row>
    <row r="89" spans="1:22" ht="11.25">
      <c r="A89" s="235"/>
      <c r="B89" s="236"/>
      <c r="C89" s="54"/>
      <c r="D89" s="53"/>
      <c r="E89" s="53"/>
      <c r="F89" s="53"/>
      <c r="G89" s="53"/>
      <c r="H89" s="53"/>
      <c r="I89" s="53"/>
      <c r="J89" s="53"/>
      <c r="K89" s="55"/>
      <c r="L89" s="133" t="s">
        <v>28</v>
      </c>
      <c r="M89" s="4"/>
      <c r="N89" s="4"/>
      <c r="O89" s="149"/>
      <c r="P89" s="4"/>
      <c r="Q89" s="92"/>
      <c r="R89" s="153"/>
      <c r="S89" s="62">
        <f>P89*0.375</f>
        <v>0</v>
      </c>
      <c r="T89" s="5">
        <f>P89-S89</f>
        <v>0</v>
      </c>
      <c r="U89" s="30"/>
      <c r="V89" s="30"/>
    </row>
    <row r="90" spans="1:22" ht="11.25">
      <c r="A90" s="235"/>
      <c r="B90" s="236"/>
      <c r="C90" s="54"/>
      <c r="D90" s="53"/>
      <c r="E90" s="53"/>
      <c r="F90" s="53"/>
      <c r="G90" s="53"/>
      <c r="H90" s="53"/>
      <c r="I90" s="53"/>
      <c r="J90" s="53"/>
      <c r="K90" s="55"/>
      <c r="L90" s="133" t="s">
        <v>224</v>
      </c>
      <c r="M90" s="4"/>
      <c r="N90" s="4"/>
      <c r="O90" s="149"/>
      <c r="P90" s="4"/>
      <c r="Q90" s="92"/>
      <c r="R90" s="153"/>
      <c r="S90" s="255"/>
      <c r="T90" s="255"/>
      <c r="U90" s="30"/>
      <c r="V90" s="30"/>
    </row>
    <row r="91" spans="1:22" ht="11.25">
      <c r="A91" s="237"/>
      <c r="B91" s="238"/>
      <c r="C91" s="56"/>
      <c r="D91" s="57"/>
      <c r="E91" s="57"/>
      <c r="F91" s="57"/>
      <c r="G91" s="57"/>
      <c r="H91" s="57"/>
      <c r="I91" s="57"/>
      <c r="J91" s="57"/>
      <c r="K91" s="58"/>
      <c r="L91" s="134" t="s">
        <v>13</v>
      </c>
      <c r="M91" s="6">
        <f aca="true" t="shared" si="23" ref="M91:R91">M87-M88-M89</f>
        <v>255300</v>
      </c>
      <c r="N91" s="6">
        <f t="shared" si="23"/>
        <v>51060</v>
      </c>
      <c r="O91" s="150">
        <f t="shared" si="23"/>
        <v>306360</v>
      </c>
      <c r="P91" s="6">
        <f t="shared" si="23"/>
        <v>163392</v>
      </c>
      <c r="Q91" s="6">
        <f t="shared" si="23"/>
        <v>32678.4</v>
      </c>
      <c r="R91" s="150">
        <f t="shared" si="23"/>
        <v>196070.4</v>
      </c>
      <c r="S91" s="1"/>
      <c r="T91" s="1"/>
      <c r="U91" s="30"/>
      <c r="V91" s="30"/>
    </row>
    <row r="92" spans="1:21" ht="22.5">
      <c r="A92" s="7" t="s">
        <v>14</v>
      </c>
      <c r="B92" s="7" t="s">
        <v>11</v>
      </c>
      <c r="C92" s="39" t="s">
        <v>22</v>
      </c>
      <c r="D92" s="39" t="s">
        <v>19</v>
      </c>
      <c r="E92" s="51" t="s">
        <v>2</v>
      </c>
      <c r="F92" s="39" t="s">
        <v>18</v>
      </c>
      <c r="G92" s="39" t="s">
        <v>17</v>
      </c>
      <c r="H92" s="51" t="s">
        <v>16</v>
      </c>
      <c r="I92" s="51" t="s">
        <v>15</v>
      </c>
      <c r="J92" s="39" t="s">
        <v>3</v>
      </c>
      <c r="K92" s="39" t="s">
        <v>4</v>
      </c>
      <c r="L92" s="135" t="s">
        <v>5</v>
      </c>
      <c r="M92" s="7" t="s">
        <v>20</v>
      </c>
      <c r="N92" s="7" t="s">
        <v>40</v>
      </c>
      <c r="O92" s="135" t="s">
        <v>41</v>
      </c>
      <c r="P92" s="7" t="s">
        <v>21</v>
      </c>
      <c r="Q92" s="7" t="s">
        <v>42</v>
      </c>
      <c r="R92" s="135" t="s">
        <v>43</v>
      </c>
      <c r="S92" s="179" t="s">
        <v>26</v>
      </c>
      <c r="T92" s="179"/>
      <c r="U92" s="30"/>
    </row>
    <row r="93" spans="1:20" ht="11.25">
      <c r="A93" s="72"/>
      <c r="B93" s="8"/>
      <c r="C93" s="9"/>
      <c r="D93" s="17"/>
      <c r="E93" s="14"/>
      <c r="F93" s="18"/>
      <c r="G93" s="19"/>
      <c r="H93" s="16"/>
      <c r="I93" s="20"/>
      <c r="J93" s="21"/>
      <c r="K93" s="22"/>
      <c r="L93" s="144"/>
      <c r="M93" s="12"/>
      <c r="N93" s="12"/>
      <c r="O93" s="136"/>
      <c r="P93" s="12"/>
      <c r="Q93" s="12"/>
      <c r="R93" s="136">
        <f>+Q93+P93</f>
        <v>0</v>
      </c>
      <c r="S93" s="232"/>
      <c r="T93" s="232"/>
    </row>
    <row r="94" spans="1:21" ht="11.25">
      <c r="A94" s="72"/>
      <c r="B94" s="8"/>
      <c r="C94" s="9"/>
      <c r="D94" s="9"/>
      <c r="E94" s="9"/>
      <c r="F94" s="9"/>
      <c r="G94" s="10"/>
      <c r="H94" s="11"/>
      <c r="I94" s="11"/>
      <c r="J94" s="12"/>
      <c r="K94" s="12"/>
      <c r="L94" s="136"/>
      <c r="M94" s="12"/>
      <c r="N94" s="12"/>
      <c r="O94" s="136"/>
      <c r="P94" s="12"/>
      <c r="Q94" s="12"/>
      <c r="R94" s="136"/>
      <c r="S94" s="232"/>
      <c r="T94" s="232"/>
      <c r="U94" s="30"/>
    </row>
    <row r="95" spans="1:21" ht="11.25">
      <c r="A95" s="75"/>
      <c r="B95" s="8"/>
      <c r="C95" s="9"/>
      <c r="D95" s="9"/>
      <c r="E95" s="9"/>
      <c r="F95" s="9"/>
      <c r="G95" s="10"/>
      <c r="H95" s="11"/>
      <c r="I95" s="11"/>
      <c r="J95" s="12"/>
      <c r="K95" s="12"/>
      <c r="L95" s="136"/>
      <c r="M95" s="12"/>
      <c r="N95" s="12"/>
      <c r="O95" s="136"/>
      <c r="P95" s="12"/>
      <c r="Q95" s="12"/>
      <c r="R95" s="136"/>
      <c r="S95" s="232"/>
      <c r="T95" s="232"/>
      <c r="U95" s="30"/>
    </row>
    <row r="96" ht="11.25">
      <c r="U96" s="30"/>
    </row>
    <row r="97" spans="1:21" ht="11.25">
      <c r="A97" s="46"/>
      <c r="B97" s="77"/>
      <c r="C97" s="49"/>
      <c r="D97" s="247" t="s">
        <v>9</v>
      </c>
      <c r="E97" s="247"/>
      <c r="F97" s="247"/>
      <c r="G97" s="247"/>
      <c r="H97" s="247"/>
      <c r="I97" s="247"/>
      <c r="J97" s="50"/>
      <c r="K97" s="50"/>
      <c r="L97" s="131"/>
      <c r="M97" s="27" t="s">
        <v>25</v>
      </c>
      <c r="N97" s="28"/>
      <c r="O97" s="147"/>
      <c r="P97" s="28" t="s">
        <v>21</v>
      </c>
      <c r="Q97" s="28"/>
      <c r="R97" s="147"/>
      <c r="S97" s="64" t="s">
        <v>23</v>
      </c>
      <c r="T97" s="64" t="s">
        <v>24</v>
      </c>
      <c r="U97" s="30"/>
    </row>
    <row r="98" spans="1:22" ht="11.25">
      <c r="A98" s="235"/>
      <c r="B98" s="236"/>
      <c r="C98" s="241"/>
      <c r="D98" s="242"/>
      <c r="E98" s="242"/>
      <c r="F98" s="242"/>
      <c r="G98" s="242"/>
      <c r="H98" s="242"/>
      <c r="I98" s="242"/>
      <c r="J98" s="242"/>
      <c r="K98" s="243"/>
      <c r="L98" s="142" t="s">
        <v>12</v>
      </c>
      <c r="M98" s="3">
        <v>117540</v>
      </c>
      <c r="N98" s="3">
        <f>M98*0.2</f>
        <v>23508</v>
      </c>
      <c r="O98" s="148">
        <f>+N98+M98</f>
        <v>141048</v>
      </c>
      <c r="P98" s="3">
        <f>M98*0.64</f>
        <v>75225.6</v>
      </c>
      <c r="Q98" s="3">
        <f>N98*0.64</f>
        <v>15045.12</v>
      </c>
      <c r="R98" s="148">
        <f>+Q98+P98</f>
        <v>90270.72</v>
      </c>
      <c r="S98" s="61"/>
      <c r="T98" s="61"/>
      <c r="U98" s="30"/>
      <c r="V98" s="30"/>
    </row>
    <row r="99" spans="1:22" ht="11.25">
      <c r="A99" s="235"/>
      <c r="B99" s="236"/>
      <c r="C99" s="54"/>
      <c r="D99" s="53"/>
      <c r="E99" s="53"/>
      <c r="F99" s="53"/>
      <c r="G99" s="53"/>
      <c r="H99" s="53"/>
      <c r="I99" s="53"/>
      <c r="J99" s="53"/>
      <c r="K99" s="4">
        <f>SUM(Q107:Q108)</f>
        <v>221</v>
      </c>
      <c r="L99" s="133" t="s">
        <v>27</v>
      </c>
      <c r="M99" s="4">
        <f>SUM(M104:M106)</f>
        <v>14010</v>
      </c>
      <c r="N99" s="4">
        <f>SUM(N104:N106)</f>
        <v>0</v>
      </c>
      <c r="O99" s="149">
        <f>+N99+M99</f>
        <v>14010</v>
      </c>
      <c r="P99" s="4">
        <f>SUM(P104:P106)</f>
        <v>8966.4</v>
      </c>
      <c r="Q99" s="4">
        <f>SUM(Q104:Q106)</f>
        <v>0</v>
      </c>
      <c r="R99" s="149">
        <f>+Q99+P99</f>
        <v>8966.4</v>
      </c>
      <c r="S99" s="5">
        <f>R99*0.375</f>
        <v>3362.3999999999996</v>
      </c>
      <c r="T99" s="5">
        <f>R99-S99</f>
        <v>5604</v>
      </c>
      <c r="U99" s="30"/>
      <c r="V99" s="30"/>
    </row>
    <row r="100" spans="1:22" ht="11.25">
      <c r="A100" s="235"/>
      <c r="B100" s="236"/>
      <c r="C100" s="54"/>
      <c r="D100" s="53"/>
      <c r="E100" s="53"/>
      <c r="F100" s="53"/>
      <c r="G100" s="53"/>
      <c r="H100" s="53"/>
      <c r="I100" s="53"/>
      <c r="J100" s="53"/>
      <c r="K100" s="55"/>
      <c r="L100" s="133" t="s">
        <v>28</v>
      </c>
      <c r="M100" s="4">
        <f>SUM(M107:M107)</f>
        <v>1700</v>
      </c>
      <c r="N100" s="4">
        <f>SUM(N107:N107)</f>
        <v>340</v>
      </c>
      <c r="O100" s="149">
        <f>+N100+M100</f>
        <v>2040</v>
      </c>
      <c r="P100" s="4">
        <f>SUM(P107:P107)</f>
        <v>1105</v>
      </c>
      <c r="Q100" s="4">
        <f>SUM(Q107:Q107)</f>
        <v>221</v>
      </c>
      <c r="R100" s="149">
        <f>+Q100+P100</f>
        <v>1326</v>
      </c>
      <c r="S100" s="5">
        <f>R100*0.375</f>
        <v>497.25</v>
      </c>
      <c r="T100" s="5">
        <f>R100-S100</f>
        <v>828.75</v>
      </c>
      <c r="U100" s="30"/>
      <c r="V100" s="30"/>
    </row>
    <row r="101" spans="1:22" ht="11.25">
      <c r="A101" s="235"/>
      <c r="B101" s="236"/>
      <c r="C101" s="54"/>
      <c r="D101" s="53"/>
      <c r="E101" s="53"/>
      <c r="F101" s="53"/>
      <c r="G101" s="53"/>
      <c r="H101" s="53"/>
      <c r="I101" s="53"/>
      <c r="J101" s="53"/>
      <c r="K101" s="55"/>
      <c r="L101" s="133" t="s">
        <v>224</v>
      </c>
      <c r="M101" s="4"/>
      <c r="N101" s="4"/>
      <c r="O101" s="149"/>
      <c r="P101" s="4"/>
      <c r="Q101" s="4"/>
      <c r="R101" s="149"/>
      <c r="S101" s="255"/>
      <c r="T101" s="255"/>
      <c r="U101" s="30"/>
      <c r="V101" s="30"/>
    </row>
    <row r="102" spans="1:22" ht="11.25">
      <c r="A102" s="237"/>
      <c r="B102" s="238"/>
      <c r="C102" s="244"/>
      <c r="D102" s="245"/>
      <c r="E102" s="245"/>
      <c r="F102" s="245"/>
      <c r="G102" s="245"/>
      <c r="H102" s="245"/>
      <c r="I102" s="245"/>
      <c r="J102" s="245"/>
      <c r="K102" s="246"/>
      <c r="L102" s="134" t="s">
        <v>13</v>
      </c>
      <c r="M102" s="6">
        <f aca="true" t="shared" si="24" ref="M102:R102">M98-M99-M100</f>
        <v>101830</v>
      </c>
      <c r="N102" s="6">
        <f t="shared" si="24"/>
        <v>23168</v>
      </c>
      <c r="O102" s="150">
        <f t="shared" si="24"/>
        <v>124998</v>
      </c>
      <c r="P102" s="6">
        <f t="shared" si="24"/>
        <v>65154.20000000001</v>
      </c>
      <c r="Q102" s="6">
        <f t="shared" si="24"/>
        <v>14824.12</v>
      </c>
      <c r="R102" s="150">
        <f t="shared" si="24"/>
        <v>79978.32</v>
      </c>
      <c r="S102" s="1"/>
      <c r="T102" s="1"/>
      <c r="U102" s="30"/>
      <c r="V102" s="30"/>
    </row>
    <row r="103" spans="1:21" ht="22.5">
      <c r="A103" s="7" t="s">
        <v>14</v>
      </c>
      <c r="B103" s="7" t="s">
        <v>11</v>
      </c>
      <c r="C103" s="39" t="s">
        <v>22</v>
      </c>
      <c r="D103" s="39" t="s">
        <v>19</v>
      </c>
      <c r="E103" s="51" t="s">
        <v>2</v>
      </c>
      <c r="F103" s="39" t="s">
        <v>18</v>
      </c>
      <c r="G103" s="39" t="s">
        <v>17</v>
      </c>
      <c r="H103" s="51" t="s">
        <v>16</v>
      </c>
      <c r="I103" s="51" t="s">
        <v>15</v>
      </c>
      <c r="J103" s="39" t="s">
        <v>3</v>
      </c>
      <c r="K103" s="39" t="s">
        <v>4</v>
      </c>
      <c r="L103" s="135" t="s">
        <v>5</v>
      </c>
      <c r="M103" s="7" t="s">
        <v>20</v>
      </c>
      <c r="N103" s="7" t="s">
        <v>40</v>
      </c>
      <c r="O103" s="135" t="s">
        <v>41</v>
      </c>
      <c r="P103" s="7" t="s">
        <v>21</v>
      </c>
      <c r="Q103" s="7" t="s">
        <v>42</v>
      </c>
      <c r="R103" s="135" t="s">
        <v>43</v>
      </c>
      <c r="S103" s="179" t="s">
        <v>26</v>
      </c>
      <c r="T103" s="179"/>
      <c r="U103" s="30"/>
    </row>
    <row r="104" spans="1:20" ht="33.75">
      <c r="A104" s="72" t="s">
        <v>46</v>
      </c>
      <c r="B104" s="8"/>
      <c r="C104" s="110" t="s">
        <v>55</v>
      </c>
      <c r="D104" s="112" t="s">
        <v>94</v>
      </c>
      <c r="E104" s="112" t="s">
        <v>91</v>
      </c>
      <c r="F104" s="113">
        <v>258</v>
      </c>
      <c r="G104" s="114">
        <v>38629</v>
      </c>
      <c r="H104" s="114">
        <v>38668</v>
      </c>
      <c r="I104" s="115" t="s">
        <v>96</v>
      </c>
      <c r="J104" s="116">
        <v>6300</v>
      </c>
      <c r="K104" s="116">
        <v>1260</v>
      </c>
      <c r="L104" s="144">
        <f>+K104+J104</f>
        <v>7560</v>
      </c>
      <c r="M104" s="12">
        <v>6300</v>
      </c>
      <c r="N104" s="12"/>
      <c r="O104" s="136">
        <f>+N104+M104</f>
        <v>6300</v>
      </c>
      <c r="P104" s="12">
        <f aca="true" t="shared" si="25" ref="P104:Q106">+M104*0.64</f>
        <v>4032</v>
      </c>
      <c r="Q104" s="12">
        <f t="shared" si="25"/>
        <v>0</v>
      </c>
      <c r="R104" s="136">
        <f>SUM(P104:Q104)</f>
        <v>4032</v>
      </c>
      <c r="S104" s="180"/>
      <c r="T104" s="180"/>
    </row>
    <row r="105" spans="1:20" ht="33.75">
      <c r="A105" s="72" t="s">
        <v>46</v>
      </c>
      <c r="B105" s="8"/>
      <c r="C105" s="110" t="s">
        <v>55</v>
      </c>
      <c r="D105" s="112" t="s">
        <v>94</v>
      </c>
      <c r="E105" s="112" t="s">
        <v>95</v>
      </c>
      <c r="F105" s="113">
        <v>108</v>
      </c>
      <c r="G105" s="114">
        <v>38621</v>
      </c>
      <c r="H105" s="114">
        <v>38668</v>
      </c>
      <c r="I105" s="115" t="s">
        <v>97</v>
      </c>
      <c r="J105" s="116">
        <v>6300</v>
      </c>
      <c r="K105" s="116">
        <v>1260</v>
      </c>
      <c r="L105" s="144">
        <f>+K105+J105</f>
        <v>7560</v>
      </c>
      <c r="M105" s="12">
        <v>6300</v>
      </c>
      <c r="N105" s="12"/>
      <c r="O105" s="136">
        <f>+N105+M105</f>
        <v>6300</v>
      </c>
      <c r="P105" s="12">
        <f t="shared" si="25"/>
        <v>4032</v>
      </c>
      <c r="Q105" s="12">
        <f t="shared" si="25"/>
        <v>0</v>
      </c>
      <c r="R105" s="136">
        <f>SUM(P105:Q105)</f>
        <v>4032</v>
      </c>
      <c r="S105" s="180"/>
      <c r="T105" s="180"/>
    </row>
    <row r="106" spans="1:20" ht="33.75">
      <c r="A106" s="72" t="s">
        <v>46</v>
      </c>
      <c r="B106" s="8"/>
      <c r="C106" s="110" t="s">
        <v>55</v>
      </c>
      <c r="D106" s="111" t="s">
        <v>94</v>
      </c>
      <c r="E106" s="111" t="s">
        <v>91</v>
      </c>
      <c r="F106" s="117">
        <v>297</v>
      </c>
      <c r="G106" s="115">
        <v>38659</v>
      </c>
      <c r="H106" s="115">
        <v>38668</v>
      </c>
      <c r="I106" s="115" t="s">
        <v>98</v>
      </c>
      <c r="J106" s="118">
        <v>2530</v>
      </c>
      <c r="K106" s="118">
        <v>506</v>
      </c>
      <c r="L106" s="144">
        <f>+K106+J106</f>
        <v>3036</v>
      </c>
      <c r="M106" s="12">
        <f>J106-1000-120</f>
        <v>1410</v>
      </c>
      <c r="N106" s="12"/>
      <c r="O106" s="136">
        <f>+N106+M106</f>
        <v>1410</v>
      </c>
      <c r="P106" s="12">
        <f t="shared" si="25"/>
        <v>902.4</v>
      </c>
      <c r="Q106" s="12">
        <f t="shared" si="25"/>
        <v>0</v>
      </c>
      <c r="R106" s="136">
        <f>SUM(P106:Q106)</f>
        <v>902.4</v>
      </c>
      <c r="S106" s="232" t="s">
        <v>116</v>
      </c>
      <c r="T106" s="232"/>
    </row>
    <row r="107" spans="1:21" ht="11.25">
      <c r="A107" s="72" t="s">
        <v>111</v>
      </c>
      <c r="B107" s="8"/>
      <c r="C107" s="97" t="s">
        <v>49</v>
      </c>
      <c r="D107" s="9" t="s">
        <v>131</v>
      </c>
      <c r="E107" s="9" t="s">
        <v>132</v>
      </c>
      <c r="F107" s="8" t="s">
        <v>133</v>
      </c>
      <c r="G107" s="10">
        <v>38686</v>
      </c>
      <c r="H107" s="11">
        <v>38709</v>
      </c>
      <c r="I107" s="11" t="s">
        <v>135</v>
      </c>
      <c r="J107" s="99">
        <v>1700</v>
      </c>
      <c r="K107" s="99">
        <f>J107*20%</f>
        <v>340</v>
      </c>
      <c r="L107" s="160">
        <f>J107+K107</f>
        <v>2040</v>
      </c>
      <c r="M107" s="99">
        <v>1700</v>
      </c>
      <c r="N107" s="99">
        <f>M107*20%</f>
        <v>340</v>
      </c>
      <c r="O107" s="160">
        <f>M107+N107</f>
        <v>2040</v>
      </c>
      <c r="P107" s="12">
        <f>+M107*0.65</f>
        <v>1105</v>
      </c>
      <c r="Q107" s="12">
        <f>+N107*0.65</f>
        <v>221</v>
      </c>
      <c r="R107" s="136">
        <f>+Q107+P107</f>
        <v>1326</v>
      </c>
      <c r="S107" s="232"/>
      <c r="T107" s="232"/>
      <c r="U107" s="30"/>
    </row>
    <row r="108" spans="1:21" ht="11.25">
      <c r="A108" s="75"/>
      <c r="B108" s="8"/>
      <c r="C108" s="9"/>
      <c r="D108" s="9"/>
      <c r="E108" s="9"/>
      <c r="F108" s="9"/>
      <c r="G108" s="10"/>
      <c r="H108" s="11"/>
      <c r="I108" s="11"/>
      <c r="J108" s="12"/>
      <c r="K108" s="12"/>
      <c r="L108" s="136"/>
      <c r="M108" s="12"/>
      <c r="N108" s="12"/>
      <c r="O108" s="136"/>
      <c r="P108" s="12"/>
      <c r="Q108" s="12"/>
      <c r="R108" s="136"/>
      <c r="S108" s="232"/>
      <c r="T108" s="232"/>
      <c r="U108" s="30"/>
    </row>
    <row r="109" ht="11.25">
      <c r="U109" s="30"/>
    </row>
    <row r="110" spans="1:21" ht="11.25">
      <c r="A110" s="46"/>
      <c r="B110" s="77"/>
      <c r="C110" s="49"/>
      <c r="D110" s="247" t="s">
        <v>10</v>
      </c>
      <c r="E110" s="247"/>
      <c r="F110" s="247"/>
      <c r="G110" s="247"/>
      <c r="H110" s="247"/>
      <c r="I110" s="247"/>
      <c r="J110" s="50"/>
      <c r="K110" s="50"/>
      <c r="L110" s="141"/>
      <c r="M110" s="27" t="s">
        <v>25</v>
      </c>
      <c r="N110" s="28"/>
      <c r="O110" s="147"/>
      <c r="P110" s="28" t="s">
        <v>21</v>
      </c>
      <c r="Q110" s="28"/>
      <c r="R110" s="147"/>
      <c r="S110" s="37" t="s">
        <v>23</v>
      </c>
      <c r="T110" s="38" t="s">
        <v>24</v>
      </c>
      <c r="U110" s="30"/>
    </row>
    <row r="111" spans="1:22" ht="11.25">
      <c r="A111" s="235"/>
      <c r="B111" s="236"/>
      <c r="C111" s="241"/>
      <c r="D111" s="242"/>
      <c r="E111" s="242"/>
      <c r="F111" s="242"/>
      <c r="G111" s="242"/>
      <c r="H111" s="242"/>
      <c r="I111" s="242"/>
      <c r="J111" s="242"/>
      <c r="K111" s="243"/>
      <c r="L111" s="142" t="s">
        <v>12</v>
      </c>
      <c r="M111" s="3">
        <v>122522.99</v>
      </c>
      <c r="N111" s="3">
        <f>M111*0.2</f>
        <v>24504.598</v>
      </c>
      <c r="O111" s="148">
        <f>+N111+M111</f>
        <v>147027.58800000002</v>
      </c>
      <c r="P111" s="3">
        <f>M111*0.64</f>
        <v>78414.7136</v>
      </c>
      <c r="Q111" s="3">
        <f>N111*0.64</f>
        <v>15682.942720000001</v>
      </c>
      <c r="R111" s="148">
        <f>+Q111+P111</f>
        <v>94097.65632000001</v>
      </c>
      <c r="S111" s="61"/>
      <c r="T111" s="61"/>
      <c r="U111" s="30"/>
      <c r="V111" s="30"/>
    </row>
    <row r="112" spans="1:22" ht="11.25">
      <c r="A112" s="235"/>
      <c r="B112" s="236"/>
      <c r="C112" s="54"/>
      <c r="D112" s="53"/>
      <c r="E112" s="53"/>
      <c r="F112" s="53"/>
      <c r="G112" s="53"/>
      <c r="H112" s="53"/>
      <c r="I112" s="53"/>
      <c r="J112" s="53"/>
      <c r="K112" s="4">
        <f>SUM(Q117:Q139)</f>
        <v>8377.4912</v>
      </c>
      <c r="L112" s="133" t="s">
        <v>27</v>
      </c>
      <c r="M112" s="4">
        <f>SUM(M117:M118)</f>
        <v>16500</v>
      </c>
      <c r="N112" s="4">
        <f>SUM(N117:N118)</f>
        <v>0</v>
      </c>
      <c r="O112" s="149">
        <f>+N112+M112</f>
        <v>16500</v>
      </c>
      <c r="P112" s="4">
        <f>SUM(P117:P118)</f>
        <v>10560</v>
      </c>
      <c r="Q112" s="4">
        <f>SUM(Q117:Q118)</f>
        <v>0</v>
      </c>
      <c r="R112" s="149">
        <f>+Q112+P112</f>
        <v>10560</v>
      </c>
      <c r="S112" s="5">
        <f>R112*0.375</f>
        <v>3960</v>
      </c>
      <c r="T112" s="5">
        <f>R112-S112</f>
        <v>6600</v>
      </c>
      <c r="U112" s="30"/>
      <c r="V112" s="30"/>
    </row>
    <row r="113" spans="1:22" ht="11.25">
      <c r="A113" s="235"/>
      <c r="B113" s="236"/>
      <c r="C113" s="54"/>
      <c r="D113" s="53"/>
      <c r="E113" s="53"/>
      <c r="F113" s="53"/>
      <c r="G113" s="53"/>
      <c r="H113" s="53"/>
      <c r="I113" s="53"/>
      <c r="J113" s="53"/>
      <c r="K113" s="55"/>
      <c r="L113" s="133" t="s">
        <v>28</v>
      </c>
      <c r="M113" s="4">
        <f>SUM(M119:M137)</f>
        <v>29460.690000000002</v>
      </c>
      <c r="N113" s="4">
        <f>SUM(N119:N137)</f>
        <v>5480.638</v>
      </c>
      <c r="O113" s="149">
        <f>+N113+M113</f>
        <v>34941.328</v>
      </c>
      <c r="P113" s="4">
        <f>SUM(P119:P137)</f>
        <v>19149.448500000002</v>
      </c>
      <c r="Q113" s="4">
        <f>SUM(Q119:Q137)</f>
        <v>3562.4147000000003</v>
      </c>
      <c r="R113" s="149">
        <f>+Q113+P113</f>
        <v>22711.863200000003</v>
      </c>
      <c r="S113" s="5">
        <f>R113*0.375</f>
        <v>8516.9487</v>
      </c>
      <c r="T113" s="5">
        <f>R113-S113</f>
        <v>14194.914500000003</v>
      </c>
      <c r="U113" s="30"/>
      <c r="V113" s="30"/>
    </row>
    <row r="114" spans="1:22" ht="11.25">
      <c r="A114" s="235"/>
      <c r="B114" s="236"/>
      <c r="C114" s="54"/>
      <c r="D114" s="53"/>
      <c r="E114" s="53"/>
      <c r="F114" s="53"/>
      <c r="G114" s="53"/>
      <c r="H114" s="53"/>
      <c r="I114" s="53"/>
      <c r="J114" s="53"/>
      <c r="K114" s="55"/>
      <c r="L114" s="133" t="s">
        <v>224</v>
      </c>
      <c r="M114" s="4">
        <f>+M138</f>
        <v>38876.63</v>
      </c>
      <c r="N114" s="4">
        <f>+N138</f>
        <v>7407.81</v>
      </c>
      <c r="O114" s="149">
        <f>+N114+M114</f>
        <v>46284.439999999995</v>
      </c>
      <c r="P114" s="4">
        <f>+P138</f>
        <v>25269.8095</v>
      </c>
      <c r="Q114" s="4">
        <f>+Q138</f>
        <v>4815.0765</v>
      </c>
      <c r="R114" s="149">
        <f>+Q114+P114</f>
        <v>30084.886</v>
      </c>
      <c r="S114" s="5">
        <f>R114*0.375</f>
        <v>11281.83225</v>
      </c>
      <c r="T114" s="5">
        <f>R114-S114</f>
        <v>18803.05375</v>
      </c>
      <c r="U114" s="30"/>
      <c r="V114" s="30"/>
    </row>
    <row r="115" spans="1:22" ht="11.25">
      <c r="A115" s="237"/>
      <c r="B115" s="238"/>
      <c r="C115" s="244"/>
      <c r="D115" s="245"/>
      <c r="E115" s="245"/>
      <c r="F115" s="245"/>
      <c r="G115" s="245"/>
      <c r="H115" s="245"/>
      <c r="I115" s="245"/>
      <c r="J115" s="245"/>
      <c r="K115" s="246"/>
      <c r="L115" s="134" t="s">
        <v>13</v>
      </c>
      <c r="M115" s="6">
        <f>M111-M112-M113-M114</f>
        <v>37685.670000000006</v>
      </c>
      <c r="N115" s="6"/>
      <c r="O115" s="150"/>
      <c r="P115" s="6"/>
      <c r="Q115" s="6"/>
      <c r="R115" s="150"/>
      <c r="S115" s="1"/>
      <c r="T115" s="1"/>
      <c r="U115" s="30"/>
      <c r="V115" s="30"/>
    </row>
    <row r="116" spans="1:21" ht="22.5">
      <c r="A116" s="25" t="s">
        <v>14</v>
      </c>
      <c r="B116" s="25" t="s">
        <v>11</v>
      </c>
      <c r="C116" s="69" t="s">
        <v>22</v>
      </c>
      <c r="D116" s="69" t="s">
        <v>19</v>
      </c>
      <c r="E116" s="70" t="s">
        <v>2</v>
      </c>
      <c r="F116" s="69" t="s">
        <v>18</v>
      </c>
      <c r="G116" s="69" t="s">
        <v>17</v>
      </c>
      <c r="H116" s="70" t="s">
        <v>16</v>
      </c>
      <c r="I116" s="70" t="s">
        <v>15</v>
      </c>
      <c r="J116" s="69" t="s">
        <v>3</v>
      </c>
      <c r="K116" s="69" t="s">
        <v>4</v>
      </c>
      <c r="L116" s="145" t="s">
        <v>5</v>
      </c>
      <c r="M116" s="7" t="s">
        <v>20</v>
      </c>
      <c r="N116" s="7" t="s">
        <v>40</v>
      </c>
      <c r="O116" s="135" t="s">
        <v>41</v>
      </c>
      <c r="P116" s="7" t="s">
        <v>21</v>
      </c>
      <c r="Q116" s="7" t="s">
        <v>42</v>
      </c>
      <c r="R116" s="135" t="s">
        <v>43</v>
      </c>
      <c r="S116" s="179" t="s">
        <v>26</v>
      </c>
      <c r="T116" s="179"/>
      <c r="U116" s="30"/>
    </row>
    <row r="117" spans="1:20" ht="33.75">
      <c r="A117" s="72" t="s">
        <v>46</v>
      </c>
      <c r="B117" s="8"/>
      <c r="C117" s="119" t="s">
        <v>49</v>
      </c>
      <c r="D117" s="120" t="s">
        <v>99</v>
      </c>
      <c r="E117" s="121" t="s">
        <v>101</v>
      </c>
      <c r="F117" s="121"/>
      <c r="G117" s="122">
        <v>38324</v>
      </c>
      <c r="H117" s="122">
        <v>38351</v>
      </c>
      <c r="I117" s="98" t="s">
        <v>115</v>
      </c>
      <c r="J117" s="123">
        <v>16500</v>
      </c>
      <c r="K117" s="123"/>
      <c r="L117" s="136">
        <f>+K117+J117</f>
        <v>16500</v>
      </c>
      <c r="M117" s="12">
        <v>16500</v>
      </c>
      <c r="N117" s="12"/>
      <c r="O117" s="136">
        <f>+N117+M117</f>
        <v>16500</v>
      </c>
      <c r="P117" s="12">
        <f>+O117*0.64</f>
        <v>10560</v>
      </c>
      <c r="Q117" s="12">
        <f>+N117*0.64</f>
        <v>0</v>
      </c>
      <c r="R117" s="136">
        <f>O117*0.64</f>
        <v>10560</v>
      </c>
      <c r="S117" s="232"/>
      <c r="T117" s="232"/>
    </row>
    <row r="118" spans="1:20" ht="22.5">
      <c r="A118" s="72" t="s">
        <v>46</v>
      </c>
      <c r="B118" s="8"/>
      <c r="C118" s="95" t="s">
        <v>49</v>
      </c>
      <c r="D118" s="124" t="s">
        <v>100</v>
      </c>
      <c r="E118" s="9" t="s">
        <v>102</v>
      </c>
      <c r="F118" s="14" t="s">
        <v>78</v>
      </c>
      <c r="G118" s="15">
        <v>38632</v>
      </c>
      <c r="H118" s="98">
        <v>38632</v>
      </c>
      <c r="I118" s="15" t="s">
        <v>83</v>
      </c>
      <c r="J118" s="125">
        <v>1800</v>
      </c>
      <c r="K118" s="125">
        <v>360</v>
      </c>
      <c r="L118" s="136">
        <f>+K118+J118</f>
        <v>2160</v>
      </c>
      <c r="M118" s="12"/>
      <c r="N118" s="12"/>
      <c r="O118" s="136">
        <f>+N118+M118</f>
        <v>0</v>
      </c>
      <c r="P118" s="12">
        <f>+O118*0.64</f>
        <v>0</v>
      </c>
      <c r="Q118" s="12">
        <f>+N118*0.64</f>
        <v>0</v>
      </c>
      <c r="R118" s="136">
        <f>O118*0.64</f>
        <v>0</v>
      </c>
      <c r="S118" s="232" t="s">
        <v>114</v>
      </c>
      <c r="T118" s="232"/>
    </row>
    <row r="119" spans="1:20" ht="22.5">
      <c r="A119" s="72" t="s">
        <v>111</v>
      </c>
      <c r="B119" s="8"/>
      <c r="C119" s="95" t="s">
        <v>49</v>
      </c>
      <c r="D119" s="124" t="s">
        <v>100</v>
      </c>
      <c r="E119" s="9" t="s">
        <v>102</v>
      </c>
      <c r="F119" s="14" t="s">
        <v>78</v>
      </c>
      <c r="G119" s="15">
        <v>38632</v>
      </c>
      <c r="H119" s="98">
        <v>38632</v>
      </c>
      <c r="I119" s="15" t="s">
        <v>83</v>
      </c>
      <c r="J119" s="125">
        <v>1800</v>
      </c>
      <c r="K119" s="125">
        <v>360</v>
      </c>
      <c r="L119" s="136">
        <f>+K119+J119</f>
        <v>2160</v>
      </c>
      <c r="M119" s="12">
        <v>1800</v>
      </c>
      <c r="N119" s="12">
        <v>360</v>
      </c>
      <c r="O119" s="136">
        <f>+N119+M119</f>
        <v>2160</v>
      </c>
      <c r="P119" s="12">
        <f>+M119*0.65</f>
        <v>1170</v>
      </c>
      <c r="Q119" s="12">
        <f>+N119*0.65</f>
        <v>234</v>
      </c>
      <c r="R119" s="136">
        <f aca="true" t="shared" si="26" ref="R119:R133">+Q119+P119</f>
        <v>1404</v>
      </c>
      <c r="S119" s="232"/>
      <c r="T119" s="232"/>
    </row>
    <row r="120" spans="1:20" ht="22.5">
      <c r="A120" s="72" t="s">
        <v>111</v>
      </c>
      <c r="B120" s="8"/>
      <c r="C120" s="95" t="s">
        <v>49</v>
      </c>
      <c r="D120" s="166" t="s">
        <v>136</v>
      </c>
      <c r="E120" s="166" t="s">
        <v>132</v>
      </c>
      <c r="F120" s="167" t="s">
        <v>133</v>
      </c>
      <c r="G120" s="166">
        <v>38686</v>
      </c>
      <c r="H120" s="166">
        <v>38709</v>
      </c>
      <c r="I120" s="166" t="s">
        <v>134</v>
      </c>
      <c r="J120" s="169">
        <v>800</v>
      </c>
      <c r="K120" s="169">
        <f>J120*20%</f>
        <v>160</v>
      </c>
      <c r="L120" s="173">
        <f>J120+K120</f>
        <v>960</v>
      </c>
      <c r="M120" s="169">
        <v>800</v>
      </c>
      <c r="N120" s="169">
        <f>M120*20%</f>
        <v>160</v>
      </c>
      <c r="O120" s="173">
        <f>M120+N120</f>
        <v>960</v>
      </c>
      <c r="P120" s="12">
        <f>+M120*0.65</f>
        <v>520</v>
      </c>
      <c r="Q120" s="12">
        <f>+N120*0.65</f>
        <v>104</v>
      </c>
      <c r="R120" s="136">
        <f t="shared" si="26"/>
        <v>624</v>
      </c>
      <c r="S120" s="232"/>
      <c r="T120" s="232"/>
    </row>
    <row r="121" spans="1:20" ht="45">
      <c r="A121" s="72" t="s">
        <v>111</v>
      </c>
      <c r="B121" s="8"/>
      <c r="C121" s="95" t="s">
        <v>49</v>
      </c>
      <c r="D121" s="166" t="s">
        <v>137</v>
      </c>
      <c r="E121" s="166" t="s">
        <v>138</v>
      </c>
      <c r="F121" s="167" t="s">
        <v>139</v>
      </c>
      <c r="G121" s="166">
        <v>38671</v>
      </c>
      <c r="H121" s="166">
        <v>38671</v>
      </c>
      <c r="I121" s="168" t="s">
        <v>140</v>
      </c>
      <c r="J121" s="169">
        <v>630</v>
      </c>
      <c r="K121" s="169"/>
      <c r="L121" s="173">
        <v>630</v>
      </c>
      <c r="M121" s="169">
        <v>630</v>
      </c>
      <c r="N121" s="12"/>
      <c r="O121" s="136">
        <f>+N121+M121</f>
        <v>630</v>
      </c>
      <c r="P121" s="12">
        <f aca="true" t="shared" si="27" ref="P121:P137">+M121*0.65</f>
        <v>409.5</v>
      </c>
      <c r="Q121" s="12"/>
      <c r="R121" s="136">
        <f t="shared" si="26"/>
        <v>409.5</v>
      </c>
      <c r="S121" s="232"/>
      <c r="T121" s="232"/>
    </row>
    <row r="122" spans="1:20" ht="45">
      <c r="A122" s="72" t="s">
        <v>111</v>
      </c>
      <c r="B122" s="8"/>
      <c r="C122" s="95" t="s">
        <v>49</v>
      </c>
      <c r="D122" s="166" t="s">
        <v>137</v>
      </c>
      <c r="E122" s="166" t="s">
        <v>138</v>
      </c>
      <c r="F122" s="167" t="s">
        <v>139</v>
      </c>
      <c r="G122" s="166">
        <v>38708</v>
      </c>
      <c r="H122" s="166">
        <v>38708</v>
      </c>
      <c r="I122" s="168" t="s">
        <v>141</v>
      </c>
      <c r="J122" s="169">
        <v>600</v>
      </c>
      <c r="K122" s="169"/>
      <c r="L122" s="173">
        <v>600</v>
      </c>
      <c r="M122" s="169">
        <v>600</v>
      </c>
      <c r="N122" s="12"/>
      <c r="O122" s="136">
        <f>+N122+M122</f>
        <v>600</v>
      </c>
      <c r="P122" s="12">
        <f t="shared" si="27"/>
        <v>390</v>
      </c>
      <c r="Q122" s="12"/>
      <c r="R122" s="136">
        <f t="shared" si="26"/>
        <v>390</v>
      </c>
      <c r="S122" s="232"/>
      <c r="T122" s="232"/>
    </row>
    <row r="123" spans="1:20" ht="22.5">
      <c r="A123" s="72" t="s">
        <v>111</v>
      </c>
      <c r="B123" s="8"/>
      <c r="C123" s="95" t="s">
        <v>49</v>
      </c>
      <c r="D123" s="166" t="s">
        <v>142</v>
      </c>
      <c r="E123" s="166" t="s">
        <v>143</v>
      </c>
      <c r="F123" s="167" t="s">
        <v>144</v>
      </c>
      <c r="G123" s="166">
        <v>38667</v>
      </c>
      <c r="H123" s="166">
        <v>38695</v>
      </c>
      <c r="I123" s="166" t="s">
        <v>134</v>
      </c>
      <c r="J123" s="169">
        <v>1288.68</v>
      </c>
      <c r="K123" s="169">
        <f aca="true" t="shared" si="28" ref="K123:K136">J123*20%</f>
        <v>257.73600000000005</v>
      </c>
      <c r="L123" s="173">
        <f aca="true" t="shared" si="29" ref="L123:L130">J123+K123</f>
        <v>1546.4160000000002</v>
      </c>
      <c r="M123" s="169">
        <v>1288.68</v>
      </c>
      <c r="N123" s="169">
        <f>M123*20%</f>
        <v>257.73600000000005</v>
      </c>
      <c r="O123" s="173">
        <f>M123+N123</f>
        <v>1546.4160000000002</v>
      </c>
      <c r="P123" s="12">
        <f t="shared" si="27"/>
        <v>837.642</v>
      </c>
      <c r="Q123" s="12">
        <f>+N123*0.65</f>
        <v>167.52840000000003</v>
      </c>
      <c r="R123" s="136">
        <f t="shared" si="26"/>
        <v>1005.1704000000001</v>
      </c>
      <c r="S123" s="232"/>
      <c r="T123" s="232"/>
    </row>
    <row r="124" spans="1:20" ht="22.5">
      <c r="A124" s="72" t="s">
        <v>111</v>
      </c>
      <c r="B124" s="8"/>
      <c r="C124" s="95" t="s">
        <v>49</v>
      </c>
      <c r="D124" s="166" t="s">
        <v>142</v>
      </c>
      <c r="E124" s="166" t="s">
        <v>143</v>
      </c>
      <c r="F124" s="167" t="s">
        <v>145</v>
      </c>
      <c r="G124" s="166">
        <v>38803</v>
      </c>
      <c r="H124" s="166">
        <v>38814</v>
      </c>
      <c r="I124" s="166" t="s">
        <v>134</v>
      </c>
      <c r="J124" s="169">
        <v>1470.51</v>
      </c>
      <c r="K124" s="169">
        <f t="shared" si="28"/>
        <v>294.10200000000003</v>
      </c>
      <c r="L124" s="173">
        <f t="shared" si="29"/>
        <v>1764.612</v>
      </c>
      <c r="M124" s="169">
        <v>1470.51</v>
      </c>
      <c r="N124" s="169">
        <f>M124*20%</f>
        <v>294.10200000000003</v>
      </c>
      <c r="O124" s="173">
        <f>M124+N124</f>
        <v>1764.612</v>
      </c>
      <c r="P124" s="12">
        <f t="shared" si="27"/>
        <v>955.8315</v>
      </c>
      <c r="Q124" s="12">
        <f>+N124*0.65</f>
        <v>191.16630000000004</v>
      </c>
      <c r="R124" s="136">
        <f t="shared" si="26"/>
        <v>1146.9978</v>
      </c>
      <c r="S124" s="232"/>
      <c r="T124" s="232"/>
    </row>
    <row r="125" spans="1:20" ht="22.5">
      <c r="A125" s="72" t="s">
        <v>111</v>
      </c>
      <c r="B125" s="8"/>
      <c r="C125" s="95" t="s">
        <v>49</v>
      </c>
      <c r="D125" s="166" t="s">
        <v>146</v>
      </c>
      <c r="E125" s="166" t="s">
        <v>147</v>
      </c>
      <c r="F125" s="167" t="s">
        <v>139</v>
      </c>
      <c r="G125" s="166">
        <v>38761</v>
      </c>
      <c r="H125" s="166">
        <v>38761</v>
      </c>
      <c r="I125" s="166" t="s">
        <v>134</v>
      </c>
      <c r="J125" s="169">
        <v>403.5</v>
      </c>
      <c r="K125" s="169"/>
      <c r="L125" s="173">
        <v>403.5</v>
      </c>
      <c r="M125" s="12">
        <v>403.5</v>
      </c>
      <c r="N125" s="12"/>
      <c r="O125" s="136">
        <f aca="true" t="shared" si="30" ref="O125:O134">+N125+M125</f>
        <v>403.5</v>
      </c>
      <c r="P125" s="12">
        <f t="shared" si="27"/>
        <v>262.27500000000003</v>
      </c>
      <c r="Q125" s="12"/>
      <c r="R125" s="136">
        <f t="shared" si="26"/>
        <v>262.27500000000003</v>
      </c>
      <c r="S125" s="232"/>
      <c r="T125" s="232"/>
    </row>
    <row r="126" spans="1:20" ht="22.5">
      <c r="A126" s="72" t="s">
        <v>111</v>
      </c>
      <c r="B126" s="8"/>
      <c r="C126" s="95" t="s">
        <v>49</v>
      </c>
      <c r="D126" s="166" t="s">
        <v>148</v>
      </c>
      <c r="E126" s="166" t="s">
        <v>102</v>
      </c>
      <c r="F126" s="166" t="s">
        <v>149</v>
      </c>
      <c r="G126" s="166">
        <v>38671</v>
      </c>
      <c r="H126" s="166">
        <v>38695</v>
      </c>
      <c r="I126" s="166" t="s">
        <v>134</v>
      </c>
      <c r="J126" s="169">
        <v>900</v>
      </c>
      <c r="K126" s="169">
        <f t="shared" si="28"/>
        <v>180</v>
      </c>
      <c r="L126" s="173">
        <f t="shared" si="29"/>
        <v>1080</v>
      </c>
      <c r="M126" s="169">
        <v>900</v>
      </c>
      <c r="N126" s="169">
        <f aca="true" t="shared" si="31" ref="N126:N135">M126*20%</f>
        <v>180</v>
      </c>
      <c r="O126" s="136">
        <f t="shared" si="30"/>
        <v>1080</v>
      </c>
      <c r="P126" s="12">
        <f t="shared" si="27"/>
        <v>585</v>
      </c>
      <c r="Q126" s="12">
        <f aca="true" t="shared" si="32" ref="Q126:Q137">+N126*0.65</f>
        <v>117</v>
      </c>
      <c r="R126" s="136">
        <f t="shared" si="26"/>
        <v>702</v>
      </c>
      <c r="S126" s="232"/>
      <c r="T126" s="232"/>
    </row>
    <row r="127" spans="1:20" ht="22.5">
      <c r="A127" s="72" t="s">
        <v>111</v>
      </c>
      <c r="B127" s="8"/>
      <c r="C127" s="95" t="s">
        <v>49</v>
      </c>
      <c r="D127" s="166" t="s">
        <v>150</v>
      </c>
      <c r="E127" s="166" t="s">
        <v>102</v>
      </c>
      <c r="F127" s="166" t="s">
        <v>151</v>
      </c>
      <c r="G127" s="166">
        <v>38695</v>
      </c>
      <c r="H127" s="166">
        <v>38699</v>
      </c>
      <c r="I127" s="166" t="s">
        <v>134</v>
      </c>
      <c r="J127" s="169">
        <v>900</v>
      </c>
      <c r="K127" s="169">
        <f t="shared" si="28"/>
        <v>180</v>
      </c>
      <c r="L127" s="173">
        <f t="shared" si="29"/>
        <v>1080</v>
      </c>
      <c r="M127" s="169">
        <v>900</v>
      </c>
      <c r="N127" s="169">
        <f t="shared" si="31"/>
        <v>180</v>
      </c>
      <c r="O127" s="136">
        <f t="shared" si="30"/>
        <v>1080</v>
      </c>
      <c r="P127" s="12">
        <f t="shared" si="27"/>
        <v>585</v>
      </c>
      <c r="Q127" s="12">
        <f t="shared" si="32"/>
        <v>117</v>
      </c>
      <c r="R127" s="136">
        <f t="shared" si="26"/>
        <v>702</v>
      </c>
      <c r="S127" s="232"/>
      <c r="T127" s="232"/>
    </row>
    <row r="128" spans="1:20" ht="22.5">
      <c r="A128" s="72" t="s">
        <v>111</v>
      </c>
      <c r="B128" s="8"/>
      <c r="C128" s="95" t="s">
        <v>49</v>
      </c>
      <c r="D128" s="166" t="s">
        <v>152</v>
      </c>
      <c r="E128" s="166" t="s">
        <v>102</v>
      </c>
      <c r="F128" s="166" t="s">
        <v>124</v>
      </c>
      <c r="G128" s="166">
        <v>38720</v>
      </c>
      <c r="H128" s="166">
        <v>38721</v>
      </c>
      <c r="I128" s="166" t="s">
        <v>134</v>
      </c>
      <c r="J128" s="169">
        <v>900</v>
      </c>
      <c r="K128" s="169">
        <f t="shared" si="28"/>
        <v>180</v>
      </c>
      <c r="L128" s="173">
        <f t="shared" si="29"/>
        <v>1080</v>
      </c>
      <c r="M128" s="169">
        <v>900</v>
      </c>
      <c r="N128" s="169">
        <f t="shared" si="31"/>
        <v>180</v>
      </c>
      <c r="O128" s="136">
        <f t="shared" si="30"/>
        <v>1080</v>
      </c>
      <c r="P128" s="12">
        <f t="shared" si="27"/>
        <v>585</v>
      </c>
      <c r="Q128" s="12">
        <f t="shared" si="32"/>
        <v>117</v>
      </c>
      <c r="R128" s="136">
        <f t="shared" si="26"/>
        <v>702</v>
      </c>
      <c r="S128" s="232"/>
      <c r="T128" s="232"/>
    </row>
    <row r="129" spans="1:20" ht="22.5">
      <c r="A129" s="72" t="s">
        <v>111</v>
      </c>
      <c r="B129" s="8"/>
      <c r="C129" s="95" t="s">
        <v>49</v>
      </c>
      <c r="D129" s="166" t="s">
        <v>153</v>
      </c>
      <c r="E129" s="166" t="s">
        <v>102</v>
      </c>
      <c r="F129" s="166" t="s">
        <v>129</v>
      </c>
      <c r="G129" s="166">
        <v>38761</v>
      </c>
      <c r="H129" s="166">
        <v>38762</v>
      </c>
      <c r="I129" s="166" t="s">
        <v>134</v>
      </c>
      <c r="J129" s="169">
        <v>900</v>
      </c>
      <c r="K129" s="169">
        <f t="shared" si="28"/>
        <v>180</v>
      </c>
      <c r="L129" s="173">
        <f t="shared" si="29"/>
        <v>1080</v>
      </c>
      <c r="M129" s="169">
        <v>900</v>
      </c>
      <c r="N129" s="169">
        <f t="shared" si="31"/>
        <v>180</v>
      </c>
      <c r="O129" s="136">
        <f t="shared" si="30"/>
        <v>1080</v>
      </c>
      <c r="P129" s="12">
        <f t="shared" si="27"/>
        <v>585</v>
      </c>
      <c r="Q129" s="12">
        <f t="shared" si="32"/>
        <v>117</v>
      </c>
      <c r="R129" s="136">
        <f t="shared" si="26"/>
        <v>702</v>
      </c>
      <c r="S129" s="232"/>
      <c r="T129" s="232"/>
    </row>
    <row r="130" spans="1:20" ht="22.5">
      <c r="A130" s="72" t="s">
        <v>111</v>
      </c>
      <c r="B130" s="8"/>
      <c r="C130" s="95" t="s">
        <v>49</v>
      </c>
      <c r="D130" s="166" t="s">
        <v>154</v>
      </c>
      <c r="E130" s="166" t="s">
        <v>102</v>
      </c>
      <c r="F130" s="166" t="s">
        <v>155</v>
      </c>
      <c r="G130" s="166">
        <v>38695</v>
      </c>
      <c r="H130" s="166">
        <v>38699</v>
      </c>
      <c r="I130" s="166" t="s">
        <v>134</v>
      </c>
      <c r="J130" s="169">
        <v>900</v>
      </c>
      <c r="K130" s="169">
        <f t="shared" si="28"/>
        <v>180</v>
      </c>
      <c r="L130" s="173">
        <f t="shared" si="29"/>
        <v>1080</v>
      </c>
      <c r="M130" s="169">
        <v>900</v>
      </c>
      <c r="N130" s="169">
        <f t="shared" si="31"/>
        <v>180</v>
      </c>
      <c r="O130" s="136">
        <f t="shared" si="30"/>
        <v>1080</v>
      </c>
      <c r="P130" s="12">
        <f t="shared" si="27"/>
        <v>585</v>
      </c>
      <c r="Q130" s="12">
        <f t="shared" si="32"/>
        <v>117</v>
      </c>
      <c r="R130" s="136">
        <f t="shared" si="26"/>
        <v>702</v>
      </c>
      <c r="S130" s="232"/>
      <c r="T130" s="232"/>
    </row>
    <row r="131" spans="1:20" ht="22.5">
      <c r="A131" s="72" t="s">
        <v>111</v>
      </c>
      <c r="B131" s="8" t="s">
        <v>156</v>
      </c>
      <c r="C131" s="95" t="s">
        <v>49</v>
      </c>
      <c r="D131" s="170" t="s">
        <v>157</v>
      </c>
      <c r="E131" s="165" t="s">
        <v>158</v>
      </c>
      <c r="F131" s="171" t="s">
        <v>159</v>
      </c>
      <c r="G131" s="163">
        <v>38692</v>
      </c>
      <c r="H131" s="163">
        <v>38698</v>
      </c>
      <c r="I131" s="166" t="s">
        <v>134</v>
      </c>
      <c r="J131" s="172">
        <v>9000</v>
      </c>
      <c r="K131" s="172">
        <f t="shared" si="28"/>
        <v>1800</v>
      </c>
      <c r="L131" s="174">
        <f>J131+K131</f>
        <v>10800</v>
      </c>
      <c r="M131" s="172">
        <v>9000</v>
      </c>
      <c r="N131" s="172">
        <f t="shared" si="31"/>
        <v>1800</v>
      </c>
      <c r="O131" s="136">
        <f t="shared" si="30"/>
        <v>10800</v>
      </c>
      <c r="P131" s="12">
        <f t="shared" si="27"/>
        <v>5850</v>
      </c>
      <c r="Q131" s="12">
        <f t="shared" si="32"/>
        <v>1170</v>
      </c>
      <c r="R131" s="136">
        <f t="shared" si="26"/>
        <v>7020</v>
      </c>
      <c r="S131" s="232"/>
      <c r="T131" s="232"/>
    </row>
    <row r="132" spans="1:20" ht="22.5">
      <c r="A132" s="72" t="s">
        <v>111</v>
      </c>
      <c r="B132" s="8" t="s">
        <v>156</v>
      </c>
      <c r="C132" s="95" t="s">
        <v>49</v>
      </c>
      <c r="D132" s="162" t="s">
        <v>160</v>
      </c>
      <c r="E132" s="165" t="s">
        <v>161</v>
      </c>
      <c r="F132" s="162" t="s">
        <v>162</v>
      </c>
      <c r="G132" s="163">
        <v>38693</v>
      </c>
      <c r="H132" s="163">
        <v>38695</v>
      </c>
      <c r="I132" s="166" t="s">
        <v>134</v>
      </c>
      <c r="J132" s="172">
        <v>2100</v>
      </c>
      <c r="K132" s="172">
        <f t="shared" si="28"/>
        <v>420</v>
      </c>
      <c r="L132" s="174">
        <f aca="true" t="shared" si="33" ref="L132:L138">J132+K132</f>
        <v>2520</v>
      </c>
      <c r="M132" s="172">
        <v>2100</v>
      </c>
      <c r="N132" s="172">
        <f t="shared" si="31"/>
        <v>420</v>
      </c>
      <c r="O132" s="136">
        <f t="shared" si="30"/>
        <v>2520</v>
      </c>
      <c r="P132" s="12">
        <f t="shared" si="27"/>
        <v>1365</v>
      </c>
      <c r="Q132" s="12">
        <f t="shared" si="32"/>
        <v>273</v>
      </c>
      <c r="R132" s="136">
        <f t="shared" si="26"/>
        <v>1638</v>
      </c>
      <c r="S132" s="232"/>
      <c r="T132" s="232"/>
    </row>
    <row r="133" spans="1:20" ht="33.75">
      <c r="A133" s="72" t="s">
        <v>111</v>
      </c>
      <c r="B133" s="8" t="s">
        <v>156</v>
      </c>
      <c r="C133" s="95" t="s">
        <v>49</v>
      </c>
      <c r="D133" s="162" t="s">
        <v>163</v>
      </c>
      <c r="E133" s="165" t="s">
        <v>164</v>
      </c>
      <c r="F133" s="162" t="s">
        <v>165</v>
      </c>
      <c r="G133" s="163">
        <v>38672</v>
      </c>
      <c r="H133" s="163">
        <v>38695</v>
      </c>
      <c r="I133" s="164" t="s">
        <v>166</v>
      </c>
      <c r="J133" s="172">
        <v>5220</v>
      </c>
      <c r="K133" s="172">
        <f t="shared" si="28"/>
        <v>1044</v>
      </c>
      <c r="L133" s="174">
        <f t="shared" si="33"/>
        <v>6264</v>
      </c>
      <c r="M133" s="172">
        <v>5220</v>
      </c>
      <c r="N133" s="172">
        <f t="shared" si="31"/>
        <v>1044</v>
      </c>
      <c r="O133" s="136">
        <f t="shared" si="30"/>
        <v>6264</v>
      </c>
      <c r="P133" s="12">
        <f t="shared" si="27"/>
        <v>3393</v>
      </c>
      <c r="Q133" s="12">
        <f t="shared" si="32"/>
        <v>678.6</v>
      </c>
      <c r="R133" s="136">
        <f t="shared" si="26"/>
        <v>4071.6</v>
      </c>
      <c r="S133" s="232" t="s">
        <v>182</v>
      </c>
      <c r="T133" s="232"/>
    </row>
    <row r="134" spans="1:20" ht="22.5">
      <c r="A134" s="72" t="s">
        <v>111</v>
      </c>
      <c r="B134" s="8" t="s">
        <v>156</v>
      </c>
      <c r="C134" s="95" t="s">
        <v>49</v>
      </c>
      <c r="D134" s="162" t="s">
        <v>167</v>
      </c>
      <c r="E134" s="165" t="s">
        <v>168</v>
      </c>
      <c r="F134" s="162" t="s">
        <v>169</v>
      </c>
      <c r="G134" s="163">
        <v>38663</v>
      </c>
      <c r="H134" s="163">
        <v>38685</v>
      </c>
      <c r="I134" s="166" t="s">
        <v>134</v>
      </c>
      <c r="J134" s="172">
        <v>500</v>
      </c>
      <c r="K134" s="172">
        <f t="shared" si="28"/>
        <v>100</v>
      </c>
      <c r="L134" s="174">
        <f t="shared" si="33"/>
        <v>600</v>
      </c>
      <c r="M134" s="172">
        <v>500</v>
      </c>
      <c r="N134" s="172">
        <f t="shared" si="31"/>
        <v>100</v>
      </c>
      <c r="O134" s="136">
        <f t="shared" si="30"/>
        <v>600</v>
      </c>
      <c r="P134" s="12">
        <f t="shared" si="27"/>
        <v>325</v>
      </c>
      <c r="Q134" s="12">
        <f t="shared" si="32"/>
        <v>65</v>
      </c>
      <c r="R134" s="136">
        <f>+P134+Q134</f>
        <v>390</v>
      </c>
      <c r="S134" s="232"/>
      <c r="T134" s="232"/>
    </row>
    <row r="135" spans="1:20" ht="22.5">
      <c r="A135" s="72" t="s">
        <v>111</v>
      </c>
      <c r="B135" s="8" t="s">
        <v>156</v>
      </c>
      <c r="C135" s="95" t="s">
        <v>49</v>
      </c>
      <c r="D135" s="162" t="s">
        <v>170</v>
      </c>
      <c r="E135" s="165" t="s">
        <v>171</v>
      </c>
      <c r="F135" s="162" t="s">
        <v>172</v>
      </c>
      <c r="G135" s="163">
        <v>38691</v>
      </c>
      <c r="H135" s="163">
        <v>38709</v>
      </c>
      <c r="I135" s="166" t="s">
        <v>134</v>
      </c>
      <c r="J135" s="172">
        <v>300</v>
      </c>
      <c r="K135" s="172">
        <f t="shared" si="28"/>
        <v>60</v>
      </c>
      <c r="L135" s="174">
        <f t="shared" si="33"/>
        <v>360</v>
      </c>
      <c r="M135" s="172">
        <v>300</v>
      </c>
      <c r="N135" s="172">
        <f t="shared" si="31"/>
        <v>60</v>
      </c>
      <c r="O135" s="136">
        <f>+M135+N135</f>
        <v>360</v>
      </c>
      <c r="P135" s="12">
        <f t="shared" si="27"/>
        <v>195</v>
      </c>
      <c r="Q135" s="12">
        <f t="shared" si="32"/>
        <v>39</v>
      </c>
      <c r="R135" s="136">
        <f>+P135+Q135</f>
        <v>234</v>
      </c>
      <c r="S135" s="232"/>
      <c r="T135" s="232"/>
    </row>
    <row r="136" spans="1:20" ht="45">
      <c r="A136" s="72" t="s">
        <v>111</v>
      </c>
      <c r="B136" s="8" t="s">
        <v>156</v>
      </c>
      <c r="C136" s="95" t="s">
        <v>49</v>
      </c>
      <c r="D136" s="162" t="s">
        <v>173</v>
      </c>
      <c r="E136" s="165" t="s">
        <v>174</v>
      </c>
      <c r="F136" s="162" t="s">
        <v>175</v>
      </c>
      <c r="G136" s="163">
        <v>38685</v>
      </c>
      <c r="H136" s="163">
        <v>38685</v>
      </c>
      <c r="I136" s="164" t="s">
        <v>176</v>
      </c>
      <c r="J136" s="172">
        <v>682</v>
      </c>
      <c r="K136" s="172">
        <f t="shared" si="28"/>
        <v>136.4</v>
      </c>
      <c r="L136" s="174">
        <f t="shared" si="33"/>
        <v>818.4</v>
      </c>
      <c r="M136" s="12">
        <v>620</v>
      </c>
      <c r="N136" s="12">
        <v>62</v>
      </c>
      <c r="O136" s="136">
        <f>+M136+N136</f>
        <v>682</v>
      </c>
      <c r="P136" s="12">
        <f t="shared" si="27"/>
        <v>403</v>
      </c>
      <c r="Q136" s="12">
        <f t="shared" si="32"/>
        <v>40.300000000000004</v>
      </c>
      <c r="R136" s="136">
        <f>+Q136+P136</f>
        <v>443.3</v>
      </c>
      <c r="S136" s="232"/>
      <c r="T136" s="232"/>
    </row>
    <row r="137" spans="1:20" ht="45">
      <c r="A137" s="72" t="s">
        <v>111</v>
      </c>
      <c r="B137" s="8" t="s">
        <v>156</v>
      </c>
      <c r="C137" s="95" t="s">
        <v>49</v>
      </c>
      <c r="D137" s="162" t="s">
        <v>177</v>
      </c>
      <c r="E137" s="165" t="s">
        <v>178</v>
      </c>
      <c r="F137" s="162" t="s">
        <v>179</v>
      </c>
      <c r="G137" s="163">
        <v>38691</v>
      </c>
      <c r="H137" s="163">
        <v>38695</v>
      </c>
      <c r="I137" s="164" t="s">
        <v>176</v>
      </c>
      <c r="J137" s="172">
        <v>228</v>
      </c>
      <c r="K137" s="172">
        <f>J137*10%</f>
        <v>22.8</v>
      </c>
      <c r="L137" s="174">
        <f t="shared" si="33"/>
        <v>250.8</v>
      </c>
      <c r="M137" s="172">
        <v>228</v>
      </c>
      <c r="N137" s="172">
        <f>M137*10%</f>
        <v>22.8</v>
      </c>
      <c r="O137" s="136">
        <f>+N137+M137</f>
        <v>250.8</v>
      </c>
      <c r="P137" s="12">
        <f t="shared" si="27"/>
        <v>148.20000000000002</v>
      </c>
      <c r="Q137" s="12">
        <f t="shared" si="32"/>
        <v>14.82</v>
      </c>
      <c r="R137" s="136">
        <f>+Q137+P137</f>
        <v>163.02</v>
      </c>
      <c r="S137" s="232"/>
      <c r="T137" s="232"/>
    </row>
    <row r="138" spans="1:20" ht="15" customHeight="1">
      <c r="A138" s="254" t="s">
        <v>222</v>
      </c>
      <c r="B138" s="8"/>
      <c r="C138" s="251" t="s">
        <v>223</v>
      </c>
      <c r="D138" s="252"/>
      <c r="E138" s="252"/>
      <c r="F138" s="252"/>
      <c r="G138" s="252"/>
      <c r="H138" s="252"/>
      <c r="I138" s="253"/>
      <c r="J138" s="12">
        <v>38876.63</v>
      </c>
      <c r="K138" s="24">
        <v>7407.81</v>
      </c>
      <c r="L138" s="136">
        <f t="shared" si="33"/>
        <v>46284.439999999995</v>
      </c>
      <c r="M138" s="12">
        <v>38876.63</v>
      </c>
      <c r="N138" s="24">
        <v>7407.81</v>
      </c>
      <c r="O138" s="136">
        <f>+N138+M138</f>
        <v>46284.439999999995</v>
      </c>
      <c r="P138" s="12">
        <f>+M138*0.65</f>
        <v>25269.8095</v>
      </c>
      <c r="Q138" s="12">
        <f>+N138*0.65</f>
        <v>4815.0765</v>
      </c>
      <c r="R138" s="136">
        <f>+Q138+P138</f>
        <v>30084.886</v>
      </c>
      <c r="S138" s="232"/>
      <c r="T138" s="232"/>
    </row>
    <row r="139" spans="1:20" ht="15" customHeight="1">
      <c r="A139" s="72"/>
      <c r="B139" s="8"/>
      <c r="C139" s="9"/>
      <c r="D139" s="9"/>
      <c r="E139" s="9"/>
      <c r="F139" s="8"/>
      <c r="G139" s="16"/>
      <c r="H139" s="36"/>
      <c r="I139" s="23"/>
      <c r="J139" s="12"/>
      <c r="K139" s="24"/>
      <c r="L139" s="136"/>
      <c r="M139" s="12"/>
      <c r="N139" s="12"/>
      <c r="O139" s="136"/>
      <c r="P139" s="12"/>
      <c r="Q139" s="12"/>
      <c r="R139" s="136"/>
      <c r="S139" s="232"/>
      <c r="T139" s="232"/>
    </row>
    <row r="140" ht="11.25">
      <c r="J140" s="81"/>
    </row>
    <row r="142" spans="3:18" ht="11.25">
      <c r="C142" s="1" t="s">
        <v>183</v>
      </c>
      <c r="R142" s="175"/>
    </row>
  </sheetData>
  <autoFilter ref="A7:X7"/>
  <mergeCells count="105">
    <mergeCell ref="C31:I31"/>
    <mergeCell ref="C60:I60"/>
    <mergeCell ref="C138:I138"/>
    <mergeCell ref="D86:I86"/>
    <mergeCell ref="D97:I97"/>
    <mergeCell ref="D110:I110"/>
    <mergeCell ref="D8:I8"/>
    <mergeCell ref="D34:I34"/>
    <mergeCell ref="D66:I66"/>
    <mergeCell ref="D76:I76"/>
    <mergeCell ref="C77:K77"/>
    <mergeCell ref="C81:K81"/>
    <mergeCell ref="C67:K67"/>
    <mergeCell ref="A111:B115"/>
    <mergeCell ref="C111:K111"/>
    <mergeCell ref="C115:K115"/>
    <mergeCell ref="C71:K71"/>
    <mergeCell ref="A98:B102"/>
    <mergeCell ref="C98:K98"/>
    <mergeCell ref="C102:K102"/>
    <mergeCell ref="A87:B91"/>
    <mergeCell ref="C87:K87"/>
    <mergeCell ref="A77:B81"/>
    <mergeCell ref="S42:T42"/>
    <mergeCell ref="S43:T43"/>
    <mergeCell ref="S44:T44"/>
    <mergeCell ref="S45:T45"/>
    <mergeCell ref="S18:T18"/>
    <mergeCell ref="S19:T19"/>
    <mergeCell ref="A67:B71"/>
    <mergeCell ref="A35:B39"/>
    <mergeCell ref="C35:K35"/>
    <mergeCell ref="C39:K39"/>
    <mergeCell ref="S40:T40"/>
    <mergeCell ref="S46:T46"/>
    <mergeCell ref="S47:T47"/>
    <mergeCell ref="S48:T48"/>
    <mergeCell ref="S59:T59"/>
    <mergeCell ref="S63:T63"/>
    <mergeCell ref="A1:T1"/>
    <mergeCell ref="S32:T32"/>
    <mergeCell ref="S15:T15"/>
    <mergeCell ref="S16:T16"/>
    <mergeCell ref="A9:B13"/>
    <mergeCell ref="S14:T14"/>
    <mergeCell ref="S25:T25"/>
    <mergeCell ref="S28:T28"/>
    <mergeCell ref="S49:T49"/>
    <mergeCell ref="S55:T55"/>
    <mergeCell ref="S57:T57"/>
    <mergeCell ref="S58:T58"/>
    <mergeCell ref="S139:T139"/>
    <mergeCell ref="S116:T116"/>
    <mergeCell ref="S117:T117"/>
    <mergeCell ref="S118:T118"/>
    <mergeCell ref="S119:T119"/>
    <mergeCell ref="S120:T120"/>
    <mergeCell ref="S122:T122"/>
    <mergeCell ref="S123:T123"/>
    <mergeCell ref="S124:T124"/>
    <mergeCell ref="S125:T125"/>
    <mergeCell ref="S17:T17"/>
    <mergeCell ref="S26:T26"/>
    <mergeCell ref="S27:T27"/>
    <mergeCell ref="S105:T105"/>
    <mergeCell ref="S82:T82"/>
    <mergeCell ref="S83:T83"/>
    <mergeCell ref="S94:T94"/>
    <mergeCell ref="S93:T93"/>
    <mergeCell ref="S74:T74"/>
    <mergeCell ref="S41:T41"/>
    <mergeCell ref="S24:T24"/>
    <mergeCell ref="S20:T20"/>
    <mergeCell ref="S21:T21"/>
    <mergeCell ref="S22:T22"/>
    <mergeCell ref="S23:T23"/>
    <mergeCell ref="S106:T106"/>
    <mergeCell ref="S64:T64"/>
    <mergeCell ref="S108:T108"/>
    <mergeCell ref="S107:T107"/>
    <mergeCell ref="S95:T95"/>
    <mergeCell ref="S73:T73"/>
    <mergeCell ref="S29:T29"/>
    <mergeCell ref="S53:T53"/>
    <mergeCell ref="S54:T54"/>
    <mergeCell ref="S121:T121"/>
    <mergeCell ref="S103:T103"/>
    <mergeCell ref="S84:T84"/>
    <mergeCell ref="S104:T104"/>
    <mergeCell ref="S92:T92"/>
    <mergeCell ref="S50:T50"/>
    <mergeCell ref="S72:T72"/>
    <mergeCell ref="S126:T126"/>
    <mergeCell ref="S127:T127"/>
    <mergeCell ref="S128:T128"/>
    <mergeCell ref="S129:T129"/>
    <mergeCell ref="S130:T130"/>
    <mergeCell ref="S131:T131"/>
    <mergeCell ref="S132:T132"/>
    <mergeCell ref="S137:T137"/>
    <mergeCell ref="S138:T138"/>
    <mergeCell ref="S133:T133"/>
    <mergeCell ref="S134:T134"/>
    <mergeCell ref="S135:T135"/>
    <mergeCell ref="S136:T136"/>
  </mergeCells>
  <printOptions horizontalCentered="1"/>
  <pageMargins left="0.19" right="0.17" top="0.25" bottom="0.27" header="0.15" footer="0.17"/>
  <pageSetup horizontalDpi="300" verticalDpi="3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.</cp:lastModifiedBy>
  <cp:lastPrinted>2006-12-07T11:42:33Z</cp:lastPrinted>
  <dcterms:created xsi:type="dcterms:W3CDTF">2005-04-28T08:10:49Z</dcterms:created>
  <dcterms:modified xsi:type="dcterms:W3CDTF">2006-12-14T09:24:32Z</dcterms:modified>
  <cp:category/>
  <cp:version/>
  <cp:contentType/>
  <cp:contentStatus/>
</cp:coreProperties>
</file>