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Foglio1" sheetId="1" r:id="rId1"/>
    <sheet name="Complessivo" sheetId="2" r:id="rId2"/>
  </sheets>
  <definedNames>
    <definedName name="_xlnm._FilterDatabase" localSheetId="1" hidden="1">'Complessivo'!$A$8:$U$143</definedName>
    <definedName name="_xlnm.Print_Area" localSheetId="1">'Complessivo'!$A$1:$T$142</definedName>
    <definedName name="_xlnm.Print_Titles" localSheetId="1">'Complessivo'!$1:$5</definedName>
  </definedNames>
  <calcPr fullCalcOnLoad="1"/>
</workbook>
</file>

<file path=xl/comments2.xml><?xml version="1.0" encoding="utf-8"?>
<comments xmlns="http://schemas.openxmlformats.org/spreadsheetml/2006/main">
  <authors>
    <author>.</author>
  </authors>
  <commentList>
    <comment ref="S17" authorId="0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Non si ammettono i costi dell'Amm. Unico Lastilla come co.co.pro</t>
        </r>
      </text>
    </comment>
    <comment ref="S18" authorId="0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Non si ammettono i costi dell'Amm. Unico Vincenzo Angarano come co.co.pro</t>
        </r>
      </text>
    </comment>
    <comment ref="S40" authorId="0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Fattura successiva ai pagamenti e fuori periodo. Manca assegno 03/01/2005 ma c'è estratto bancario. Manca timbro annul.</t>
        </r>
      </text>
    </comment>
  </commentList>
</comments>
</file>

<file path=xl/sharedStrings.xml><?xml version="1.0" encoding="utf-8"?>
<sst xmlns="http://schemas.openxmlformats.org/spreadsheetml/2006/main" count="511" uniqueCount="170">
  <si>
    <t>PROGETTO</t>
  </si>
  <si>
    <t>LICENZE</t>
  </si>
  <si>
    <t>Fornitore</t>
  </si>
  <si>
    <t>Imponibile</t>
  </si>
  <si>
    <t>Iva</t>
  </si>
  <si>
    <t>Totale fattura</t>
  </si>
  <si>
    <t>PERSONALE</t>
  </si>
  <si>
    <t>CONSULENZE</t>
  </si>
  <si>
    <t>SOFTWARE</t>
  </si>
  <si>
    <t>INFRASTRUTTURE</t>
  </si>
  <si>
    <t>SPESE GENERALI</t>
  </si>
  <si>
    <t>Att.</t>
  </si>
  <si>
    <t>Previsto</t>
  </si>
  <si>
    <t>Residuo</t>
  </si>
  <si>
    <t>SAL</t>
  </si>
  <si>
    <t>I</t>
  </si>
  <si>
    <t>Modalità</t>
  </si>
  <si>
    <t>Data Pag</t>
  </si>
  <si>
    <t>Data fatt</t>
  </si>
  <si>
    <t>N. fattura</t>
  </si>
  <si>
    <t>Descr.</t>
  </si>
  <si>
    <t>Costi ammessi</t>
  </si>
  <si>
    <t>Contributo</t>
  </si>
  <si>
    <t>NOLO LEASING AMM</t>
  </si>
  <si>
    <t>Partner</t>
  </si>
  <si>
    <t>Ant.</t>
  </si>
  <si>
    <t>Erogare</t>
  </si>
  <si>
    <t>Note</t>
  </si>
  <si>
    <t>SAL 1</t>
  </si>
  <si>
    <t>SAL 2</t>
  </si>
  <si>
    <t>TOT GEN</t>
  </si>
  <si>
    <t>TOT SAL 1</t>
  </si>
  <si>
    <t>TOT SAL 2</t>
  </si>
  <si>
    <t>Avvio PR</t>
  </si>
  <si>
    <t>TOT PROGETTO=</t>
  </si>
  <si>
    <t>CONTRIBUTO=</t>
  </si>
  <si>
    <t>CONTRIBUTO IVA=</t>
  </si>
  <si>
    <t>TOT CONTRIBUTO=</t>
  </si>
  <si>
    <t>IVA=</t>
  </si>
  <si>
    <t>Res IVA=</t>
  </si>
  <si>
    <t>CONFESERCENTI REGIONALE PUGLIA  10 - RIEPILOGO SPESE</t>
  </si>
  <si>
    <t>Puglia in Rete</t>
  </si>
  <si>
    <t>Confesercenti Puglia</t>
  </si>
  <si>
    <t>Assegni  Bancari</t>
  </si>
  <si>
    <t>Consulenza attività 8 e 12</t>
  </si>
  <si>
    <t>Polizza fidejussoria</t>
  </si>
  <si>
    <t>Agenzia GESTASS sas</t>
  </si>
  <si>
    <t>Assegno Bancario</t>
  </si>
  <si>
    <t>Eventi S.r.l.</t>
  </si>
  <si>
    <t>Software Design s.r.l.</t>
  </si>
  <si>
    <t>Angarano Vincenzo(att.5), Intonti luigi(Att.5), Ippolito Giuseppe(att.5), Micunco Vito(Att.1)</t>
  </si>
  <si>
    <t>Lastilla Michele,  Scicutella Nicola Impegnati attività 1,2</t>
  </si>
  <si>
    <t>Web Design S.r.l.</t>
  </si>
  <si>
    <t>Casillo Mariadele, Intonti Pietro</t>
  </si>
  <si>
    <t>Iva Ammessa</t>
  </si>
  <si>
    <t>Totale costi ammessi</t>
  </si>
  <si>
    <t>Contributo iva</t>
  </si>
  <si>
    <t>TOT CONTR</t>
  </si>
  <si>
    <t>Spesa ammessa</t>
  </si>
  <si>
    <t>Iva ammessa</t>
  </si>
  <si>
    <t>TOT ammes</t>
  </si>
  <si>
    <t>Contrib. Costi</t>
  </si>
  <si>
    <t>Contrib. Iva</t>
  </si>
  <si>
    <t>13/09/2004 03/01/2005 17/01/2005</t>
  </si>
  <si>
    <t>CESCOT - Serafini Giuseppina</t>
  </si>
  <si>
    <t>Non ammesse tasse Assegno senza data.</t>
  </si>
  <si>
    <t>SAL 1 periodo 01/09/2004 - 30/04/2005</t>
  </si>
  <si>
    <t>II</t>
  </si>
  <si>
    <t>Consulenza attività 8b-8c</t>
  </si>
  <si>
    <t>Assegno  Bancario</t>
  </si>
  <si>
    <t>Scicutella Nicola</t>
  </si>
  <si>
    <t>MCM</t>
  </si>
  <si>
    <t>Megli Emanuela</t>
  </si>
  <si>
    <t>Intonti luigi, Ippolito Giuseppe, Micunco Vito, Morgese Raffaele</t>
  </si>
  <si>
    <t>Consulenze Spcialistiche</t>
  </si>
  <si>
    <t>SOLIN Soluzioni Informatiche di Attanasio Pierpaolo</t>
  </si>
  <si>
    <t>76/2005</t>
  </si>
  <si>
    <t>1 rata noleggio attrzzature</t>
  </si>
  <si>
    <t>2 rata noleggio attrzzature</t>
  </si>
  <si>
    <t>Sirianni Informatica S.r.l.</t>
  </si>
  <si>
    <t>Data fattura</t>
  </si>
  <si>
    <t>Bonifico Bancario</t>
  </si>
  <si>
    <t>Casillo Mariadele, Intonti Pietro,Casillo Francesco,Giovanni Nitti</t>
  </si>
  <si>
    <t>Produzione materiale  promozionale</t>
  </si>
  <si>
    <t>Futurgrafica Italia snc</t>
  </si>
  <si>
    <t>SAL 2 periodo 01/05/2005 - 07/11/2005</t>
  </si>
  <si>
    <t>III</t>
  </si>
  <si>
    <t>Manca  lettera di incarico o contratto di collaborazione con descrizione dettagliata della prestazione per i co.co.pro INTONTI e IPPOLITO</t>
  </si>
  <si>
    <t>Pointware - Lionetti Cosimo</t>
  </si>
  <si>
    <t>Manca liberatoria</t>
  </si>
  <si>
    <t>TOT SAL 3</t>
  </si>
  <si>
    <t>SAL 3</t>
  </si>
  <si>
    <t>SAL 3 periodo 01/11/2005 - 31/08/2006</t>
  </si>
  <si>
    <t>(Recupero su II sal) Si ammette max euro 180 lordi x 60gg lavorativi .</t>
  </si>
  <si>
    <t>(Recupero su I sal) Si ammette max euro 180 lordi x 46,31 gg lavorativi .</t>
  </si>
  <si>
    <t xml:space="preserve">Intonti luigi, Ippolito Giuseppe, Micunco Vito </t>
  </si>
  <si>
    <t>inizio</t>
  </si>
  <si>
    <t>fine</t>
  </si>
  <si>
    <t>CONTRIBUTO</t>
  </si>
  <si>
    <t>PREVISTO</t>
  </si>
  <si>
    <t>RESIDUO</t>
  </si>
  <si>
    <t>AMMESSO</t>
  </si>
  <si>
    <t>IVA Ammessa</t>
  </si>
  <si>
    <t>Totale ammesso</t>
  </si>
  <si>
    <t>IVA Contributo</t>
  </si>
  <si>
    <t>Totale Contributo</t>
  </si>
  <si>
    <t>Anticip. corrisposta</t>
  </si>
  <si>
    <t>Liquidazione s.a.l.</t>
  </si>
  <si>
    <t>Totale</t>
  </si>
  <si>
    <t>ATS</t>
  </si>
  <si>
    <t>IVA ESPOSTA</t>
  </si>
  <si>
    <t>Ritenuta d'acconto 4%</t>
  </si>
  <si>
    <t>ANTIMAFIA</t>
  </si>
  <si>
    <t>STATO DELLA DOCUMENTAZIONE TECNICA</t>
  </si>
  <si>
    <t>Relazione S.A.L. Quadrimestrale</t>
  </si>
  <si>
    <t>Rapporti Tecnici</t>
  </si>
  <si>
    <t>P.D.A.</t>
  </si>
  <si>
    <t>NOTE</t>
  </si>
  <si>
    <t>DATE</t>
  </si>
  <si>
    <t>ISTRUTTORI</t>
  </si>
  <si>
    <t>FIRME</t>
  </si>
  <si>
    <t>Michele Divella</t>
  </si>
  <si>
    <t>CONFESERCENTI REGIONALE PUGLIA  10</t>
  </si>
  <si>
    <t>SAL 1 - 01/09/2004 - 30/04/2005</t>
  </si>
  <si>
    <t>SAL 2 - 01/05/2005 - 07/11/2005</t>
  </si>
  <si>
    <t>SAL 3 - 01/11/2005 - 31/08/2006</t>
  </si>
  <si>
    <t>Consulenze specialistiche</t>
  </si>
  <si>
    <t>Mazzarano Vincenzo</t>
  </si>
  <si>
    <t>Pointware di Cosimo Lionetti</t>
  </si>
  <si>
    <t>3^ rata noleggio attrezzature</t>
  </si>
  <si>
    <t>Maxirata noleggio attrezzature</t>
  </si>
  <si>
    <t>Caliò Informatica S.r.l.</t>
  </si>
  <si>
    <t>2^ rata noleggio attrezzatura</t>
  </si>
  <si>
    <t>Sirianni Informatica Srl</t>
  </si>
  <si>
    <t>3^ rata noleggio attrezzatura</t>
  </si>
  <si>
    <t>Attività di consulenza</t>
  </si>
  <si>
    <t>CESCOT</t>
  </si>
  <si>
    <t>Si ammette max euro 180 lordi x 50 gg lavorativi di 8 ore.</t>
  </si>
  <si>
    <t>Si ammette max euro 180 lordi x 11,5 gg lavorativi . Manca dimostrazione di pagamento.</t>
  </si>
  <si>
    <t>Si ammette max euro 180 lordi x 23,9 gg lavorativi . Manca dimostrazione incasso ass.</t>
  </si>
  <si>
    <t>progetto di 30 + 6 + 9 mesi</t>
  </si>
  <si>
    <t>att.6</t>
  </si>
  <si>
    <t>IV</t>
  </si>
  <si>
    <t>Consulenze su Attività N. 10</t>
  </si>
  <si>
    <t>13/03/2007 19/04/2007</t>
  </si>
  <si>
    <t>Consulenze su Attività N. 15/B</t>
  </si>
  <si>
    <t>23/03/2007 09/05/2007 21/05/2007 31/05/2007</t>
  </si>
  <si>
    <t>Megli Emanuela, Scicutella Nicola</t>
  </si>
  <si>
    <t xml:space="preserve">Loiacono Valentina, Sayko P.Francesco, Micunco Vito </t>
  </si>
  <si>
    <t>Consulenza Attività N. 6/B</t>
  </si>
  <si>
    <t>4^ rata noleggio attrezzature</t>
  </si>
  <si>
    <t>Sirianni Informatica</t>
  </si>
  <si>
    <t>2^ rata noleggio attrezzature</t>
  </si>
  <si>
    <t>Progettazione grafica e stampa depliant e locandine</t>
  </si>
  <si>
    <t>Altech S.r.l.</t>
  </si>
  <si>
    <t>Cosulenza su Sotto-Attività N. 6/A e N. 8/C</t>
  </si>
  <si>
    <t>Comma 3 S.r.l.</t>
  </si>
  <si>
    <t>Consulenza su Sotto-Attività N. 7/C</t>
  </si>
  <si>
    <t>Kaone Consulting</t>
  </si>
  <si>
    <t>Consulenza su Sotto-Attività N. 8/C</t>
  </si>
  <si>
    <t>Tech Service</t>
  </si>
  <si>
    <t>Fornitura servizi di hosting e manutenzione della piattaforma web</t>
  </si>
  <si>
    <t>TOT SAL 4</t>
  </si>
  <si>
    <t>SAL 4 periodo 01/09/2006 - 31/05/2007</t>
  </si>
  <si>
    <t>SAL 4 - 01/09/2006 - 31/05/2007</t>
  </si>
  <si>
    <t>SAL 4</t>
  </si>
  <si>
    <t>VERIFICARE AMMISSIBILITA DOPO RIMODULAZIONE</t>
  </si>
  <si>
    <t>Manca dimostrazione del pagamento</t>
  </si>
  <si>
    <t>Manca la dimostrazione del pagamento</t>
  </si>
  <si>
    <t>VI° (maggio'06-agosto'06)+VII(sett.-dic'06)+VIII(gen-apr'07)+IX(mag-ago'07)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</si>
</sst>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"/>
    <numFmt numFmtId="171" formatCode="_-* #,##0.00_-;\-* #,##0.00_-;_-* &quot;-&quot;_-;_-@_-"/>
    <numFmt numFmtId="172" formatCode="#,##0.00_ ;\-#,##0.00\ "/>
    <numFmt numFmtId="173" formatCode="mmm\-yyyy"/>
    <numFmt numFmtId="174" formatCode="dd/mm/yy"/>
    <numFmt numFmtId="175" formatCode="[$-410]dddd\ d\ mmmm\ yyyy"/>
    <numFmt numFmtId="176" formatCode="#,##0.000"/>
    <numFmt numFmtId="177" formatCode="#,##0.0000"/>
    <numFmt numFmtId="178" formatCode="00000"/>
  </numFmts>
  <fonts count="21">
    <font>
      <sz val="10"/>
      <name val="Arial"/>
      <family val="0"/>
    </font>
    <font>
      <b/>
      <sz val="8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color indexed="8"/>
      <name val="Arial"/>
      <family val="2"/>
    </font>
    <font>
      <b/>
      <sz val="8"/>
      <color indexed="20"/>
      <name val="Arial"/>
      <family val="2"/>
    </font>
    <font>
      <b/>
      <sz val="8"/>
      <color indexed="6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8"/>
      <name val="Times New Roman"/>
      <family val="1"/>
    </font>
    <font>
      <sz val="8"/>
      <name val="Tahoma"/>
      <family val="2"/>
    </font>
    <font>
      <b/>
      <sz val="8"/>
      <name val="Tahoma"/>
      <family val="0"/>
    </font>
    <font>
      <b/>
      <sz val="10"/>
      <name val="Tahoma"/>
      <family val="2"/>
    </font>
    <font>
      <sz val="10"/>
      <name val="Tahoma"/>
      <family val="2"/>
    </font>
    <font>
      <sz val="8"/>
      <color indexed="8"/>
      <name val="Tahoma"/>
      <family val="2"/>
    </font>
    <font>
      <sz val="10"/>
      <color indexed="10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2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4" fontId="4" fillId="0" borderId="1" xfId="0" applyNumberFormat="1" applyFont="1" applyBorder="1" applyAlignment="1">
      <alignment/>
    </xf>
    <xf numFmtId="4" fontId="5" fillId="0" borderId="2" xfId="0" applyNumberFormat="1" applyFont="1" applyBorder="1" applyAlignment="1">
      <alignment/>
    </xf>
    <xf numFmtId="4" fontId="6" fillId="0" borderId="2" xfId="0" applyNumberFormat="1" applyFont="1" applyBorder="1" applyAlignment="1">
      <alignment/>
    </xf>
    <xf numFmtId="0" fontId="8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/>
    </xf>
    <xf numFmtId="14" fontId="3" fillId="0" borderId="2" xfId="0" applyNumberFormat="1" applyFont="1" applyBorder="1" applyAlignment="1">
      <alignment/>
    </xf>
    <xf numFmtId="14" fontId="3" fillId="0" borderId="2" xfId="0" applyNumberFormat="1" applyFont="1" applyBorder="1" applyAlignment="1">
      <alignment/>
    </xf>
    <xf numFmtId="4" fontId="3" fillId="0" borderId="2" xfId="0" applyNumberFormat="1" applyFont="1" applyBorder="1" applyAlignment="1">
      <alignment/>
    </xf>
    <xf numFmtId="0" fontId="5" fillId="0" borderId="2" xfId="0" applyFont="1" applyBorder="1" applyAlignment="1">
      <alignment/>
    </xf>
    <xf numFmtId="0" fontId="3" fillId="0" borderId="2" xfId="0" applyFont="1" applyBorder="1" applyAlignment="1">
      <alignment wrapText="1"/>
    </xf>
    <xf numFmtId="14" fontId="3" fillId="0" borderId="2" xfId="0" applyNumberFormat="1" applyFont="1" applyBorder="1" applyAlignment="1">
      <alignment wrapText="1"/>
    </xf>
    <xf numFmtId="0" fontId="3" fillId="0" borderId="2" xfId="0" applyFont="1" applyBorder="1" applyAlignment="1">
      <alignment horizontal="left" wrapText="1"/>
    </xf>
    <xf numFmtId="14" fontId="3" fillId="0" borderId="2" xfId="0" applyNumberFormat="1" applyFont="1" applyBorder="1" applyAlignment="1">
      <alignment horizontal="center"/>
    </xf>
    <xf numFmtId="14" fontId="3" fillId="0" borderId="2" xfId="0" applyNumberFormat="1" applyFont="1" applyBorder="1" applyAlignment="1">
      <alignment horizontal="center" wrapText="1"/>
    </xf>
    <xf numFmtId="14" fontId="3" fillId="0" borderId="2" xfId="0" applyNumberFormat="1" applyFont="1" applyBorder="1" applyAlignment="1">
      <alignment horizontal="right" wrapText="1"/>
    </xf>
    <xf numFmtId="170" fontId="3" fillId="0" borderId="2" xfId="0" applyNumberFormat="1" applyFont="1" applyBorder="1" applyAlignment="1">
      <alignment/>
    </xf>
    <xf numFmtId="0" fontId="3" fillId="2" borderId="2" xfId="0" applyFont="1" applyFill="1" applyBorder="1" applyAlignment="1">
      <alignment/>
    </xf>
    <xf numFmtId="0" fontId="3" fillId="2" borderId="2" xfId="0" applyFont="1" applyFill="1" applyBorder="1" applyAlignment="1">
      <alignment horizontal="center"/>
    </xf>
    <xf numFmtId="14" fontId="3" fillId="2" borderId="2" xfId="0" applyNumberFormat="1" applyFont="1" applyFill="1" applyBorder="1" applyAlignment="1">
      <alignment horizontal="center"/>
    </xf>
    <xf numFmtId="14" fontId="3" fillId="0" borderId="2" xfId="0" applyNumberFormat="1" applyFont="1" applyBorder="1" applyAlignment="1">
      <alignment horizontal="justify" wrapText="1"/>
    </xf>
    <xf numFmtId="171" fontId="3" fillId="2" borderId="2" xfId="18" applyNumberFormat="1" applyFont="1" applyFill="1" applyBorder="1" applyAlignment="1">
      <alignment horizontal="right"/>
    </xf>
    <xf numFmtId="171" fontId="3" fillId="0" borderId="2" xfId="18" applyNumberFormat="1" applyFont="1" applyBorder="1" applyAlignment="1">
      <alignment horizontal="right"/>
    </xf>
    <xf numFmtId="0" fontId="8" fillId="0" borderId="3" xfId="0" applyFont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/>
    </xf>
    <xf numFmtId="0" fontId="3" fillId="0" borderId="0" xfId="0" applyFont="1" applyBorder="1" applyAlignment="1">
      <alignment wrapText="1"/>
    </xf>
    <xf numFmtId="0" fontId="9" fillId="0" borderId="0" xfId="0" applyFont="1" applyBorder="1" applyAlignment="1">
      <alignment/>
    </xf>
    <xf numFmtId="4" fontId="3" fillId="0" borderId="2" xfId="0" applyNumberFormat="1" applyFont="1" applyFill="1" applyBorder="1" applyAlignment="1">
      <alignment/>
    </xf>
    <xf numFmtId="4" fontId="1" fillId="3" borderId="4" xfId="0" applyNumberFormat="1" applyFont="1" applyFill="1" applyBorder="1" applyAlignment="1">
      <alignment horizontal="center"/>
    </xf>
    <xf numFmtId="4" fontId="1" fillId="3" borderId="5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/>
    </xf>
    <xf numFmtId="4" fontId="9" fillId="0" borderId="6" xfId="0" applyNumberFormat="1" applyFont="1" applyBorder="1" applyAlignment="1">
      <alignment horizontal="left"/>
    </xf>
    <xf numFmtId="4" fontId="9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 horizontal="left"/>
    </xf>
    <xf numFmtId="14" fontId="9" fillId="0" borderId="0" xfId="0" applyNumberFormat="1" applyFont="1" applyBorder="1" applyAlignment="1">
      <alignment horizontal="left"/>
    </xf>
    <xf numFmtId="14" fontId="9" fillId="0" borderId="0" xfId="0" applyNumberFormat="1" applyFont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4" fontId="4" fillId="0" borderId="0" xfId="0" applyNumberFormat="1" applyFont="1" applyBorder="1" applyAlignment="1" applyProtection="1">
      <alignment horizontal="right"/>
      <protection/>
    </xf>
    <xf numFmtId="4" fontId="5" fillId="0" borderId="0" xfId="0" applyNumberFormat="1" applyFont="1" applyBorder="1" applyAlignment="1" applyProtection="1">
      <alignment horizontal="right"/>
      <protection/>
    </xf>
    <xf numFmtId="4" fontId="5" fillId="0" borderId="6" xfId="0" applyNumberFormat="1" applyFont="1" applyBorder="1" applyAlignment="1" applyProtection="1">
      <alignment horizontal="right"/>
      <protection/>
    </xf>
    <xf numFmtId="4" fontId="5" fillId="0" borderId="7" xfId="0" applyNumberFormat="1" applyFont="1" applyBorder="1" applyAlignment="1" applyProtection="1">
      <alignment horizontal="right"/>
      <protection/>
    </xf>
    <xf numFmtId="4" fontId="7" fillId="0" borderId="8" xfId="0" applyNumberFormat="1" applyFont="1" applyBorder="1" applyAlignment="1" applyProtection="1">
      <alignment horizontal="right"/>
      <protection/>
    </xf>
    <xf numFmtId="4" fontId="7" fillId="0" borderId="9" xfId="0" applyNumberFormat="1" applyFont="1" applyBorder="1" applyAlignment="1" applyProtection="1">
      <alignment horizontal="right"/>
      <protection/>
    </xf>
    <xf numFmtId="4" fontId="7" fillId="0" borderId="10" xfId="0" applyNumberFormat="1" applyFont="1" applyBorder="1" applyAlignment="1" applyProtection="1">
      <alignment horizontal="right"/>
      <protection/>
    </xf>
    <xf numFmtId="4" fontId="1" fillId="0" borderId="0" xfId="0" applyNumberFormat="1" applyFont="1" applyBorder="1" applyAlignment="1">
      <alignment horizontal="center"/>
    </xf>
    <xf numFmtId="4" fontId="6" fillId="0" borderId="5" xfId="0" applyNumberFormat="1" applyFont="1" applyBorder="1" applyAlignment="1">
      <alignment/>
    </xf>
    <xf numFmtId="0" fontId="7" fillId="0" borderId="0" xfId="0" applyFont="1" applyBorder="1" applyAlignment="1">
      <alignment/>
    </xf>
    <xf numFmtId="4" fontId="4" fillId="0" borderId="6" xfId="0" applyNumberFormat="1" applyFont="1" applyBorder="1" applyAlignment="1" applyProtection="1">
      <alignment horizontal="right"/>
      <protection/>
    </xf>
    <xf numFmtId="4" fontId="4" fillId="0" borderId="7" xfId="0" applyNumberFormat="1" applyFont="1" applyBorder="1" applyAlignment="1" applyProtection="1">
      <alignment horizontal="right"/>
      <protection/>
    </xf>
    <xf numFmtId="0" fontId="8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/>
    </xf>
    <xf numFmtId="4" fontId="9" fillId="0" borderId="2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4" fontId="5" fillId="0" borderId="12" xfId="0" applyNumberFormat="1" applyFont="1" applyBorder="1" applyAlignment="1" applyProtection="1">
      <alignment horizontal="right"/>
      <protection/>
    </xf>
    <xf numFmtId="4" fontId="5" fillId="0" borderId="13" xfId="0" applyNumberFormat="1" applyFont="1" applyBorder="1" applyAlignment="1" applyProtection="1">
      <alignment horizontal="right"/>
      <protection/>
    </xf>
    <xf numFmtId="43" fontId="3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14" fontId="2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 vertical="center" wrapText="1"/>
    </xf>
    <xf numFmtId="4" fontId="4" fillId="0" borderId="6" xfId="0" applyNumberFormat="1" applyFont="1" applyBorder="1" applyAlignment="1">
      <alignment horizontal="left"/>
    </xf>
    <xf numFmtId="4" fontId="4" fillId="0" borderId="14" xfId="0" applyNumberFormat="1" applyFont="1" applyBorder="1" applyAlignment="1">
      <alignment horizontal="right"/>
    </xf>
    <xf numFmtId="4" fontId="9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4" fontId="9" fillId="0" borderId="0" xfId="0" applyNumberFormat="1" applyFont="1" applyBorder="1" applyAlignment="1">
      <alignment/>
    </xf>
    <xf numFmtId="4" fontId="1" fillId="0" borderId="6" xfId="0" applyNumberFormat="1" applyFont="1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>
      <alignment horizontal="left" vertical="center" wrapText="1"/>
    </xf>
    <xf numFmtId="4" fontId="10" fillId="0" borderId="0" xfId="0" applyNumberFormat="1" applyFont="1" applyBorder="1" applyAlignment="1">
      <alignment/>
    </xf>
    <xf numFmtId="16" fontId="3" fillId="0" borderId="2" xfId="0" applyNumberFormat="1" applyFont="1" applyBorder="1" applyAlignment="1" quotePrefix="1">
      <alignment horizontal="center"/>
    </xf>
    <xf numFmtId="4" fontId="4" fillId="0" borderId="0" xfId="0" applyNumberFormat="1" applyFont="1" applyBorder="1" applyAlignment="1">
      <alignment horizontal="left"/>
    </xf>
    <xf numFmtId="4" fontId="3" fillId="0" borderId="2" xfId="0" applyNumberFormat="1" applyFont="1" applyBorder="1" applyAlignment="1">
      <alignment/>
    </xf>
    <xf numFmtId="4" fontId="4" fillId="0" borderId="0" xfId="0" applyNumberFormat="1" applyFont="1" applyFill="1" applyBorder="1" applyAlignment="1" applyProtection="1">
      <alignment vertical="top" wrapText="1"/>
      <protection locked="0"/>
    </xf>
    <xf numFmtId="1" fontId="3" fillId="0" borderId="2" xfId="0" applyNumberFormat="1" applyFont="1" applyBorder="1" applyAlignment="1" quotePrefix="1">
      <alignment wrapText="1"/>
    </xf>
    <xf numFmtId="4" fontId="4" fillId="0" borderId="0" xfId="0" applyNumberFormat="1" applyFont="1" applyBorder="1" applyAlignment="1">
      <alignment/>
    </xf>
    <xf numFmtId="4" fontId="5" fillId="0" borderId="5" xfId="0" applyNumberFormat="1" applyFont="1" applyBorder="1" applyAlignment="1">
      <alignment/>
    </xf>
    <xf numFmtId="9" fontId="9" fillId="0" borderId="0" xfId="0" applyNumberFormat="1" applyFont="1" applyBorder="1" applyAlignment="1">
      <alignment/>
    </xf>
    <xf numFmtId="0" fontId="3" fillId="0" borderId="2" xfId="0" applyFont="1" applyBorder="1" applyAlignment="1">
      <alignment horizontal="center" wrapText="1"/>
    </xf>
    <xf numFmtId="4" fontId="14" fillId="0" borderId="2" xfId="0" applyNumberFormat="1" applyFont="1" applyBorder="1" applyAlignment="1">
      <alignment/>
    </xf>
    <xf numFmtId="178" fontId="14" fillId="0" borderId="2" xfId="0" applyNumberFormat="1" applyFont="1" applyBorder="1" applyAlignment="1">
      <alignment wrapText="1"/>
    </xf>
    <xf numFmtId="0" fontId="14" fillId="0" borderId="2" xfId="0" applyFont="1" applyBorder="1" applyAlignment="1">
      <alignment horizontal="right"/>
    </xf>
    <xf numFmtId="14" fontId="14" fillId="0" borderId="2" xfId="0" applyNumberFormat="1" applyFont="1" applyBorder="1" applyAlignment="1">
      <alignment/>
    </xf>
    <xf numFmtId="14" fontId="14" fillId="0" borderId="2" xfId="0" applyNumberFormat="1" applyFont="1" applyBorder="1" applyAlignment="1">
      <alignment/>
    </xf>
    <xf numFmtId="4" fontId="14" fillId="0" borderId="2" xfId="0" applyNumberFormat="1" applyFont="1" applyBorder="1" applyAlignment="1">
      <alignment/>
    </xf>
    <xf numFmtId="0" fontId="14" fillId="0" borderId="2" xfId="0" applyFont="1" applyBorder="1" applyAlignment="1">
      <alignment wrapText="1"/>
    </xf>
    <xf numFmtId="0" fontId="14" fillId="0" borderId="2" xfId="0" applyFont="1" applyBorder="1" applyAlignment="1">
      <alignment/>
    </xf>
    <xf numFmtId="4" fontId="14" fillId="0" borderId="2" xfId="0" applyNumberFormat="1" applyFont="1" applyBorder="1" applyAlignment="1">
      <alignment wrapText="1"/>
    </xf>
    <xf numFmtId="4" fontId="9" fillId="0" borderId="2" xfId="0" applyNumberFormat="1" applyFont="1" applyFill="1" applyBorder="1" applyAlignment="1">
      <alignment/>
    </xf>
    <xf numFmtId="4" fontId="5" fillId="0" borderId="2" xfId="0" applyNumberFormat="1" applyFont="1" applyFill="1" applyBorder="1" applyAlignment="1">
      <alignment/>
    </xf>
    <xf numFmtId="4" fontId="7" fillId="0" borderId="2" xfId="0" applyNumberFormat="1" applyFont="1" applyFill="1" applyBorder="1" applyAlignment="1">
      <alignment/>
    </xf>
    <xf numFmtId="0" fontId="8" fillId="0" borderId="2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4" fontId="6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0" fontId="1" fillId="3" borderId="4" xfId="0" applyFont="1" applyFill="1" applyBorder="1" applyAlignment="1">
      <alignment horizontal="left"/>
    </xf>
    <xf numFmtId="0" fontId="3" fillId="3" borderId="0" xfId="0" applyFont="1" applyFill="1" applyBorder="1" applyAlignment="1">
      <alignment/>
    </xf>
    <xf numFmtId="0" fontId="9" fillId="4" borderId="0" xfId="0" applyFont="1" applyFill="1" applyBorder="1" applyAlignment="1">
      <alignment/>
    </xf>
    <xf numFmtId="9" fontId="9" fillId="0" borderId="14" xfId="0" applyNumberFormat="1" applyFont="1" applyBorder="1" applyAlignment="1">
      <alignment horizontal="right"/>
    </xf>
    <xf numFmtId="4" fontId="4" fillId="4" borderId="1" xfId="0" applyNumberFormat="1" applyFont="1" applyFill="1" applyBorder="1" applyAlignment="1" applyProtection="1">
      <alignment horizontal="right"/>
      <protection/>
    </xf>
    <xf numFmtId="4" fontId="5" fillId="4" borderId="4" xfId="0" applyNumberFormat="1" applyFont="1" applyFill="1" applyBorder="1" applyAlignment="1" applyProtection="1">
      <alignment horizontal="right"/>
      <protection/>
    </xf>
    <xf numFmtId="4" fontId="7" fillId="4" borderId="4" xfId="0" applyNumberFormat="1" applyFont="1" applyFill="1" applyBorder="1" applyAlignment="1" applyProtection="1">
      <alignment horizontal="right"/>
      <protection/>
    </xf>
    <xf numFmtId="0" fontId="8" fillId="4" borderId="2" xfId="0" applyFont="1" applyFill="1" applyBorder="1" applyAlignment="1">
      <alignment horizontal="center" vertical="center" wrapText="1"/>
    </xf>
    <xf numFmtId="4" fontId="3" fillId="4" borderId="2" xfId="0" applyNumberFormat="1" applyFont="1" applyFill="1" applyBorder="1" applyAlignment="1">
      <alignment/>
    </xf>
    <xf numFmtId="4" fontId="4" fillId="4" borderId="2" xfId="0" applyNumberFormat="1" applyFont="1" applyFill="1" applyBorder="1" applyAlignment="1" applyProtection="1">
      <alignment horizontal="right"/>
      <protection/>
    </xf>
    <xf numFmtId="4" fontId="5" fillId="4" borderId="2" xfId="0" applyNumberFormat="1" applyFont="1" applyFill="1" applyBorder="1" applyAlignment="1" applyProtection="1">
      <alignment horizontal="right"/>
      <protection/>
    </xf>
    <xf numFmtId="4" fontId="7" fillId="4" borderId="2" xfId="0" applyNumberFormat="1" applyFont="1" applyFill="1" applyBorder="1" applyAlignment="1" applyProtection="1">
      <alignment horizontal="right"/>
      <protection/>
    </xf>
    <xf numFmtId="4" fontId="14" fillId="4" borderId="2" xfId="0" applyNumberFormat="1" applyFont="1" applyFill="1" applyBorder="1" applyAlignment="1">
      <alignment/>
    </xf>
    <xf numFmtId="4" fontId="4" fillId="4" borderId="9" xfId="0" applyNumberFormat="1" applyFont="1" applyFill="1" applyBorder="1" applyAlignment="1" applyProtection="1">
      <alignment horizontal="right"/>
      <protection/>
    </xf>
    <xf numFmtId="170" fontId="3" fillId="4" borderId="2" xfId="0" applyNumberFormat="1" applyFont="1" applyFill="1" applyBorder="1" applyAlignment="1">
      <alignment/>
    </xf>
    <xf numFmtId="4" fontId="14" fillId="4" borderId="2" xfId="0" applyNumberFormat="1" applyFont="1" applyFill="1" applyBorder="1" applyAlignment="1">
      <alignment/>
    </xf>
    <xf numFmtId="171" fontId="3" fillId="4" borderId="2" xfId="18" applyNumberFormat="1" applyFont="1" applyFill="1" applyBorder="1" applyAlignment="1">
      <alignment horizontal="right"/>
    </xf>
    <xf numFmtId="0" fontId="8" fillId="4" borderId="3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/>
    </xf>
    <xf numFmtId="4" fontId="9" fillId="4" borderId="2" xfId="0" applyNumberFormat="1" applyFont="1" applyFill="1" applyBorder="1" applyAlignment="1">
      <alignment/>
    </xf>
    <xf numFmtId="0" fontId="1" fillId="4" borderId="4" xfId="0" applyFont="1" applyFill="1" applyBorder="1" applyAlignment="1">
      <alignment horizontal="center"/>
    </xf>
    <xf numFmtId="4" fontId="4" fillId="4" borderId="2" xfId="0" applyNumberFormat="1" applyFont="1" applyFill="1" applyBorder="1" applyAlignment="1">
      <alignment/>
    </xf>
    <xf numFmtId="4" fontId="5" fillId="4" borderId="2" xfId="0" applyNumberFormat="1" applyFont="1" applyFill="1" applyBorder="1" applyAlignment="1">
      <alignment/>
    </xf>
    <xf numFmtId="4" fontId="7" fillId="4" borderId="2" xfId="0" applyNumberFormat="1" applyFont="1" applyFill="1" applyBorder="1" applyAlignment="1">
      <alignment/>
    </xf>
    <xf numFmtId="4" fontId="5" fillId="4" borderId="5" xfId="0" applyNumberFormat="1" applyFont="1" applyFill="1" applyBorder="1" applyAlignment="1">
      <alignment/>
    </xf>
    <xf numFmtId="4" fontId="5" fillId="4" borderId="0" xfId="0" applyNumberFormat="1" applyFont="1" applyFill="1" applyBorder="1" applyAlignment="1">
      <alignment/>
    </xf>
    <xf numFmtId="0" fontId="1" fillId="0" borderId="2" xfId="0" applyFont="1" applyFill="1" applyBorder="1" applyAlignment="1">
      <alignment horizontal="center"/>
    </xf>
    <xf numFmtId="16" fontId="3" fillId="0" borderId="2" xfId="0" applyNumberFormat="1" applyFont="1" applyFill="1" applyBorder="1" applyAlignment="1" quotePrefix="1">
      <alignment horizontal="center"/>
    </xf>
    <xf numFmtId="0" fontId="3" fillId="0" borderId="2" xfId="0" applyFont="1" applyFill="1" applyBorder="1" applyAlignment="1">
      <alignment wrapText="1"/>
    </xf>
    <xf numFmtId="1" fontId="3" fillId="0" borderId="2" xfId="0" applyNumberFormat="1" applyFont="1" applyFill="1" applyBorder="1" applyAlignment="1" quotePrefix="1">
      <alignment wrapText="1"/>
    </xf>
    <xf numFmtId="14" fontId="3" fillId="0" borderId="2" xfId="0" applyNumberFormat="1" applyFont="1" applyFill="1" applyBorder="1" applyAlignment="1">
      <alignment/>
    </xf>
    <xf numFmtId="14" fontId="3" fillId="0" borderId="2" xfId="0" applyNumberFormat="1" applyFont="1" applyFill="1" applyBorder="1" applyAlignment="1">
      <alignment wrapText="1"/>
    </xf>
    <xf numFmtId="0" fontId="17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4" fontId="18" fillId="0" borderId="15" xfId="0" applyNumberFormat="1" applyFont="1" applyBorder="1" applyAlignment="1">
      <alignment/>
    </xf>
    <xf numFmtId="0" fontId="18" fillId="0" borderId="14" xfId="0" applyFont="1" applyBorder="1" applyAlignment="1">
      <alignment/>
    </xf>
    <xf numFmtId="4" fontId="18" fillId="0" borderId="14" xfId="0" applyNumberFormat="1" applyFont="1" applyBorder="1" applyAlignment="1">
      <alignment/>
    </xf>
    <xf numFmtId="0" fontId="18" fillId="0" borderId="16" xfId="0" applyFont="1" applyBorder="1" applyAlignment="1">
      <alignment/>
    </xf>
    <xf numFmtId="14" fontId="3" fillId="0" borderId="0" xfId="0" applyNumberFormat="1" applyFont="1" applyBorder="1" applyAlignment="1">
      <alignment/>
    </xf>
    <xf numFmtId="0" fontId="18" fillId="0" borderId="6" xfId="0" applyFont="1" applyBorder="1" applyAlignment="1">
      <alignment/>
    </xf>
    <xf numFmtId="0" fontId="18" fillId="0" borderId="0" xfId="0" applyFont="1" applyBorder="1" applyAlignment="1">
      <alignment/>
    </xf>
    <xf numFmtId="4" fontId="15" fillId="0" borderId="0" xfId="0" applyNumberFormat="1" applyFont="1" applyBorder="1" applyAlignment="1">
      <alignment/>
    </xf>
    <xf numFmtId="10" fontId="15" fillId="0" borderId="7" xfId="0" applyNumberFormat="1" applyFont="1" applyBorder="1" applyAlignment="1">
      <alignment/>
    </xf>
    <xf numFmtId="4" fontId="18" fillId="0" borderId="0" xfId="0" applyNumberFormat="1" applyFont="1" applyAlignment="1">
      <alignment/>
    </xf>
    <xf numFmtId="0" fontId="15" fillId="0" borderId="0" xfId="0" applyFont="1" applyAlignment="1">
      <alignment/>
    </xf>
    <xf numFmtId="0" fontId="18" fillId="0" borderId="8" xfId="0" applyFont="1" applyBorder="1" applyAlignment="1">
      <alignment/>
    </xf>
    <xf numFmtId="0" fontId="18" fillId="0" borderId="9" xfId="0" applyFont="1" applyBorder="1" applyAlignment="1">
      <alignment/>
    </xf>
    <xf numFmtId="4" fontId="15" fillId="0" borderId="9" xfId="0" applyNumberFormat="1" applyFont="1" applyBorder="1" applyAlignment="1">
      <alignment/>
    </xf>
    <xf numFmtId="10" fontId="15" fillId="0" borderId="10" xfId="0" applyNumberFormat="1" applyFont="1" applyBorder="1" applyAlignment="1">
      <alignment/>
    </xf>
    <xf numFmtId="9" fontId="18" fillId="0" borderId="0" xfId="0" applyNumberFormat="1" applyFont="1" applyAlignment="1">
      <alignment/>
    </xf>
    <xf numFmtId="0" fontId="18" fillId="0" borderId="0" xfId="0" applyFont="1" applyAlignment="1">
      <alignment horizontal="right"/>
    </xf>
    <xf numFmtId="0" fontId="18" fillId="0" borderId="15" xfId="0" applyFont="1" applyBorder="1" applyAlignment="1">
      <alignment/>
    </xf>
    <xf numFmtId="4" fontId="15" fillId="0" borderId="14" xfId="0" applyNumberFormat="1" applyFont="1" applyBorder="1" applyAlignment="1">
      <alignment/>
    </xf>
    <xf numFmtId="4" fontId="15" fillId="0" borderId="16" xfId="0" applyNumberFormat="1" applyFont="1" applyBorder="1" applyAlignment="1">
      <alignment/>
    </xf>
    <xf numFmtId="4" fontId="15" fillId="0" borderId="7" xfId="0" applyNumberFormat="1" applyFont="1" applyBorder="1" applyAlignment="1">
      <alignment/>
    </xf>
    <xf numFmtId="4" fontId="15" fillId="0" borderId="10" xfId="0" applyNumberFormat="1" applyFont="1" applyBorder="1" applyAlignment="1">
      <alignment/>
    </xf>
    <xf numFmtId="4" fontId="15" fillId="0" borderId="0" xfId="0" applyNumberFormat="1" applyFont="1" applyAlignment="1">
      <alignment/>
    </xf>
    <xf numFmtId="0" fontId="19" fillId="0" borderId="2" xfId="0" applyFont="1" applyBorder="1" applyAlignment="1">
      <alignment horizontal="center" vertical="center" wrapText="1"/>
    </xf>
    <xf numFmtId="0" fontId="19" fillId="4" borderId="2" xfId="0" applyFont="1" applyFill="1" applyBorder="1" applyAlignment="1">
      <alignment horizontal="center" vertical="center" wrapText="1"/>
    </xf>
    <xf numFmtId="4" fontId="16" fillId="0" borderId="0" xfId="0" applyNumberFormat="1" applyFont="1" applyAlignment="1">
      <alignment/>
    </xf>
    <xf numFmtId="10" fontId="18" fillId="0" borderId="0" xfId="0" applyNumberFormat="1" applyFont="1" applyAlignment="1">
      <alignment/>
    </xf>
    <xf numFmtId="0" fontId="18" fillId="0" borderId="2" xfId="0" applyFont="1" applyBorder="1" applyAlignment="1">
      <alignment horizontal="center" wrapText="1"/>
    </xf>
    <xf numFmtId="0" fontId="18" fillId="0" borderId="2" xfId="0" applyFont="1" applyBorder="1" applyAlignment="1">
      <alignment horizontal="center"/>
    </xf>
    <xf numFmtId="0" fontId="20" fillId="0" borderId="0" xfId="0" applyFont="1" applyAlignment="1">
      <alignment/>
    </xf>
    <xf numFmtId="0" fontId="18" fillId="0" borderId="0" xfId="0" applyFont="1" applyFill="1" applyAlignment="1">
      <alignment/>
    </xf>
    <xf numFmtId="0" fontId="2" fillId="0" borderId="17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17" xfId="0" applyFont="1" applyFill="1" applyBorder="1" applyAlignment="1">
      <alignment horizontal="left" wrapText="1"/>
    </xf>
    <xf numFmtId="0" fontId="3" fillId="0" borderId="5" xfId="0" applyFont="1" applyFill="1" applyBorder="1" applyAlignment="1">
      <alignment horizontal="left" wrapText="1"/>
    </xf>
    <xf numFmtId="0" fontId="3" fillId="0" borderId="5" xfId="0" applyFont="1" applyBorder="1" applyAlignment="1">
      <alignment horizontal="center" wrapText="1"/>
    </xf>
    <xf numFmtId="0" fontId="3" fillId="0" borderId="17" xfId="0" applyFont="1" applyFill="1" applyBorder="1" applyAlignment="1">
      <alignment horizontal="left" wrapText="1"/>
    </xf>
    <xf numFmtId="0" fontId="3" fillId="0" borderId="5" xfId="0" applyFont="1" applyFill="1" applyBorder="1" applyAlignment="1">
      <alignment horizontal="left" wrapText="1"/>
    </xf>
    <xf numFmtId="0" fontId="2" fillId="0" borderId="17" xfId="0" applyFont="1" applyBorder="1" applyAlignment="1">
      <alignment horizontal="center" wrapText="1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>
      <alignment horizontal="center"/>
    </xf>
    <xf numFmtId="0" fontId="18" fillId="0" borderId="17" xfId="0" applyFont="1" applyBorder="1" applyAlignment="1">
      <alignment horizontal="left"/>
    </xf>
    <xf numFmtId="0" fontId="18" fillId="0" borderId="4" xfId="0" applyFont="1" applyBorder="1" applyAlignment="1">
      <alignment horizontal="left"/>
    </xf>
    <xf numFmtId="0" fontId="18" fillId="0" borderId="5" xfId="0" applyFont="1" applyBorder="1" applyAlignment="1">
      <alignment horizontal="left"/>
    </xf>
    <xf numFmtId="0" fontId="17" fillId="0" borderId="14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8" fillId="0" borderId="2" xfId="0" applyFont="1" applyBorder="1" applyAlignment="1">
      <alignment horizontal="left"/>
    </xf>
    <xf numFmtId="0" fontId="15" fillId="0" borderId="17" xfId="0" applyFont="1" applyBorder="1" applyAlignment="1">
      <alignment horizontal="left" wrapText="1"/>
    </xf>
    <xf numFmtId="0" fontId="15" fillId="0" borderId="4" xfId="0" applyFont="1" applyBorder="1" applyAlignment="1">
      <alignment horizontal="left" wrapText="1"/>
    </xf>
    <xf numFmtId="0" fontId="15" fillId="0" borderId="5" xfId="0" applyFont="1" applyBorder="1" applyAlignment="1">
      <alignment horizontal="left" wrapText="1"/>
    </xf>
    <xf numFmtId="0" fontId="18" fillId="0" borderId="2" xfId="0" applyFont="1" applyBorder="1" applyAlignment="1">
      <alignment horizontal="center"/>
    </xf>
    <xf numFmtId="0" fontId="3" fillId="0" borderId="17" xfId="0" applyFont="1" applyBorder="1" applyAlignment="1">
      <alignment horizontal="center" wrapText="1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 applyProtection="1">
      <alignment horizontal="center" vertical="center" wrapText="1"/>
      <protection locked="0"/>
    </xf>
    <xf numFmtId="4" fontId="4" fillId="0" borderId="6" xfId="0" applyNumberFormat="1" applyFont="1" applyBorder="1" applyAlignment="1" applyProtection="1">
      <alignment horizontal="right"/>
      <protection/>
    </xf>
    <xf numFmtId="4" fontId="4" fillId="0" borderId="0" xfId="0" applyNumberFormat="1" applyFont="1" applyBorder="1" applyAlignment="1" applyProtection="1">
      <alignment horizontal="right"/>
      <protection/>
    </xf>
    <xf numFmtId="4" fontId="4" fillId="0" borderId="7" xfId="0" applyNumberFormat="1" applyFont="1" applyBorder="1" applyAlignment="1" applyProtection="1">
      <alignment horizontal="right"/>
      <protection/>
    </xf>
    <xf numFmtId="4" fontId="7" fillId="0" borderId="8" xfId="0" applyNumberFormat="1" applyFont="1" applyBorder="1" applyAlignment="1" applyProtection="1">
      <alignment horizontal="right"/>
      <protection/>
    </xf>
    <xf numFmtId="4" fontId="7" fillId="0" borderId="9" xfId="0" applyNumberFormat="1" applyFont="1" applyBorder="1" applyAlignment="1" applyProtection="1">
      <alignment horizontal="right"/>
      <protection/>
    </xf>
    <xf numFmtId="4" fontId="7" fillId="0" borderId="10" xfId="0" applyNumberFormat="1" applyFont="1" applyBorder="1" applyAlignment="1" applyProtection="1">
      <alignment horizontal="right"/>
      <protection/>
    </xf>
    <xf numFmtId="0" fontId="4" fillId="3" borderId="17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4" fontId="4" fillId="0" borderId="15" xfId="0" applyNumberFormat="1" applyFont="1" applyBorder="1" applyAlignment="1" applyProtection="1">
      <alignment horizontal="right"/>
      <protection/>
    </xf>
    <xf numFmtId="4" fontId="4" fillId="0" borderId="14" xfId="0" applyNumberFormat="1" applyFont="1" applyBorder="1" applyAlignment="1" applyProtection="1">
      <alignment horizontal="right"/>
      <protection/>
    </xf>
    <xf numFmtId="4" fontId="4" fillId="0" borderId="16" xfId="0" applyNumberFormat="1" applyFont="1" applyBorder="1" applyAlignment="1" applyProtection="1">
      <alignment horizontal="right"/>
      <protection/>
    </xf>
    <xf numFmtId="0" fontId="8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wrapText="1"/>
    </xf>
    <xf numFmtId="0" fontId="3" fillId="0" borderId="17" xfId="0" applyFont="1" applyBorder="1" applyAlignment="1">
      <alignment horizontal="left" wrapText="1"/>
    </xf>
    <xf numFmtId="0" fontId="3" fillId="0" borderId="5" xfId="0" applyFont="1" applyBorder="1" applyAlignment="1">
      <alignment horizontal="left" wrapText="1"/>
    </xf>
    <xf numFmtId="0" fontId="3" fillId="0" borderId="2" xfId="0" applyFont="1" applyBorder="1" applyAlignment="1">
      <alignment horizontal="center" wrapText="1"/>
    </xf>
    <xf numFmtId="0" fontId="13" fillId="0" borderId="17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4" fontId="4" fillId="0" borderId="14" xfId="0" applyNumberFormat="1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4" fillId="3" borderId="17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1" fillId="0" borderId="15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59"/>
  <sheetViews>
    <sheetView tabSelected="1" workbookViewId="0" topLeftCell="A4">
      <selection activeCell="G17" sqref="G17"/>
    </sheetView>
  </sheetViews>
  <sheetFormatPr defaultColWidth="9.140625" defaultRowHeight="12.75"/>
  <cols>
    <col min="1" max="1" width="9.140625" style="133" customWidth="1"/>
    <col min="2" max="2" width="9.7109375" style="133" customWidth="1"/>
    <col min="3" max="3" width="9.421875" style="133" customWidth="1"/>
    <col min="4" max="4" width="11.140625" style="133" customWidth="1"/>
    <col min="5" max="5" width="10.8515625" style="133" customWidth="1"/>
    <col min="6" max="6" width="10.57421875" style="133" customWidth="1"/>
    <col min="7" max="7" width="10.8515625" style="133" customWidth="1"/>
    <col min="8" max="8" width="8.421875" style="133" customWidth="1"/>
    <col min="9" max="9" width="11.28125" style="133" customWidth="1"/>
    <col min="10" max="10" width="10.140625" style="133" customWidth="1"/>
    <col min="11" max="11" width="10.00390625" style="133" customWidth="1"/>
    <col min="12" max="16384" width="9.140625" style="133" customWidth="1"/>
  </cols>
  <sheetData>
    <row r="2" spans="1:11" ht="12.75">
      <c r="A2" s="174" t="s">
        <v>122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</row>
    <row r="6" spans="1:10" ht="12.75">
      <c r="A6" s="134" t="s">
        <v>0</v>
      </c>
      <c r="B6" s="135"/>
      <c r="C6" s="135"/>
      <c r="D6" s="136" t="s">
        <v>41</v>
      </c>
      <c r="E6" s="137"/>
      <c r="I6" s="133" t="s">
        <v>96</v>
      </c>
      <c r="J6" s="138">
        <v>38231</v>
      </c>
    </row>
    <row r="7" spans="1:10" ht="12.75">
      <c r="A7" s="139" t="s">
        <v>34</v>
      </c>
      <c r="B7" s="140"/>
      <c r="C7" s="140"/>
      <c r="D7" s="141">
        <f>+Complessivo!G2</f>
        <v>719530.02</v>
      </c>
      <c r="E7" s="142">
        <f>+Complessivo!H2</f>
        <v>0</v>
      </c>
      <c r="G7" s="143"/>
      <c r="I7" s="133" t="s">
        <v>97</v>
      </c>
      <c r="J7" s="138">
        <v>39600</v>
      </c>
    </row>
    <row r="8" spans="1:9" ht="12.75">
      <c r="A8" s="139" t="s">
        <v>35</v>
      </c>
      <c r="B8" s="140"/>
      <c r="C8" s="140"/>
      <c r="D8" s="141">
        <f>+Complessivo!G3</f>
        <v>467694.5</v>
      </c>
      <c r="E8" s="142">
        <f>+Complessivo!H3</f>
        <v>0.5852039025474963</v>
      </c>
      <c r="I8" s="144" t="s">
        <v>140</v>
      </c>
    </row>
    <row r="9" spans="1:5" ht="12.75">
      <c r="A9" s="139" t="s">
        <v>36</v>
      </c>
      <c r="B9" s="140"/>
      <c r="C9" s="140"/>
      <c r="D9" s="141">
        <f>+Complessivo!G4</f>
        <v>93538.9</v>
      </c>
      <c r="E9" s="142">
        <f>+Complessivo!H4</f>
        <v>0</v>
      </c>
    </row>
    <row r="10" spans="1:10" ht="12.75">
      <c r="A10" s="145" t="s">
        <v>37</v>
      </c>
      <c r="B10" s="146"/>
      <c r="C10" s="146"/>
      <c r="D10" s="147">
        <f>+Complessivo!G5</f>
        <v>561233.4</v>
      </c>
      <c r="E10" s="148">
        <f>+Complessivo!H5</f>
        <v>0.48766991878958027</v>
      </c>
      <c r="I10" s="144" t="s">
        <v>98</v>
      </c>
      <c r="J10" s="149">
        <v>0.65</v>
      </c>
    </row>
    <row r="12" spans="4:6" ht="12.75">
      <c r="D12" s="150" t="s">
        <v>99</v>
      </c>
      <c r="E12" s="150" t="s">
        <v>100</v>
      </c>
      <c r="F12" s="150" t="s">
        <v>101</v>
      </c>
    </row>
    <row r="13" spans="1:6" ht="12.75">
      <c r="A13" s="151" t="s">
        <v>6</v>
      </c>
      <c r="B13" s="135"/>
      <c r="C13" s="135"/>
      <c r="D13" s="152">
        <f>+Complessivo!M10</f>
        <v>341650.98</v>
      </c>
      <c r="E13" s="153">
        <f>+Complessivo!M15</f>
        <v>56437.81999999995</v>
      </c>
      <c r="F13" s="141">
        <f>+D13-E13</f>
        <v>285213.16000000003</v>
      </c>
    </row>
    <row r="14" spans="1:6" ht="12.75">
      <c r="A14" s="139" t="s">
        <v>7</v>
      </c>
      <c r="B14" s="140"/>
      <c r="C14" s="140"/>
      <c r="D14" s="141">
        <f>+Complessivo!M33</f>
        <v>207131.4</v>
      </c>
      <c r="E14" s="154">
        <f>+Complessivo!M38</f>
        <v>99247.796</v>
      </c>
      <c r="F14" s="141">
        <f aca="true" t="shared" si="0" ref="F14:F19">+D14-E14</f>
        <v>107883.60399999999</v>
      </c>
    </row>
    <row r="15" spans="1:8" ht="12.75">
      <c r="A15" s="139" t="s">
        <v>1</v>
      </c>
      <c r="B15" s="140"/>
      <c r="C15" s="140"/>
      <c r="D15" s="141">
        <f>+Complessivo!M62</f>
        <v>0</v>
      </c>
      <c r="E15" s="154">
        <f>+Complessivo!M67</f>
        <v>0</v>
      </c>
      <c r="F15" s="141">
        <f t="shared" si="0"/>
        <v>0</v>
      </c>
      <c r="G15" s="164"/>
      <c r="H15" s="163"/>
    </row>
    <row r="16" spans="1:6" ht="12.75">
      <c r="A16" s="139" t="s">
        <v>8</v>
      </c>
      <c r="B16" s="140"/>
      <c r="C16" s="140"/>
      <c r="D16" s="141">
        <f>+Complessivo!M73</f>
        <v>720</v>
      </c>
      <c r="E16" s="154">
        <f>+Complessivo!M78</f>
        <v>720</v>
      </c>
      <c r="F16" s="141">
        <f t="shared" si="0"/>
        <v>0</v>
      </c>
    </row>
    <row r="17" spans="1:6" ht="12.75">
      <c r="A17" s="139" t="s">
        <v>23</v>
      </c>
      <c r="B17" s="140"/>
      <c r="C17" s="140"/>
      <c r="D17" s="141">
        <f>+Complessivo!M84</f>
        <v>15433.16</v>
      </c>
      <c r="E17" s="154">
        <f>+Complessivo!M89</f>
        <v>-3566.84</v>
      </c>
      <c r="F17" s="141">
        <f t="shared" si="0"/>
        <v>19000</v>
      </c>
    </row>
    <row r="18" spans="1:6" ht="12.75">
      <c r="A18" s="139" t="s">
        <v>9</v>
      </c>
      <c r="B18" s="140"/>
      <c r="C18" s="140"/>
      <c r="D18" s="141">
        <f>+Complessivo!M110</f>
        <v>12000</v>
      </c>
      <c r="E18" s="154">
        <f>+Complessivo!M115</f>
        <v>12000</v>
      </c>
      <c r="F18" s="141">
        <f t="shared" si="0"/>
        <v>0</v>
      </c>
    </row>
    <row r="19" spans="1:6" ht="12.75">
      <c r="A19" s="145" t="s">
        <v>10</v>
      </c>
      <c r="B19" s="146"/>
      <c r="C19" s="146"/>
      <c r="D19" s="147">
        <f>+Complessivo!M123</f>
        <v>142594.48</v>
      </c>
      <c r="E19" s="155">
        <f>+Complessivo!M128</f>
        <v>133619.48</v>
      </c>
      <c r="F19" s="141">
        <f t="shared" si="0"/>
        <v>8975</v>
      </c>
    </row>
    <row r="20" spans="4:6" ht="12.75">
      <c r="D20" s="156">
        <f>SUM(D13:D19)</f>
        <v>719530.02</v>
      </c>
      <c r="E20" s="156">
        <f>SUM(E13:E19)</f>
        <v>298458.25599999994</v>
      </c>
      <c r="F20" s="156">
        <f>SUM(F13:F19)</f>
        <v>421071.764</v>
      </c>
    </row>
    <row r="22" spans="4:11" ht="21">
      <c r="D22" s="157" t="s">
        <v>21</v>
      </c>
      <c r="E22" s="157" t="s">
        <v>102</v>
      </c>
      <c r="F22" s="158" t="s">
        <v>103</v>
      </c>
      <c r="G22" s="157" t="s">
        <v>22</v>
      </c>
      <c r="H22" s="157" t="s">
        <v>104</v>
      </c>
      <c r="I22" s="158" t="s">
        <v>105</v>
      </c>
      <c r="J22" s="157" t="s">
        <v>106</v>
      </c>
      <c r="K22" s="157" t="s">
        <v>107</v>
      </c>
    </row>
    <row r="23" spans="1:11" ht="12.75">
      <c r="A23" s="133" t="s">
        <v>108</v>
      </c>
      <c r="D23" s="156">
        <f>+Complessivo!M2</f>
        <v>421071.76399999997</v>
      </c>
      <c r="E23" s="156">
        <f>+Complessivo!N2</f>
        <v>0</v>
      </c>
      <c r="F23" s="156">
        <f>+Complessivo!O2</f>
        <v>421071.76399999997</v>
      </c>
      <c r="G23" s="156">
        <f>+Complessivo!P2</f>
        <v>273696.64660000004</v>
      </c>
      <c r="H23" s="156">
        <f>+Complessivo!Q2</f>
        <v>0</v>
      </c>
      <c r="I23" s="156">
        <f>+Complessivo!R2</f>
        <v>273696.64660000004</v>
      </c>
      <c r="J23" s="156">
        <f>+Complessivo!S2</f>
        <v>102636.242475</v>
      </c>
      <c r="K23" s="156">
        <f>+Complessivo!T2</f>
        <v>171060.404125</v>
      </c>
    </row>
    <row r="24" spans="1:12" ht="12.75">
      <c r="A24" s="143" t="s">
        <v>123</v>
      </c>
      <c r="B24" s="143"/>
      <c r="D24" s="156">
        <f>+Complessivo!M3</f>
        <v>49021.64</v>
      </c>
      <c r="E24" s="156">
        <f>+Complessivo!N3</f>
        <v>1667.25</v>
      </c>
      <c r="F24" s="156">
        <f>+Complessivo!O3</f>
        <v>50688.89</v>
      </c>
      <c r="G24" s="156">
        <f>+Complessivo!P3</f>
        <v>31864.066</v>
      </c>
      <c r="H24" s="156">
        <f>+Complessivo!Q3</f>
        <v>1083.7125</v>
      </c>
      <c r="I24" s="156">
        <f>+Complessivo!R3</f>
        <v>32947.7785</v>
      </c>
      <c r="J24" s="156">
        <f>+Complessivo!S3</f>
        <v>12355.4169375</v>
      </c>
      <c r="K24" s="156">
        <f>+Complessivo!T3</f>
        <v>20592.3615625</v>
      </c>
      <c r="L24" s="143"/>
    </row>
    <row r="25" spans="1:12" ht="12.75">
      <c r="A25" s="143" t="s">
        <v>124</v>
      </c>
      <c r="B25" s="156"/>
      <c r="D25" s="156">
        <f>+Complessivo!M4</f>
        <v>165209.61000000002</v>
      </c>
      <c r="E25" s="156">
        <f>+Complessivo!N4</f>
        <v>2160</v>
      </c>
      <c r="F25" s="156">
        <f>+Complessivo!O4</f>
        <v>167369.61000000002</v>
      </c>
      <c r="G25" s="156">
        <f>+Complessivo!P4</f>
        <v>107386.24650000001</v>
      </c>
      <c r="H25" s="156">
        <f>+Complessivo!Q4</f>
        <v>1404</v>
      </c>
      <c r="I25" s="156">
        <f>+Complessivo!R4</f>
        <v>108790.24650000001</v>
      </c>
      <c r="J25" s="156">
        <f>+Complessivo!S4</f>
        <v>40796.3424375</v>
      </c>
      <c r="K25" s="156">
        <f>+Complessivo!T4</f>
        <v>67993.9040625</v>
      </c>
      <c r="L25" s="143"/>
    </row>
    <row r="26" spans="1:12" ht="12.75">
      <c r="A26" s="143" t="s">
        <v>125</v>
      </c>
      <c r="B26" s="156"/>
      <c r="D26" s="156">
        <f>+Complessivo!M5</f>
        <v>107333.99</v>
      </c>
      <c r="E26" s="156">
        <f>+Complessivo!N5</f>
        <v>-3827.25</v>
      </c>
      <c r="F26" s="156">
        <f>+Complessivo!O5</f>
        <v>103506.74</v>
      </c>
      <c r="G26" s="156">
        <f>+Complessivo!P5</f>
        <v>69767.0935</v>
      </c>
      <c r="H26" s="156">
        <f>+Complessivo!Q5</f>
        <v>-2487.7125</v>
      </c>
      <c r="I26" s="156">
        <f>+Complessivo!R5</f>
        <v>67279.381</v>
      </c>
      <c r="J26" s="156">
        <f>+Complessivo!S5</f>
        <v>25229.767874999998</v>
      </c>
      <c r="K26" s="156">
        <f>+Complessivo!T5</f>
        <v>42049.613125</v>
      </c>
      <c r="L26" s="143"/>
    </row>
    <row r="27" spans="1:12" ht="12.75">
      <c r="A27" s="143" t="s">
        <v>164</v>
      </c>
      <c r="B27" s="156"/>
      <c r="D27" s="156">
        <f>+Complessivo!M6</f>
        <v>99506.524</v>
      </c>
      <c r="E27" s="156">
        <f>+Complessivo!N6</f>
        <v>0</v>
      </c>
      <c r="F27" s="159">
        <f>+Complessivo!O6</f>
        <v>99506.524</v>
      </c>
      <c r="G27" s="156">
        <f>+Complessivo!P6</f>
        <v>64679.2406</v>
      </c>
      <c r="H27" s="156">
        <f>+Complessivo!Q6</f>
        <v>0</v>
      </c>
      <c r="I27" s="159">
        <f>+Complessivo!R6</f>
        <v>64679.2406</v>
      </c>
      <c r="J27" s="156">
        <f>+Complessivo!S6</f>
        <v>24254.715225</v>
      </c>
      <c r="K27" s="159">
        <f>+Complessivo!T6</f>
        <v>40424.525375</v>
      </c>
      <c r="L27" s="143"/>
    </row>
    <row r="28" ht="12.75">
      <c r="E28" s="160"/>
    </row>
    <row r="29" ht="12.75">
      <c r="E29" s="160"/>
    </row>
    <row r="30" spans="1:11" ht="38.25">
      <c r="A30" s="175" t="s">
        <v>109</v>
      </c>
      <c r="B30" s="176"/>
      <c r="C30" s="176"/>
      <c r="D30" s="176"/>
      <c r="E30" s="176"/>
      <c r="F30" s="176"/>
      <c r="G30" s="176"/>
      <c r="H30" s="177"/>
      <c r="I30" s="161" t="s">
        <v>110</v>
      </c>
      <c r="J30" s="161" t="s">
        <v>111</v>
      </c>
      <c r="K30" s="162" t="s">
        <v>112</v>
      </c>
    </row>
    <row r="31" spans="1:11" ht="12.75">
      <c r="A31" s="140" t="s">
        <v>42</v>
      </c>
      <c r="B31" s="140"/>
      <c r="C31" s="140"/>
      <c r="D31" s="140"/>
      <c r="E31" s="140"/>
      <c r="F31" s="140"/>
      <c r="G31" s="140"/>
      <c r="H31" s="140"/>
      <c r="I31" s="132"/>
      <c r="J31" s="178"/>
      <c r="K31" s="140"/>
    </row>
    <row r="32" spans="1:11" ht="12.75">
      <c r="A32" s="140" t="s">
        <v>48</v>
      </c>
      <c r="B32" s="140"/>
      <c r="C32" s="140"/>
      <c r="D32" s="140"/>
      <c r="E32" s="140"/>
      <c r="F32" s="140"/>
      <c r="G32" s="140"/>
      <c r="H32" s="140"/>
      <c r="I32" s="132"/>
      <c r="J32" s="179"/>
      <c r="K32" s="140"/>
    </row>
    <row r="33" spans="1:11" ht="12.75">
      <c r="A33" s="140" t="s">
        <v>49</v>
      </c>
      <c r="B33" s="140"/>
      <c r="C33" s="140"/>
      <c r="D33" s="140"/>
      <c r="E33" s="140"/>
      <c r="F33" s="140"/>
      <c r="G33" s="140"/>
      <c r="H33" s="140"/>
      <c r="I33" s="132"/>
      <c r="J33" s="179"/>
      <c r="K33" s="140"/>
    </row>
    <row r="34" spans="1:11" ht="12.75">
      <c r="A34" s="140" t="s">
        <v>52</v>
      </c>
      <c r="B34" s="140"/>
      <c r="C34" s="140"/>
      <c r="D34" s="140"/>
      <c r="E34" s="140"/>
      <c r="F34" s="140"/>
      <c r="G34" s="140"/>
      <c r="H34" s="140"/>
      <c r="I34" s="132"/>
      <c r="J34" s="179"/>
      <c r="K34" s="140"/>
    </row>
    <row r="35" spans="1:11" ht="12.75">
      <c r="A35" s="140" t="s">
        <v>71</v>
      </c>
      <c r="B35" s="140"/>
      <c r="C35" s="140"/>
      <c r="D35" s="140"/>
      <c r="E35" s="140"/>
      <c r="F35" s="140"/>
      <c r="G35" s="140"/>
      <c r="H35" s="140"/>
      <c r="I35" s="132"/>
      <c r="J35" s="179"/>
      <c r="K35" s="140"/>
    </row>
    <row r="36" spans="1:11" ht="12.75">
      <c r="A36" s="140"/>
      <c r="B36" s="140"/>
      <c r="C36" s="140"/>
      <c r="D36" s="140"/>
      <c r="E36" s="140"/>
      <c r="F36" s="140"/>
      <c r="G36" s="140"/>
      <c r="H36" s="140"/>
      <c r="I36" s="132"/>
      <c r="J36" s="179"/>
      <c r="K36" s="140"/>
    </row>
    <row r="37" spans="1:11" ht="12.75">
      <c r="A37" s="140"/>
      <c r="B37" s="140"/>
      <c r="C37" s="140"/>
      <c r="D37" s="140"/>
      <c r="E37" s="140"/>
      <c r="F37" s="140"/>
      <c r="G37" s="140"/>
      <c r="H37" s="140"/>
      <c r="I37" s="132"/>
      <c r="J37" s="179"/>
      <c r="K37" s="140"/>
    </row>
    <row r="38" spans="1:11" ht="12.75">
      <c r="A38" s="140"/>
      <c r="B38" s="140"/>
      <c r="C38" s="140"/>
      <c r="D38" s="140"/>
      <c r="E38" s="140"/>
      <c r="F38" s="140"/>
      <c r="G38" s="140"/>
      <c r="H38" s="140"/>
      <c r="I38" s="132"/>
      <c r="J38" s="179"/>
      <c r="K38" s="140"/>
    </row>
    <row r="39" ht="12.75">
      <c r="E39" s="160"/>
    </row>
    <row r="40" spans="1:11" ht="12.75">
      <c r="A40" s="180" t="s">
        <v>113</v>
      </c>
      <c r="B40" s="180"/>
      <c r="C40" s="180"/>
      <c r="D40" s="180"/>
      <c r="E40" s="180"/>
      <c r="F40" s="180"/>
      <c r="G40" s="180"/>
      <c r="H40" s="180"/>
      <c r="I40" s="180"/>
      <c r="J40" s="180"/>
      <c r="K40" s="180"/>
    </row>
    <row r="43" spans="1:11" ht="23.25" customHeight="1">
      <c r="A43" s="181" t="s">
        <v>114</v>
      </c>
      <c r="B43" s="181"/>
      <c r="C43" s="181"/>
      <c r="D43" s="181"/>
      <c r="E43" s="181"/>
      <c r="F43" s="181"/>
      <c r="G43" s="182" t="s">
        <v>169</v>
      </c>
      <c r="H43" s="183"/>
      <c r="I43" s="183"/>
      <c r="J43" s="183"/>
      <c r="K43" s="184"/>
    </row>
    <row r="44" spans="1:11" ht="25.5" customHeight="1">
      <c r="A44" s="181" t="s">
        <v>115</v>
      </c>
      <c r="B44" s="181"/>
      <c r="C44" s="181"/>
      <c r="D44" s="181"/>
      <c r="E44" s="181"/>
      <c r="F44" s="181"/>
      <c r="G44" s="175" t="s">
        <v>141</v>
      </c>
      <c r="H44" s="176"/>
      <c r="I44" s="176"/>
      <c r="J44" s="176"/>
      <c r="K44" s="177"/>
    </row>
    <row r="45" spans="1:11" ht="23.25" customHeight="1">
      <c r="A45" s="181" t="s">
        <v>116</v>
      </c>
      <c r="B45" s="181"/>
      <c r="C45" s="181"/>
      <c r="D45" s="181"/>
      <c r="E45" s="181"/>
      <c r="F45" s="181"/>
      <c r="G45" s="175"/>
      <c r="H45" s="176"/>
      <c r="I45" s="176"/>
      <c r="J45" s="176"/>
      <c r="K45" s="177"/>
    </row>
    <row r="46" ht="26.25" customHeight="1">
      <c r="A46" s="133" t="s">
        <v>117</v>
      </c>
    </row>
    <row r="47" spans="1:11" ht="12.75">
      <c r="A47" s="146"/>
      <c r="B47" s="146"/>
      <c r="C47" s="146"/>
      <c r="D47" s="146"/>
      <c r="E47" s="146"/>
      <c r="F47" s="146"/>
      <c r="G47" s="146"/>
      <c r="H47" s="146"/>
      <c r="I47" s="146"/>
      <c r="J47" s="146"/>
      <c r="K47" s="146"/>
    </row>
    <row r="48" spans="1:11" ht="24.75" customHeight="1">
      <c r="A48" s="146"/>
      <c r="B48" s="146"/>
      <c r="C48" s="146"/>
      <c r="D48" s="146"/>
      <c r="E48" s="146"/>
      <c r="F48" s="146"/>
      <c r="G48" s="146"/>
      <c r="H48" s="146"/>
      <c r="I48" s="146"/>
      <c r="J48" s="146"/>
      <c r="K48" s="146"/>
    </row>
    <row r="49" spans="1:11" ht="24.75" customHeight="1">
      <c r="A49" s="146"/>
      <c r="B49" s="146"/>
      <c r="C49" s="146"/>
      <c r="D49" s="146"/>
      <c r="E49" s="146"/>
      <c r="F49" s="146"/>
      <c r="G49" s="146"/>
      <c r="H49" s="146"/>
      <c r="I49" s="146"/>
      <c r="J49" s="146"/>
      <c r="K49" s="146"/>
    </row>
    <row r="50" spans="1:11" ht="24.75" customHeight="1">
      <c r="A50" s="146"/>
      <c r="B50" s="146"/>
      <c r="C50" s="146"/>
      <c r="D50" s="146"/>
      <c r="E50" s="146"/>
      <c r="F50" s="146"/>
      <c r="G50" s="146"/>
      <c r="H50" s="146"/>
      <c r="I50" s="146"/>
      <c r="J50" s="146"/>
      <c r="K50" s="146"/>
    </row>
    <row r="51" spans="1:11" ht="24.75" customHeight="1">
      <c r="A51" s="146"/>
      <c r="B51" s="146"/>
      <c r="C51" s="146"/>
      <c r="D51" s="146"/>
      <c r="E51" s="146"/>
      <c r="F51" s="146"/>
      <c r="G51" s="146"/>
      <c r="H51" s="146"/>
      <c r="I51" s="146"/>
      <c r="J51" s="146"/>
      <c r="K51" s="146"/>
    </row>
    <row r="52" spans="1:11" ht="12.75">
      <c r="A52" s="140"/>
      <c r="B52" s="140"/>
      <c r="C52" s="140"/>
      <c r="D52" s="140"/>
      <c r="E52" s="140"/>
      <c r="F52" s="140"/>
      <c r="G52" s="140"/>
      <c r="H52" s="140"/>
      <c r="I52" s="140"/>
      <c r="J52" s="140"/>
      <c r="K52" s="140"/>
    </row>
    <row r="53" spans="1:11" ht="12.75">
      <c r="A53" s="140"/>
      <c r="B53" s="140"/>
      <c r="C53" s="140"/>
      <c r="D53" s="140"/>
      <c r="E53" s="140"/>
      <c r="F53" s="140"/>
      <c r="G53" s="140"/>
      <c r="H53" s="140"/>
      <c r="I53" s="140"/>
      <c r="J53" s="140"/>
      <c r="K53" s="140"/>
    </row>
    <row r="54" spans="1:11" ht="12.75">
      <c r="A54" s="140"/>
      <c r="B54" s="140"/>
      <c r="C54" s="140"/>
      <c r="D54" s="140"/>
      <c r="E54" s="140"/>
      <c r="F54" s="140"/>
      <c r="G54" s="140"/>
      <c r="H54" s="140"/>
      <c r="I54" s="140"/>
      <c r="J54" s="140"/>
      <c r="K54" s="140"/>
    </row>
    <row r="56" spans="1:9" ht="12.75">
      <c r="A56" s="185" t="s">
        <v>118</v>
      </c>
      <c r="B56" s="185"/>
      <c r="C56" s="185"/>
      <c r="D56" s="185" t="s">
        <v>119</v>
      </c>
      <c r="E56" s="185"/>
      <c r="F56" s="185"/>
      <c r="G56" s="185" t="s">
        <v>120</v>
      </c>
      <c r="H56" s="185"/>
      <c r="I56" s="185"/>
    </row>
    <row r="57" spans="1:9" ht="23.25" customHeight="1">
      <c r="A57" s="185"/>
      <c r="B57" s="185"/>
      <c r="C57" s="185"/>
      <c r="D57" s="175" t="s">
        <v>121</v>
      </c>
      <c r="E57" s="176"/>
      <c r="F57" s="177"/>
      <c r="G57" s="185"/>
      <c r="H57" s="185"/>
      <c r="I57" s="185"/>
    </row>
    <row r="58" spans="1:9" ht="23.25" customHeight="1">
      <c r="A58" s="185"/>
      <c r="B58" s="185"/>
      <c r="C58" s="185"/>
      <c r="D58" s="185"/>
      <c r="E58" s="185"/>
      <c r="F58" s="185"/>
      <c r="G58" s="185"/>
      <c r="H58" s="185"/>
      <c r="I58" s="185"/>
    </row>
    <row r="59" spans="1:9" ht="23.25" customHeight="1">
      <c r="A59" s="185"/>
      <c r="B59" s="185"/>
      <c r="C59" s="185"/>
      <c r="D59" s="185"/>
      <c r="E59" s="185"/>
      <c r="F59" s="185"/>
      <c r="G59" s="185"/>
      <c r="H59" s="185"/>
      <c r="I59" s="185"/>
    </row>
  </sheetData>
  <mergeCells count="22">
    <mergeCell ref="A59:C59"/>
    <mergeCell ref="D59:F59"/>
    <mergeCell ref="G59:I59"/>
    <mergeCell ref="A57:C57"/>
    <mergeCell ref="D57:F57"/>
    <mergeCell ref="G57:I57"/>
    <mergeCell ref="A58:C58"/>
    <mergeCell ref="D58:F58"/>
    <mergeCell ref="G58:I58"/>
    <mergeCell ref="A45:F45"/>
    <mergeCell ref="G45:K45"/>
    <mergeCell ref="A56:C56"/>
    <mergeCell ref="D56:F56"/>
    <mergeCell ref="G56:I56"/>
    <mergeCell ref="A43:F43"/>
    <mergeCell ref="G43:K43"/>
    <mergeCell ref="A44:F44"/>
    <mergeCell ref="G44:K44"/>
    <mergeCell ref="A2:K2"/>
    <mergeCell ref="A30:H30"/>
    <mergeCell ref="J31:J38"/>
    <mergeCell ref="A40:K40"/>
  </mergeCells>
  <printOptions/>
  <pageMargins left="0.75" right="0.75" top="1" bottom="1" header="0.5" footer="0.5"/>
  <pageSetup fitToHeight="1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43"/>
  <sheetViews>
    <sheetView showGridLines="0" showZeros="0" zoomScale="85" zoomScaleNormal="85" zoomScaleSheetLayoutView="5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I99" sqref="I99"/>
    </sheetView>
  </sheetViews>
  <sheetFormatPr defaultColWidth="9.140625" defaultRowHeight="12.75"/>
  <cols>
    <col min="1" max="1" width="3.28125" style="1" customWidth="1"/>
    <col min="2" max="2" width="3.57421875" style="59" customWidth="1"/>
    <col min="3" max="3" width="13.140625" style="2" customWidth="1"/>
    <col min="4" max="4" width="23.140625" style="2" customWidth="1"/>
    <col min="5" max="5" width="16.7109375" style="2" customWidth="1"/>
    <col min="6" max="6" width="10.28125" style="2" customWidth="1"/>
    <col min="7" max="7" width="10.8515625" style="2" customWidth="1"/>
    <col min="8" max="8" width="10.28125" style="2" customWidth="1"/>
    <col min="9" max="9" width="9.421875" style="2" customWidth="1"/>
    <col min="10" max="10" width="10.140625" style="2" customWidth="1"/>
    <col min="11" max="11" width="9.00390625" style="2" customWidth="1"/>
    <col min="12" max="12" width="11.421875" style="118" customWidth="1"/>
    <col min="13" max="13" width="12.140625" style="97" customWidth="1"/>
    <col min="14" max="14" width="12.140625" style="2" customWidth="1"/>
    <col min="15" max="15" width="10.28125" style="118" customWidth="1"/>
    <col min="16" max="16" width="12.00390625" style="2" customWidth="1"/>
    <col min="17" max="17" width="10.8515625" style="2" customWidth="1"/>
    <col min="18" max="18" width="10.140625" style="118" customWidth="1"/>
    <col min="19" max="19" width="11.57421875" style="2" bestFit="1" customWidth="1"/>
    <col min="20" max="20" width="10.28125" style="28" customWidth="1"/>
    <col min="21" max="21" width="9.28125" style="2" bestFit="1" customWidth="1"/>
    <col min="22" max="16384" width="9.140625" style="2" customWidth="1"/>
  </cols>
  <sheetData>
    <row r="1" spans="1:20" s="1" customFormat="1" ht="15.75">
      <c r="A1" s="207" t="s">
        <v>40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9"/>
    </row>
    <row r="2" spans="1:20" ht="11.25">
      <c r="A2" s="71"/>
      <c r="B2" s="65"/>
      <c r="C2" s="66" t="s">
        <v>0</v>
      </c>
      <c r="D2" s="75" t="s">
        <v>41</v>
      </c>
      <c r="E2" s="210" t="s">
        <v>34</v>
      </c>
      <c r="F2" s="210"/>
      <c r="G2" s="67">
        <f>+M10+M33+M62+M73+M84+M110+M123</f>
        <v>719530.02</v>
      </c>
      <c r="H2" s="103"/>
      <c r="I2" s="63" t="s">
        <v>33</v>
      </c>
      <c r="J2" s="64">
        <v>38231</v>
      </c>
      <c r="K2" s="73">
        <f>G4</f>
        <v>93538.9</v>
      </c>
      <c r="L2" s="102" t="s">
        <v>30</v>
      </c>
      <c r="M2" s="92">
        <f>SUM(M3:M8)</f>
        <v>421071.76399999997</v>
      </c>
      <c r="N2" s="92">
        <f>SUM(N3:N8)</f>
        <v>0</v>
      </c>
      <c r="O2" s="119">
        <f aca="true" t="shared" si="0" ref="O2:T2">SUM(O3:O8)</f>
        <v>421071.76399999997</v>
      </c>
      <c r="P2" s="58">
        <f t="shared" si="0"/>
        <v>273696.64660000004</v>
      </c>
      <c r="Q2" s="58">
        <f t="shared" si="0"/>
        <v>0</v>
      </c>
      <c r="R2" s="119">
        <f t="shared" si="0"/>
        <v>273696.64660000004</v>
      </c>
      <c r="S2" s="58">
        <f t="shared" si="0"/>
        <v>102636.242475</v>
      </c>
      <c r="T2" s="58">
        <f t="shared" si="0"/>
        <v>171060.404125</v>
      </c>
    </row>
    <row r="3" spans="1:21" s="29" customFormat="1" ht="11.25">
      <c r="A3" s="55"/>
      <c r="B3" s="65"/>
      <c r="C3" s="35" t="s">
        <v>66</v>
      </c>
      <c r="D3" s="36"/>
      <c r="E3" s="211" t="s">
        <v>35</v>
      </c>
      <c r="F3" s="211"/>
      <c r="G3" s="68">
        <v>467694.5</v>
      </c>
      <c r="H3" s="81">
        <f>P2/G3</f>
        <v>0.5852039025474963</v>
      </c>
      <c r="J3" s="68" t="s">
        <v>38</v>
      </c>
      <c r="K3" s="58">
        <f>Q2</f>
        <v>0</v>
      </c>
      <c r="L3" s="102" t="s">
        <v>31</v>
      </c>
      <c r="M3" s="92">
        <f aca="true" t="shared" si="1" ref="M3:T6">M11+M34+M63+M74+M85+M111+M124</f>
        <v>49021.64</v>
      </c>
      <c r="N3" s="92">
        <f t="shared" si="1"/>
        <v>1667.25</v>
      </c>
      <c r="O3" s="119">
        <f t="shared" si="1"/>
        <v>50688.89</v>
      </c>
      <c r="P3" s="92">
        <f t="shared" si="1"/>
        <v>31864.066</v>
      </c>
      <c r="Q3" s="92">
        <f t="shared" si="1"/>
        <v>1083.7125</v>
      </c>
      <c r="R3" s="119">
        <f t="shared" si="1"/>
        <v>32947.7785</v>
      </c>
      <c r="S3" s="92">
        <f t="shared" si="1"/>
        <v>12355.4169375</v>
      </c>
      <c r="T3" s="92">
        <f t="shared" si="1"/>
        <v>20592.3615625</v>
      </c>
      <c r="U3" s="70">
        <v>20592.36</v>
      </c>
    </row>
    <row r="4" spans="1:21" s="29" customFormat="1" ht="11.25">
      <c r="A4" s="55"/>
      <c r="B4" s="65"/>
      <c r="C4" s="35" t="s">
        <v>85</v>
      </c>
      <c r="D4" s="36"/>
      <c r="E4" s="211" t="s">
        <v>36</v>
      </c>
      <c r="F4" s="211"/>
      <c r="G4" s="68">
        <v>93538.9</v>
      </c>
      <c r="H4" s="81">
        <f>Q2/G4</f>
        <v>0</v>
      </c>
      <c r="J4" s="69" t="s">
        <v>39</v>
      </c>
      <c r="K4" s="70">
        <f>K2-K3</f>
        <v>93538.9</v>
      </c>
      <c r="L4" s="102" t="s">
        <v>32</v>
      </c>
      <c r="M4" s="92">
        <f t="shared" si="1"/>
        <v>165209.61000000002</v>
      </c>
      <c r="N4" s="92">
        <f t="shared" si="1"/>
        <v>2160</v>
      </c>
      <c r="O4" s="119">
        <f t="shared" si="1"/>
        <v>167369.61000000002</v>
      </c>
      <c r="P4" s="92">
        <f t="shared" si="1"/>
        <v>107386.24650000001</v>
      </c>
      <c r="Q4" s="92">
        <f t="shared" si="1"/>
        <v>1404</v>
      </c>
      <c r="R4" s="119">
        <f t="shared" si="1"/>
        <v>108790.24650000001</v>
      </c>
      <c r="S4" s="92">
        <f t="shared" si="1"/>
        <v>40796.3424375</v>
      </c>
      <c r="T4" s="92">
        <f t="shared" si="1"/>
        <v>67993.9040625</v>
      </c>
      <c r="U4" s="70">
        <v>67993.9</v>
      </c>
    </row>
    <row r="5" spans="1:21" s="29" customFormat="1" ht="11.25">
      <c r="A5" s="55"/>
      <c r="B5" s="65"/>
      <c r="C5" s="35" t="s">
        <v>92</v>
      </c>
      <c r="D5" s="36"/>
      <c r="E5" s="211" t="s">
        <v>37</v>
      </c>
      <c r="F5" s="211"/>
      <c r="G5" s="68">
        <v>561233.4</v>
      </c>
      <c r="H5" s="81">
        <f>R2/G5</f>
        <v>0.48766991878958027</v>
      </c>
      <c r="L5" s="102" t="s">
        <v>90</v>
      </c>
      <c r="M5" s="92">
        <f t="shared" si="1"/>
        <v>107333.99</v>
      </c>
      <c r="N5" s="92">
        <f t="shared" si="1"/>
        <v>-3827.25</v>
      </c>
      <c r="O5" s="119">
        <f t="shared" si="1"/>
        <v>103506.74</v>
      </c>
      <c r="P5" s="92">
        <f t="shared" si="1"/>
        <v>69767.0935</v>
      </c>
      <c r="Q5" s="92">
        <f t="shared" si="1"/>
        <v>-2487.7125</v>
      </c>
      <c r="R5" s="119">
        <f t="shared" si="1"/>
        <v>67279.381</v>
      </c>
      <c r="S5" s="92">
        <f t="shared" si="1"/>
        <v>25229.767874999998</v>
      </c>
      <c r="T5" s="92">
        <f t="shared" si="1"/>
        <v>42049.613125</v>
      </c>
      <c r="U5" s="70">
        <v>42049.613125</v>
      </c>
    </row>
    <row r="6" spans="1:20" s="29" customFormat="1" ht="11.25">
      <c r="A6" s="55"/>
      <c r="B6" s="65"/>
      <c r="C6" s="35" t="s">
        <v>163</v>
      </c>
      <c r="D6" s="36"/>
      <c r="E6" s="69"/>
      <c r="F6" s="69"/>
      <c r="G6" s="68"/>
      <c r="H6" s="81"/>
      <c r="L6" s="102" t="s">
        <v>162</v>
      </c>
      <c r="M6" s="92">
        <f t="shared" si="1"/>
        <v>99506.524</v>
      </c>
      <c r="N6" s="92">
        <f t="shared" si="1"/>
        <v>0</v>
      </c>
      <c r="O6" s="119">
        <f t="shared" si="1"/>
        <v>99506.524</v>
      </c>
      <c r="P6" s="92">
        <f t="shared" si="1"/>
        <v>64679.2406</v>
      </c>
      <c r="Q6" s="92">
        <f t="shared" si="1"/>
        <v>0</v>
      </c>
      <c r="R6" s="119">
        <f t="shared" si="1"/>
        <v>64679.2406</v>
      </c>
      <c r="S6" s="92">
        <f t="shared" si="1"/>
        <v>24254.715225</v>
      </c>
      <c r="T6" s="92">
        <f t="shared" si="1"/>
        <v>40424.525375</v>
      </c>
    </row>
    <row r="7" spans="1:20" s="29" customFormat="1" ht="11.25">
      <c r="A7" s="55"/>
      <c r="B7" s="65"/>
      <c r="C7" s="35"/>
      <c r="D7" s="36"/>
      <c r="E7" s="37"/>
      <c r="F7" s="38"/>
      <c r="G7" s="68"/>
      <c r="H7" s="39"/>
      <c r="L7" s="102"/>
      <c r="M7" s="92"/>
      <c r="N7" s="58"/>
      <c r="O7" s="119"/>
      <c r="P7" s="58"/>
      <c r="Q7" s="58"/>
      <c r="R7" s="119"/>
      <c r="S7" s="58"/>
      <c r="T7" s="58"/>
    </row>
    <row r="8" spans="1:20" s="29" customFormat="1" ht="11.25">
      <c r="A8" s="55"/>
      <c r="B8" s="72"/>
      <c r="D8" s="36"/>
      <c r="E8" s="37"/>
      <c r="F8" s="38"/>
      <c r="G8" s="38"/>
      <c r="H8" s="39"/>
      <c r="L8" s="102"/>
      <c r="M8" s="92"/>
      <c r="N8" s="58"/>
      <c r="O8" s="119"/>
      <c r="P8" s="58"/>
      <c r="Q8" s="58"/>
      <c r="R8" s="119"/>
      <c r="S8" s="58"/>
      <c r="T8" s="58"/>
    </row>
    <row r="9" spans="1:20" s="101" customFormat="1" ht="11.25">
      <c r="A9" s="196" t="s">
        <v>6</v>
      </c>
      <c r="B9" s="197"/>
      <c r="C9" s="197"/>
      <c r="D9" s="197"/>
      <c r="E9" s="197"/>
      <c r="F9" s="197"/>
      <c r="G9" s="197"/>
      <c r="H9" s="197"/>
      <c r="I9" s="197"/>
      <c r="J9" s="197"/>
      <c r="K9" s="197"/>
      <c r="L9" s="198"/>
      <c r="M9" s="100" t="s">
        <v>58</v>
      </c>
      <c r="N9" s="27" t="s">
        <v>59</v>
      </c>
      <c r="O9" s="120" t="s">
        <v>60</v>
      </c>
      <c r="P9" s="27" t="s">
        <v>61</v>
      </c>
      <c r="Q9" s="27" t="s">
        <v>62</v>
      </c>
      <c r="R9" s="120" t="s">
        <v>57</v>
      </c>
      <c r="S9" s="31" t="s">
        <v>25</v>
      </c>
      <c r="T9" s="32" t="s">
        <v>26</v>
      </c>
    </row>
    <row r="10" spans="1:18" s="1" customFormat="1" ht="11.25">
      <c r="A10" s="173"/>
      <c r="B10" s="187"/>
      <c r="C10" s="51"/>
      <c r="D10" s="41"/>
      <c r="E10" s="41"/>
      <c r="F10" s="41"/>
      <c r="G10" s="41"/>
      <c r="H10" s="41"/>
      <c r="I10" s="41"/>
      <c r="J10" s="41"/>
      <c r="K10" s="52"/>
      <c r="L10" s="104" t="s">
        <v>12</v>
      </c>
      <c r="M10" s="77">
        <v>341650.98</v>
      </c>
      <c r="N10" s="77"/>
      <c r="O10" s="121"/>
      <c r="P10" s="3"/>
      <c r="Q10" s="79"/>
      <c r="R10" s="121"/>
    </row>
    <row r="11" spans="1:20" s="1" customFormat="1" ht="11.25">
      <c r="A11" s="173"/>
      <c r="B11" s="187"/>
      <c r="C11" s="43"/>
      <c r="D11" s="42"/>
      <c r="E11" s="42"/>
      <c r="F11" s="42"/>
      <c r="G11" s="42"/>
      <c r="H11" s="42"/>
      <c r="I11" s="42"/>
      <c r="J11" s="42"/>
      <c r="K11" s="4">
        <f>SUM(K17:K30)</f>
        <v>0</v>
      </c>
      <c r="L11" s="105" t="s">
        <v>28</v>
      </c>
      <c r="M11" s="93">
        <f aca="true" t="shared" si="2" ref="M11:R11">SUM(M17:M19)</f>
        <v>37085.39</v>
      </c>
      <c r="N11" s="4">
        <f t="shared" si="2"/>
        <v>0</v>
      </c>
      <c r="O11" s="122">
        <f t="shared" si="2"/>
        <v>37085.39</v>
      </c>
      <c r="P11" s="4">
        <f t="shared" si="2"/>
        <v>24105.5035</v>
      </c>
      <c r="Q11" s="4">
        <f t="shared" si="2"/>
        <v>0</v>
      </c>
      <c r="R11" s="122">
        <f t="shared" si="2"/>
        <v>24105.5035</v>
      </c>
      <c r="S11" s="5">
        <f>R11*0.375</f>
        <v>9039.5638125</v>
      </c>
      <c r="T11" s="5">
        <f>R11-S11</f>
        <v>15065.939687499998</v>
      </c>
    </row>
    <row r="12" spans="1:20" s="1" customFormat="1" ht="11.25">
      <c r="A12" s="173"/>
      <c r="B12" s="187"/>
      <c r="C12" s="43"/>
      <c r="D12" s="42"/>
      <c r="E12" s="42"/>
      <c r="F12" s="42"/>
      <c r="G12" s="42"/>
      <c r="H12" s="42"/>
      <c r="I12" s="42"/>
      <c r="J12" s="42"/>
      <c r="K12" s="44"/>
      <c r="L12" s="105" t="s">
        <v>29</v>
      </c>
      <c r="M12" s="93">
        <f aca="true" t="shared" si="3" ref="M12:R12">SUM(M20:M23)</f>
        <v>113999.61000000002</v>
      </c>
      <c r="N12" s="4">
        <f t="shared" si="3"/>
        <v>0</v>
      </c>
      <c r="O12" s="122">
        <f t="shared" si="3"/>
        <v>113999.61000000002</v>
      </c>
      <c r="P12" s="4">
        <f t="shared" si="3"/>
        <v>74099.74650000001</v>
      </c>
      <c r="Q12" s="4">
        <f t="shared" si="3"/>
        <v>0</v>
      </c>
      <c r="R12" s="122">
        <f t="shared" si="3"/>
        <v>74099.74650000001</v>
      </c>
      <c r="S12" s="5">
        <f>R12*0.375</f>
        <v>27787.404937500003</v>
      </c>
      <c r="T12" s="5">
        <f>R12-S12</f>
        <v>46312.341562500005</v>
      </c>
    </row>
    <row r="13" spans="1:20" s="1" customFormat="1" ht="11.25">
      <c r="A13" s="173"/>
      <c r="B13" s="187"/>
      <c r="C13" s="43"/>
      <c r="D13" s="42"/>
      <c r="E13" s="42"/>
      <c r="F13" s="42"/>
      <c r="G13" s="42"/>
      <c r="H13" s="42"/>
      <c r="I13" s="42"/>
      <c r="J13" s="42"/>
      <c r="K13" s="44"/>
      <c r="L13" s="105" t="s">
        <v>91</v>
      </c>
      <c r="M13" s="93">
        <f>SUM(M24:M26)</f>
        <v>84955.24</v>
      </c>
      <c r="N13" s="93">
        <f>SUM(N24:N26)</f>
        <v>0</v>
      </c>
      <c r="O13" s="122">
        <f>+N13+M13</f>
        <v>84955.24</v>
      </c>
      <c r="P13" s="93">
        <f>SUM(P24:P26)</f>
        <v>55220.906</v>
      </c>
      <c r="Q13" s="93">
        <f>SUM(Q24:Q26)</f>
        <v>0</v>
      </c>
      <c r="R13" s="122">
        <f>+Q13+P13</f>
        <v>55220.906</v>
      </c>
      <c r="S13" s="5">
        <f>R13*0.375</f>
        <v>20707.83975</v>
      </c>
      <c r="T13" s="5">
        <f>R13-S13</f>
        <v>34513.06625</v>
      </c>
    </row>
    <row r="14" spans="1:20" s="1" customFormat="1" ht="11.25">
      <c r="A14" s="173"/>
      <c r="B14" s="187"/>
      <c r="C14" s="43"/>
      <c r="D14" s="42"/>
      <c r="E14" s="42"/>
      <c r="F14" s="42"/>
      <c r="G14" s="42"/>
      <c r="H14" s="42"/>
      <c r="I14" s="42"/>
      <c r="J14" s="42"/>
      <c r="K14" s="44"/>
      <c r="L14" s="105" t="s">
        <v>165</v>
      </c>
      <c r="M14" s="93">
        <f>SUM(M27:M29)</f>
        <v>49172.92</v>
      </c>
      <c r="N14" s="93">
        <f>SUM(N27:N29)</f>
        <v>0</v>
      </c>
      <c r="O14" s="122">
        <f>+N14+M14</f>
        <v>49172.92</v>
      </c>
      <c r="P14" s="93">
        <f>SUM(P27:P29)</f>
        <v>31962.397999999997</v>
      </c>
      <c r="Q14" s="93">
        <f>SUM(Q27:Q29)</f>
        <v>0</v>
      </c>
      <c r="R14" s="122">
        <f>+Q14+P14</f>
        <v>31962.397999999997</v>
      </c>
      <c r="S14" s="5">
        <f>R14*0.375</f>
        <v>11985.899249999999</v>
      </c>
      <c r="T14" s="5">
        <f>R14-S14</f>
        <v>19976.49875</v>
      </c>
    </row>
    <row r="15" spans="1:20" s="1" customFormat="1" ht="11.25">
      <c r="A15" s="188"/>
      <c r="B15" s="189"/>
      <c r="C15" s="45"/>
      <c r="D15" s="46"/>
      <c r="E15" s="46"/>
      <c r="F15" s="46"/>
      <c r="G15" s="46"/>
      <c r="H15" s="46"/>
      <c r="I15" s="46"/>
      <c r="J15" s="46"/>
      <c r="K15" s="47"/>
      <c r="L15" s="106" t="s">
        <v>13</v>
      </c>
      <c r="M15" s="94">
        <f>M10-M11-M12-M13-M14</f>
        <v>56437.81999999995</v>
      </c>
      <c r="N15" s="94"/>
      <c r="O15" s="123"/>
      <c r="P15" s="94"/>
      <c r="Q15" s="94"/>
      <c r="R15" s="123"/>
      <c r="S15" s="34"/>
      <c r="T15" s="34"/>
    </row>
    <row r="16" spans="1:20" ht="33.75">
      <c r="A16" s="6" t="s">
        <v>14</v>
      </c>
      <c r="B16" s="6" t="s">
        <v>11</v>
      </c>
      <c r="C16" s="33" t="s">
        <v>24</v>
      </c>
      <c r="D16" s="33" t="s">
        <v>20</v>
      </c>
      <c r="E16" s="40" t="s">
        <v>2</v>
      </c>
      <c r="F16" s="33" t="s">
        <v>19</v>
      </c>
      <c r="G16" s="33" t="s">
        <v>18</v>
      </c>
      <c r="H16" s="40" t="s">
        <v>17</v>
      </c>
      <c r="I16" s="40" t="s">
        <v>16</v>
      </c>
      <c r="J16" s="33" t="s">
        <v>3</v>
      </c>
      <c r="K16" s="33" t="s">
        <v>4</v>
      </c>
      <c r="L16" s="107" t="s">
        <v>5</v>
      </c>
      <c r="M16" s="95" t="s">
        <v>21</v>
      </c>
      <c r="N16" s="6" t="s">
        <v>54</v>
      </c>
      <c r="O16" s="107" t="s">
        <v>55</v>
      </c>
      <c r="P16" s="6" t="s">
        <v>22</v>
      </c>
      <c r="Q16" s="6" t="s">
        <v>56</v>
      </c>
      <c r="R16" s="107" t="s">
        <v>57</v>
      </c>
      <c r="S16" s="202" t="s">
        <v>27</v>
      </c>
      <c r="T16" s="202"/>
    </row>
    <row r="17" spans="1:20" ht="22.5">
      <c r="A17" s="56" t="s">
        <v>15</v>
      </c>
      <c r="B17" s="7">
        <v>1.2</v>
      </c>
      <c r="C17" s="13" t="s">
        <v>48</v>
      </c>
      <c r="D17" s="13" t="s">
        <v>51</v>
      </c>
      <c r="E17" s="8"/>
      <c r="F17" s="8"/>
      <c r="G17" s="9"/>
      <c r="H17" s="10"/>
      <c r="J17" s="76">
        <v>14405</v>
      </c>
      <c r="K17" s="11"/>
      <c r="L17" s="108">
        <f aca="true" t="shared" si="4" ref="L17:L23">SUM(J17:K17)</f>
        <v>14405</v>
      </c>
      <c r="M17" s="30">
        <f>J17-9900</f>
        <v>4505</v>
      </c>
      <c r="N17" s="11"/>
      <c r="O17" s="108">
        <f aca="true" t="shared" si="5" ref="O17:O23">SUM(M17:N17)</f>
        <v>4505</v>
      </c>
      <c r="P17" s="11">
        <f>M17*0.65</f>
        <v>2928.25</v>
      </c>
      <c r="Q17" s="11"/>
      <c r="R17" s="108">
        <f>SUM(P17:Q17)</f>
        <v>2928.25</v>
      </c>
      <c r="S17" s="204"/>
      <c r="T17" s="205"/>
    </row>
    <row r="18" spans="1:20" ht="45">
      <c r="A18" s="56" t="s">
        <v>15</v>
      </c>
      <c r="B18" s="7">
        <v>1.5</v>
      </c>
      <c r="C18" s="13" t="s">
        <v>49</v>
      </c>
      <c r="D18" s="13" t="s">
        <v>50</v>
      </c>
      <c r="E18" s="8"/>
      <c r="F18" s="8"/>
      <c r="G18" s="9"/>
      <c r="H18" s="10"/>
      <c r="I18" s="10"/>
      <c r="J18" s="11">
        <v>26217.03</v>
      </c>
      <c r="K18" s="11"/>
      <c r="L18" s="108">
        <f t="shared" si="4"/>
        <v>26217.03</v>
      </c>
      <c r="M18" s="30">
        <f>J18-9928</f>
        <v>16289.029999999999</v>
      </c>
      <c r="N18" s="11"/>
      <c r="O18" s="108">
        <f t="shared" si="5"/>
        <v>16289.029999999999</v>
      </c>
      <c r="P18" s="11">
        <f aca="true" t="shared" si="6" ref="P18:P23">M18*0.65</f>
        <v>10587.869499999999</v>
      </c>
      <c r="Q18" s="11"/>
      <c r="R18" s="108">
        <f aca="true" t="shared" si="7" ref="R18:R23">SUM(P18:Q18)</f>
        <v>10587.869499999999</v>
      </c>
      <c r="S18" s="204"/>
      <c r="T18" s="205"/>
    </row>
    <row r="19" spans="1:20" ht="14.25" customHeight="1">
      <c r="A19" s="56" t="s">
        <v>15</v>
      </c>
      <c r="B19" s="7">
        <v>3.4</v>
      </c>
      <c r="C19" s="13" t="s">
        <v>52</v>
      </c>
      <c r="D19" s="8" t="s">
        <v>53</v>
      </c>
      <c r="E19" s="8"/>
      <c r="F19" s="8"/>
      <c r="G19" s="9"/>
      <c r="H19" s="10"/>
      <c r="I19" s="10"/>
      <c r="J19" s="11">
        <v>16291.36</v>
      </c>
      <c r="K19" s="11"/>
      <c r="L19" s="108">
        <f t="shared" si="4"/>
        <v>16291.36</v>
      </c>
      <c r="M19" s="30">
        <f>J19</f>
        <v>16291.36</v>
      </c>
      <c r="N19" s="11"/>
      <c r="O19" s="108">
        <f t="shared" si="5"/>
        <v>16291.36</v>
      </c>
      <c r="P19" s="11">
        <f t="shared" si="6"/>
        <v>10589.384</v>
      </c>
      <c r="Q19" s="11"/>
      <c r="R19" s="108">
        <f t="shared" si="7"/>
        <v>10589.384</v>
      </c>
      <c r="S19" s="206"/>
      <c r="T19" s="206"/>
    </row>
    <row r="20" spans="1:20" ht="17.25" customHeight="1">
      <c r="A20" s="56" t="s">
        <v>67</v>
      </c>
      <c r="B20" s="7"/>
      <c r="C20" s="13" t="s">
        <v>48</v>
      </c>
      <c r="D20" s="8" t="s">
        <v>70</v>
      </c>
      <c r="E20" s="8"/>
      <c r="F20" s="8"/>
      <c r="G20" s="9"/>
      <c r="H20" s="10"/>
      <c r="I20" s="10"/>
      <c r="J20" s="11">
        <v>9180</v>
      </c>
      <c r="K20" s="11"/>
      <c r="L20" s="108">
        <f t="shared" si="4"/>
        <v>9180</v>
      </c>
      <c r="M20" s="30">
        <v>9180</v>
      </c>
      <c r="N20" s="11"/>
      <c r="O20" s="108">
        <f t="shared" si="5"/>
        <v>9180</v>
      </c>
      <c r="P20" s="11">
        <f t="shared" si="6"/>
        <v>5967</v>
      </c>
      <c r="Q20" s="11"/>
      <c r="R20" s="108">
        <f t="shared" si="7"/>
        <v>5967</v>
      </c>
      <c r="S20" s="204"/>
      <c r="T20" s="205"/>
    </row>
    <row r="21" spans="1:20" ht="16.5" customHeight="1">
      <c r="A21" s="56" t="s">
        <v>67</v>
      </c>
      <c r="B21" s="7"/>
      <c r="C21" s="13" t="s">
        <v>71</v>
      </c>
      <c r="D21" s="8" t="s">
        <v>72</v>
      </c>
      <c r="E21" s="8"/>
      <c r="F21" s="8"/>
      <c r="G21" s="9"/>
      <c r="H21" s="10"/>
      <c r="I21" s="10"/>
      <c r="J21" s="11">
        <v>3500</v>
      </c>
      <c r="K21" s="11"/>
      <c r="L21" s="108">
        <f t="shared" si="4"/>
        <v>3500</v>
      </c>
      <c r="M21" s="30">
        <v>3500</v>
      </c>
      <c r="N21" s="11"/>
      <c r="O21" s="108">
        <f t="shared" si="5"/>
        <v>3500</v>
      </c>
      <c r="P21" s="11">
        <f t="shared" si="6"/>
        <v>2275</v>
      </c>
      <c r="Q21" s="11"/>
      <c r="R21" s="108">
        <f t="shared" si="7"/>
        <v>2275</v>
      </c>
      <c r="S21" s="204"/>
      <c r="T21" s="205"/>
    </row>
    <row r="22" spans="1:20" ht="67.5" customHeight="1">
      <c r="A22" s="56" t="s">
        <v>67</v>
      </c>
      <c r="B22" s="7"/>
      <c r="C22" s="13" t="s">
        <v>49</v>
      </c>
      <c r="D22" s="13" t="s">
        <v>73</v>
      </c>
      <c r="E22" s="8"/>
      <c r="F22" s="8"/>
      <c r="G22" s="9"/>
      <c r="H22" s="10"/>
      <c r="I22" s="10"/>
      <c r="J22" s="11">
        <v>65885.87</v>
      </c>
      <c r="K22" s="11"/>
      <c r="L22" s="108">
        <f t="shared" si="4"/>
        <v>65885.87</v>
      </c>
      <c r="M22" s="30">
        <f>18.25*963.5+18.25*967.5+15.63*1832+11.97*168</f>
        <v>65885.87000000001</v>
      </c>
      <c r="N22" s="11"/>
      <c r="O22" s="108">
        <f t="shared" si="5"/>
        <v>65885.87000000001</v>
      </c>
      <c r="P22" s="11">
        <f t="shared" si="6"/>
        <v>42825.81550000001</v>
      </c>
      <c r="Q22" s="11"/>
      <c r="R22" s="108">
        <f t="shared" si="7"/>
        <v>42825.81550000001</v>
      </c>
      <c r="S22" s="204" t="s">
        <v>87</v>
      </c>
      <c r="T22" s="205"/>
    </row>
    <row r="23" spans="1:20" ht="33.75">
      <c r="A23" s="56" t="s">
        <v>67</v>
      </c>
      <c r="B23" s="7"/>
      <c r="C23" s="13" t="s">
        <v>52</v>
      </c>
      <c r="D23" s="13" t="s">
        <v>82</v>
      </c>
      <c r="E23" s="8"/>
      <c r="F23" s="8"/>
      <c r="G23" s="9"/>
      <c r="H23" s="10"/>
      <c r="I23" s="10"/>
      <c r="J23" s="11">
        <v>35433.74</v>
      </c>
      <c r="K23" s="11"/>
      <c r="L23" s="108">
        <f t="shared" si="4"/>
        <v>35433.74</v>
      </c>
      <c r="M23" s="30">
        <v>35433.74</v>
      </c>
      <c r="N23" s="11"/>
      <c r="O23" s="108">
        <f t="shared" si="5"/>
        <v>35433.74</v>
      </c>
      <c r="P23" s="11">
        <f t="shared" si="6"/>
        <v>23031.931</v>
      </c>
      <c r="Q23" s="11"/>
      <c r="R23" s="108">
        <f t="shared" si="7"/>
        <v>23031.931</v>
      </c>
      <c r="S23" s="172"/>
      <c r="T23" s="169"/>
    </row>
    <row r="24" spans="1:20" ht="11.25">
      <c r="A24" s="56" t="s">
        <v>86</v>
      </c>
      <c r="B24" s="7"/>
      <c r="C24" s="13" t="s">
        <v>71</v>
      </c>
      <c r="D24" s="8" t="s">
        <v>72</v>
      </c>
      <c r="E24" s="8"/>
      <c r="F24" s="8"/>
      <c r="G24" s="9"/>
      <c r="H24" s="10"/>
      <c r="I24" s="10"/>
      <c r="J24" s="11">
        <f>3500+8673</f>
        <v>12173</v>
      </c>
      <c r="K24" s="11"/>
      <c r="L24" s="108">
        <f>SUM(J24:K24)</f>
        <v>12173</v>
      </c>
      <c r="M24" s="30">
        <f>8673+3500</f>
        <v>12173</v>
      </c>
      <c r="N24" s="11"/>
      <c r="O24" s="108">
        <f aca="true" t="shared" si="8" ref="O24:O29">SUM(M24:N24)</f>
        <v>12173</v>
      </c>
      <c r="P24" s="11">
        <f aca="true" t="shared" si="9" ref="P24:P30">M24*0.65</f>
        <v>7912.45</v>
      </c>
      <c r="Q24" s="11"/>
      <c r="R24" s="108">
        <f aca="true" t="shared" si="10" ref="R24:R29">SUM(P24:Q24)</f>
        <v>7912.45</v>
      </c>
      <c r="S24" s="172"/>
      <c r="T24" s="169"/>
    </row>
    <row r="25" spans="1:20" ht="22.5">
      <c r="A25" s="56" t="s">
        <v>86</v>
      </c>
      <c r="B25" s="7"/>
      <c r="C25" s="13" t="s">
        <v>49</v>
      </c>
      <c r="D25" s="13" t="s">
        <v>95</v>
      </c>
      <c r="E25" s="8"/>
      <c r="F25" s="8"/>
      <c r="G25" s="9"/>
      <c r="H25" s="10"/>
      <c r="I25" s="10"/>
      <c r="J25" s="11">
        <f>15973.28+9928+13810.16</f>
        <v>39711.44</v>
      </c>
      <c r="K25" s="11"/>
      <c r="L25" s="108">
        <f>SUM(J25:K25)</f>
        <v>39711.44</v>
      </c>
      <c r="M25" s="30">
        <f>15973.28+9928+13810.16</f>
        <v>39711.44</v>
      </c>
      <c r="N25" s="30"/>
      <c r="O25" s="108">
        <f t="shared" si="8"/>
        <v>39711.44</v>
      </c>
      <c r="P25" s="11">
        <f t="shared" si="9"/>
        <v>25812.436</v>
      </c>
      <c r="Q25" s="11"/>
      <c r="R25" s="108">
        <f t="shared" si="10"/>
        <v>25812.436</v>
      </c>
      <c r="S25" s="172"/>
      <c r="T25" s="169"/>
    </row>
    <row r="26" spans="1:20" ht="33.75">
      <c r="A26" s="56" t="s">
        <v>86</v>
      </c>
      <c r="B26" s="7"/>
      <c r="C26" s="13" t="s">
        <v>52</v>
      </c>
      <c r="D26" s="13" t="s">
        <v>82</v>
      </c>
      <c r="E26" s="8"/>
      <c r="F26" s="8"/>
      <c r="G26" s="9"/>
      <c r="H26" s="10"/>
      <c r="I26" s="10"/>
      <c r="J26" s="11">
        <f>14935.2+18135.6</f>
        <v>33070.8</v>
      </c>
      <c r="K26" s="11"/>
      <c r="L26" s="108">
        <f>SUM(J26:K26)</f>
        <v>33070.8</v>
      </c>
      <c r="M26" s="11">
        <f>14935.2+18135.6</f>
        <v>33070.8</v>
      </c>
      <c r="N26" s="30"/>
      <c r="O26" s="108">
        <f t="shared" si="8"/>
        <v>33070.8</v>
      </c>
      <c r="P26" s="11">
        <f t="shared" si="9"/>
        <v>21496.020000000004</v>
      </c>
      <c r="Q26" s="11"/>
      <c r="R26" s="108">
        <f t="shared" si="10"/>
        <v>21496.020000000004</v>
      </c>
      <c r="S26" s="172"/>
      <c r="T26" s="169"/>
    </row>
    <row r="27" spans="1:20" ht="22.5">
      <c r="A27" s="56" t="s">
        <v>142</v>
      </c>
      <c r="B27" s="7"/>
      <c r="C27" s="13" t="s">
        <v>71</v>
      </c>
      <c r="D27" s="13" t="s">
        <v>147</v>
      </c>
      <c r="E27" s="8"/>
      <c r="F27" s="8"/>
      <c r="G27" s="9"/>
      <c r="H27" s="10"/>
      <c r="I27" s="10"/>
      <c r="J27" s="11">
        <f>4192+5935</f>
        <v>10127</v>
      </c>
      <c r="K27" s="11"/>
      <c r="L27" s="108">
        <f>+K27+J27</f>
        <v>10127</v>
      </c>
      <c r="M27" s="11">
        <f>4192+5935</f>
        <v>10127</v>
      </c>
      <c r="N27" s="30"/>
      <c r="O27" s="108">
        <f t="shared" si="8"/>
        <v>10127</v>
      </c>
      <c r="P27" s="11">
        <f t="shared" si="9"/>
        <v>6582.55</v>
      </c>
      <c r="Q27" s="11"/>
      <c r="R27" s="108">
        <f t="shared" si="10"/>
        <v>6582.55</v>
      </c>
      <c r="S27" s="165"/>
      <c r="T27" s="166"/>
    </row>
    <row r="28" spans="1:20" ht="22.5">
      <c r="A28" s="56" t="s">
        <v>142</v>
      </c>
      <c r="B28" s="7"/>
      <c r="C28" s="13" t="s">
        <v>49</v>
      </c>
      <c r="D28" s="13" t="s">
        <v>148</v>
      </c>
      <c r="E28" s="8"/>
      <c r="F28" s="8"/>
      <c r="G28" s="9"/>
      <c r="H28" s="10"/>
      <c r="I28" s="10"/>
      <c r="J28" s="11">
        <f>18911.92+12134</f>
        <v>31045.92</v>
      </c>
      <c r="K28" s="11"/>
      <c r="L28" s="108">
        <f>+K28+J28</f>
        <v>31045.92</v>
      </c>
      <c r="M28" s="11">
        <f>18911.92+12134</f>
        <v>31045.92</v>
      </c>
      <c r="N28" s="30"/>
      <c r="O28" s="108">
        <f t="shared" si="8"/>
        <v>31045.92</v>
      </c>
      <c r="P28" s="11">
        <f t="shared" si="9"/>
        <v>20179.847999999998</v>
      </c>
      <c r="Q28" s="11"/>
      <c r="R28" s="108">
        <f t="shared" si="10"/>
        <v>20179.847999999998</v>
      </c>
      <c r="S28" s="165"/>
      <c r="T28" s="166"/>
    </row>
    <row r="29" spans="1:20" ht="33.75">
      <c r="A29" s="56" t="s">
        <v>142</v>
      </c>
      <c r="B29" s="7"/>
      <c r="C29" s="13" t="s">
        <v>52</v>
      </c>
      <c r="D29" s="13" t="s">
        <v>82</v>
      </c>
      <c r="E29" s="8"/>
      <c r="F29" s="8"/>
      <c r="G29" s="9"/>
      <c r="H29" s="10"/>
      <c r="I29" s="10"/>
      <c r="J29" s="11">
        <f>3200+4800</f>
        <v>8000</v>
      </c>
      <c r="K29" s="11"/>
      <c r="L29" s="108">
        <f>+K29+J29</f>
        <v>8000</v>
      </c>
      <c r="M29" s="11">
        <f>3200+4800</f>
        <v>8000</v>
      </c>
      <c r="N29" s="30"/>
      <c r="O29" s="108">
        <f t="shared" si="8"/>
        <v>8000</v>
      </c>
      <c r="P29" s="11">
        <f t="shared" si="9"/>
        <v>5200</v>
      </c>
      <c r="Q29" s="11"/>
      <c r="R29" s="108">
        <f t="shared" si="10"/>
        <v>5200</v>
      </c>
      <c r="S29" s="165"/>
      <c r="T29" s="166"/>
    </row>
    <row r="30" spans="1:20" ht="10.5" customHeight="1">
      <c r="A30" s="56"/>
      <c r="B30" s="7"/>
      <c r="C30" s="13"/>
      <c r="D30" s="8"/>
      <c r="E30" s="8"/>
      <c r="F30" s="8"/>
      <c r="G30" s="9"/>
      <c r="H30" s="10"/>
      <c r="I30" s="10"/>
      <c r="J30" s="11"/>
      <c r="K30" s="11"/>
      <c r="L30" s="108">
        <f>SUM(J30:K30)</f>
        <v>0</v>
      </c>
      <c r="M30" s="30">
        <f>L30</f>
        <v>0</v>
      </c>
      <c r="N30" s="11"/>
      <c r="O30" s="108"/>
      <c r="P30" s="11">
        <f t="shared" si="9"/>
        <v>0</v>
      </c>
      <c r="Q30" s="11"/>
      <c r="R30" s="108"/>
      <c r="S30" s="206"/>
      <c r="T30" s="206"/>
    </row>
    <row r="31" ht="11.25"/>
    <row r="32" spans="1:20" s="101" customFormat="1" ht="11.25">
      <c r="A32" s="216" t="s">
        <v>7</v>
      </c>
      <c r="B32" s="217"/>
      <c r="C32" s="217"/>
      <c r="D32" s="217"/>
      <c r="E32" s="217"/>
      <c r="F32" s="217"/>
      <c r="G32" s="217"/>
      <c r="H32" s="217"/>
      <c r="I32" s="217"/>
      <c r="J32" s="217"/>
      <c r="K32" s="217"/>
      <c r="L32" s="218"/>
      <c r="M32" s="100" t="s">
        <v>58</v>
      </c>
      <c r="N32" s="27" t="s">
        <v>59</v>
      </c>
      <c r="O32" s="120" t="s">
        <v>60</v>
      </c>
      <c r="P32" s="27" t="s">
        <v>61</v>
      </c>
      <c r="Q32" s="27" t="s">
        <v>62</v>
      </c>
      <c r="R32" s="120" t="s">
        <v>57</v>
      </c>
      <c r="S32" s="31" t="s">
        <v>25</v>
      </c>
      <c r="T32" s="32" t="s">
        <v>26</v>
      </c>
    </row>
    <row r="33" spans="1:21" ht="11.25">
      <c r="A33" s="219"/>
      <c r="B33" s="220"/>
      <c r="C33" s="199"/>
      <c r="D33" s="200"/>
      <c r="E33" s="200"/>
      <c r="F33" s="200"/>
      <c r="G33" s="200"/>
      <c r="H33" s="200"/>
      <c r="I33" s="200"/>
      <c r="J33" s="200"/>
      <c r="K33" s="201"/>
      <c r="L33" s="109" t="s">
        <v>12</v>
      </c>
      <c r="M33" s="96">
        <v>207131.4</v>
      </c>
      <c r="N33" s="3"/>
      <c r="O33" s="121"/>
      <c r="P33" s="3"/>
      <c r="Q33" s="3"/>
      <c r="R33" s="121"/>
      <c r="S33" s="48"/>
      <c r="T33" s="48"/>
      <c r="U33" s="28"/>
    </row>
    <row r="34" spans="1:21" ht="11.25">
      <c r="A34" s="173"/>
      <c r="B34" s="187"/>
      <c r="C34" s="43"/>
      <c r="D34" s="42"/>
      <c r="E34" s="42"/>
      <c r="F34" s="42"/>
      <c r="G34" s="42"/>
      <c r="H34" s="42"/>
      <c r="I34" s="42"/>
      <c r="J34" s="42"/>
      <c r="K34" s="4">
        <v>0</v>
      </c>
      <c r="L34" s="110" t="s">
        <v>28</v>
      </c>
      <c r="M34" s="93">
        <f aca="true" t="shared" si="11" ref="M34:R34">SUM(M40)</f>
        <v>8336.25</v>
      </c>
      <c r="N34" s="4">
        <f t="shared" si="11"/>
        <v>1667.25</v>
      </c>
      <c r="O34" s="122">
        <f t="shared" si="11"/>
        <v>10003.5</v>
      </c>
      <c r="P34" s="4">
        <f t="shared" si="11"/>
        <v>5418.5625</v>
      </c>
      <c r="Q34" s="4">
        <f t="shared" si="11"/>
        <v>1083.7125</v>
      </c>
      <c r="R34" s="122">
        <f t="shared" si="11"/>
        <v>6502.275</v>
      </c>
      <c r="S34" s="5">
        <f>R34*0.375</f>
        <v>2438.3531249999996</v>
      </c>
      <c r="T34" s="5">
        <f>R34-S34</f>
        <v>4063.921875</v>
      </c>
      <c r="U34" s="28"/>
    </row>
    <row r="35" spans="1:21" ht="11.25">
      <c r="A35" s="173"/>
      <c r="B35" s="187"/>
      <c r="C35" s="43"/>
      <c r="D35" s="42"/>
      <c r="E35" s="42"/>
      <c r="F35" s="60"/>
      <c r="G35" s="61"/>
      <c r="H35" s="42"/>
      <c r="I35" s="42"/>
      <c r="J35" s="42"/>
      <c r="K35" s="44"/>
      <c r="L35" s="110" t="s">
        <v>29</v>
      </c>
      <c r="M35" s="93">
        <f aca="true" t="shared" si="12" ref="M35:R35">SUM(M41:M43)</f>
        <v>40360</v>
      </c>
      <c r="N35" s="4">
        <f t="shared" si="12"/>
        <v>2160</v>
      </c>
      <c r="O35" s="122">
        <f t="shared" si="12"/>
        <v>42520</v>
      </c>
      <c r="P35" s="4">
        <f t="shared" si="12"/>
        <v>26234</v>
      </c>
      <c r="Q35" s="4">
        <f t="shared" si="12"/>
        <v>1404</v>
      </c>
      <c r="R35" s="122">
        <f t="shared" si="12"/>
        <v>27638</v>
      </c>
      <c r="S35" s="49">
        <f>R35*0.375</f>
        <v>10364.25</v>
      </c>
      <c r="T35" s="5">
        <f>R35-S35</f>
        <v>17273.75</v>
      </c>
      <c r="U35" s="28"/>
    </row>
    <row r="36" spans="1:21" ht="11.25">
      <c r="A36" s="173"/>
      <c r="B36" s="187"/>
      <c r="C36" s="43"/>
      <c r="D36" s="42"/>
      <c r="E36" s="42"/>
      <c r="F36" s="42"/>
      <c r="G36" s="42"/>
      <c r="H36" s="42"/>
      <c r="I36" s="42"/>
      <c r="J36" s="42"/>
      <c r="K36" s="44"/>
      <c r="L36" s="110" t="s">
        <v>91</v>
      </c>
      <c r="M36" s="93">
        <f>SUM(M44:M48)</f>
        <v>15378.75</v>
      </c>
      <c r="N36" s="93">
        <f>SUM(N44:N48)</f>
        <v>-3827.25</v>
      </c>
      <c r="O36" s="122">
        <f>+N36+M36</f>
        <v>11551.5</v>
      </c>
      <c r="P36" s="93">
        <f>SUM(P44:P48)</f>
        <v>9996.1875</v>
      </c>
      <c r="Q36" s="93">
        <f>SUM(Q44:Q48)</f>
        <v>-2487.7125</v>
      </c>
      <c r="R36" s="122">
        <f>+Q36+P36</f>
        <v>7508.475</v>
      </c>
      <c r="S36" s="49">
        <f>R36*0.375</f>
        <v>2815.6781250000004</v>
      </c>
      <c r="T36" s="5">
        <f>R36-S36</f>
        <v>4692.796875</v>
      </c>
      <c r="U36" s="28"/>
    </row>
    <row r="37" spans="1:21" ht="11.25">
      <c r="A37" s="173"/>
      <c r="B37" s="187"/>
      <c r="C37" s="43"/>
      <c r="D37" s="42"/>
      <c r="E37" s="42"/>
      <c r="F37" s="42"/>
      <c r="G37" s="42"/>
      <c r="H37" s="42"/>
      <c r="I37" s="42"/>
      <c r="J37" s="42"/>
      <c r="K37" s="44"/>
      <c r="L37" s="110" t="s">
        <v>165</v>
      </c>
      <c r="M37" s="93">
        <f>SUM(M49:M57)</f>
        <v>43808.604</v>
      </c>
      <c r="N37" s="93">
        <f>SUM(N49:N57)</f>
        <v>0</v>
      </c>
      <c r="O37" s="122">
        <f>+N37+M37</f>
        <v>43808.604</v>
      </c>
      <c r="P37" s="93">
        <f>SUM(P49:P57)</f>
        <v>28475.5926</v>
      </c>
      <c r="Q37" s="93">
        <f>SUM(Q49:Q57)</f>
        <v>0</v>
      </c>
      <c r="R37" s="122">
        <f>+Q37+P37</f>
        <v>28475.5926</v>
      </c>
      <c r="S37" s="49">
        <f>R37*0.375</f>
        <v>10678.347225</v>
      </c>
      <c r="T37" s="5">
        <f>R37-S37</f>
        <v>17797.245375</v>
      </c>
      <c r="U37" s="28"/>
    </row>
    <row r="38" spans="1:21" ht="11.25">
      <c r="A38" s="188"/>
      <c r="B38" s="189"/>
      <c r="C38" s="193"/>
      <c r="D38" s="194"/>
      <c r="E38" s="194"/>
      <c r="F38" s="194"/>
      <c r="G38" s="194"/>
      <c r="H38" s="194"/>
      <c r="I38" s="194"/>
      <c r="J38" s="194"/>
      <c r="K38" s="195"/>
      <c r="L38" s="111" t="s">
        <v>13</v>
      </c>
      <c r="M38" s="94">
        <f>M33-M34-M35-M36-M37</f>
        <v>99247.796</v>
      </c>
      <c r="N38" s="94"/>
      <c r="O38" s="123"/>
      <c r="P38" s="94"/>
      <c r="Q38" s="94"/>
      <c r="R38" s="123"/>
      <c r="S38" s="34"/>
      <c r="T38" s="1"/>
      <c r="U38" s="28"/>
    </row>
    <row r="39" spans="1:20" ht="33.75">
      <c r="A39" s="6" t="s">
        <v>14</v>
      </c>
      <c r="B39" s="6" t="s">
        <v>11</v>
      </c>
      <c r="C39" s="33" t="s">
        <v>24</v>
      </c>
      <c r="D39" s="33" t="s">
        <v>20</v>
      </c>
      <c r="E39" s="40" t="s">
        <v>2</v>
      </c>
      <c r="F39" s="33" t="s">
        <v>19</v>
      </c>
      <c r="G39" s="33" t="s">
        <v>18</v>
      </c>
      <c r="H39" s="40" t="s">
        <v>17</v>
      </c>
      <c r="I39" s="40" t="s">
        <v>16</v>
      </c>
      <c r="J39" s="33" t="s">
        <v>3</v>
      </c>
      <c r="K39" s="33" t="s">
        <v>4</v>
      </c>
      <c r="L39" s="107" t="s">
        <v>5</v>
      </c>
      <c r="M39" s="95" t="s">
        <v>21</v>
      </c>
      <c r="N39" s="6" t="s">
        <v>54</v>
      </c>
      <c r="O39" s="107" t="s">
        <v>55</v>
      </c>
      <c r="P39" s="6" t="s">
        <v>22</v>
      </c>
      <c r="Q39" s="6" t="s">
        <v>56</v>
      </c>
      <c r="R39" s="107" t="s">
        <v>57</v>
      </c>
      <c r="S39" s="202" t="s">
        <v>27</v>
      </c>
      <c r="T39" s="202"/>
    </row>
    <row r="40" spans="1:20" ht="33.75">
      <c r="A40" s="56" t="s">
        <v>15</v>
      </c>
      <c r="B40" s="74"/>
      <c r="C40" s="13" t="s">
        <v>42</v>
      </c>
      <c r="D40" s="13" t="s">
        <v>44</v>
      </c>
      <c r="E40" s="13" t="s">
        <v>64</v>
      </c>
      <c r="F40" s="78">
        <v>40</v>
      </c>
      <c r="G40" s="9">
        <v>38429</v>
      </c>
      <c r="H40" s="14" t="s">
        <v>63</v>
      </c>
      <c r="I40" s="14" t="s">
        <v>43</v>
      </c>
      <c r="J40" s="11">
        <v>8336.25</v>
      </c>
      <c r="K40" s="11">
        <f>+J40*0.2</f>
        <v>1667.25</v>
      </c>
      <c r="L40" s="108">
        <f aca="true" t="shared" si="13" ref="L40:L45">SUM(J40:K40)</f>
        <v>10003.5</v>
      </c>
      <c r="M40" s="30">
        <f>J40</f>
        <v>8336.25</v>
      </c>
      <c r="N40" s="30">
        <f>K40</f>
        <v>1667.25</v>
      </c>
      <c r="O40" s="108">
        <f>SUM(M40:N40)</f>
        <v>10003.5</v>
      </c>
      <c r="P40" s="11">
        <f aca="true" t="shared" si="14" ref="P40:Q43">M40*0.65</f>
        <v>5418.5625</v>
      </c>
      <c r="Q40" s="11">
        <f t="shared" si="14"/>
        <v>1083.7125</v>
      </c>
      <c r="R40" s="108">
        <f aca="true" t="shared" si="15" ref="R40:R45">SUM(P40:Q40)</f>
        <v>6502.275</v>
      </c>
      <c r="S40" s="203"/>
      <c r="T40" s="203"/>
    </row>
    <row r="41" spans="1:20" ht="21" customHeight="1">
      <c r="A41" s="56" t="s">
        <v>67</v>
      </c>
      <c r="B41" s="74"/>
      <c r="C41" s="13" t="s">
        <v>42</v>
      </c>
      <c r="D41" s="13" t="s">
        <v>68</v>
      </c>
      <c r="E41" s="13" t="s">
        <v>64</v>
      </c>
      <c r="F41" s="78">
        <v>78</v>
      </c>
      <c r="G41" s="9">
        <v>38525</v>
      </c>
      <c r="H41" s="14">
        <v>38525</v>
      </c>
      <c r="I41" s="14" t="s">
        <v>69</v>
      </c>
      <c r="J41" s="11">
        <v>10800</v>
      </c>
      <c r="K41" s="11">
        <f>J41*0.2</f>
        <v>2160</v>
      </c>
      <c r="L41" s="108">
        <f t="shared" si="13"/>
        <v>12960</v>
      </c>
      <c r="M41" s="11">
        <v>10800</v>
      </c>
      <c r="N41" s="11">
        <f>M41*0.2</f>
        <v>2160</v>
      </c>
      <c r="O41" s="108">
        <f>SUM(M41:N41)</f>
        <v>12960</v>
      </c>
      <c r="P41" s="11">
        <f t="shared" si="14"/>
        <v>7020</v>
      </c>
      <c r="Q41" s="11">
        <f t="shared" si="14"/>
        <v>1404</v>
      </c>
      <c r="R41" s="108">
        <f t="shared" si="15"/>
        <v>8424</v>
      </c>
      <c r="S41" s="204"/>
      <c r="T41" s="205"/>
    </row>
    <row r="42" spans="1:20" ht="33.75">
      <c r="A42" s="56" t="s">
        <v>67</v>
      </c>
      <c r="B42" s="74"/>
      <c r="C42" s="13" t="s">
        <v>49</v>
      </c>
      <c r="D42" s="13" t="s">
        <v>74</v>
      </c>
      <c r="E42" s="84" t="s">
        <v>75</v>
      </c>
      <c r="F42" s="85" t="s">
        <v>76</v>
      </c>
      <c r="G42" s="86">
        <v>38596</v>
      </c>
      <c r="H42" s="87">
        <v>38603</v>
      </c>
      <c r="I42" s="14" t="s">
        <v>69</v>
      </c>
      <c r="J42" s="88">
        <v>27625</v>
      </c>
      <c r="K42" s="88">
        <f>J42*0.2</f>
        <v>5525</v>
      </c>
      <c r="L42" s="112">
        <f t="shared" si="13"/>
        <v>33150</v>
      </c>
      <c r="M42" s="30">
        <v>27625</v>
      </c>
      <c r="N42" s="30"/>
      <c r="O42" s="108">
        <f>SUM(M42:N42)</f>
        <v>27625</v>
      </c>
      <c r="P42" s="11">
        <f t="shared" si="14"/>
        <v>17956.25</v>
      </c>
      <c r="Q42" s="11">
        <f t="shared" si="14"/>
        <v>0</v>
      </c>
      <c r="R42" s="108">
        <f t="shared" si="15"/>
        <v>17956.25</v>
      </c>
      <c r="S42" s="172"/>
      <c r="T42" s="169"/>
    </row>
    <row r="43" spans="1:20" ht="22.5">
      <c r="A43" s="56" t="s">
        <v>67</v>
      </c>
      <c r="B43" s="74"/>
      <c r="C43" s="13" t="s">
        <v>49</v>
      </c>
      <c r="D43" s="13" t="s">
        <v>74</v>
      </c>
      <c r="E43" s="89" t="s">
        <v>88</v>
      </c>
      <c r="F43" s="90">
        <v>22</v>
      </c>
      <c r="G43" s="86">
        <v>38650</v>
      </c>
      <c r="H43" s="87">
        <v>38653</v>
      </c>
      <c r="I43" s="14" t="s">
        <v>81</v>
      </c>
      <c r="J43" s="88">
        <v>1935</v>
      </c>
      <c r="K43" s="88">
        <f>J43*0.2</f>
        <v>387</v>
      </c>
      <c r="L43" s="112">
        <f t="shared" si="13"/>
        <v>2322</v>
      </c>
      <c r="M43" s="30">
        <v>1935</v>
      </c>
      <c r="N43" s="30"/>
      <c r="O43" s="108">
        <f>SUM(M43:N43)</f>
        <v>1935</v>
      </c>
      <c r="P43" s="11">
        <f t="shared" si="14"/>
        <v>1257.75</v>
      </c>
      <c r="Q43" s="11">
        <f t="shared" si="14"/>
        <v>0</v>
      </c>
      <c r="R43" s="108">
        <f t="shared" si="15"/>
        <v>1257.75</v>
      </c>
      <c r="S43" s="172"/>
      <c r="T43" s="169"/>
    </row>
    <row r="44" spans="1:20" s="97" customFormat="1" ht="34.5" customHeight="1">
      <c r="A44" s="126" t="s">
        <v>86</v>
      </c>
      <c r="B44" s="127"/>
      <c r="C44" s="128" t="s">
        <v>42</v>
      </c>
      <c r="D44" s="128" t="s">
        <v>68</v>
      </c>
      <c r="E44" s="128" t="s">
        <v>64</v>
      </c>
      <c r="F44" s="129">
        <v>78</v>
      </c>
      <c r="G44" s="130">
        <v>38525</v>
      </c>
      <c r="H44" s="131">
        <v>38525</v>
      </c>
      <c r="I44" s="131" t="s">
        <v>69</v>
      </c>
      <c r="J44" s="30">
        <v>10800</v>
      </c>
      <c r="K44" s="30">
        <f>J44*0.2</f>
        <v>2160</v>
      </c>
      <c r="L44" s="108">
        <f t="shared" si="13"/>
        <v>12960</v>
      </c>
      <c r="M44" s="30"/>
      <c r="N44" s="30">
        <v>-2160</v>
      </c>
      <c r="O44" s="108">
        <f>SUM(M44:N44)</f>
        <v>-2160</v>
      </c>
      <c r="P44" s="30"/>
      <c r="Q44" s="30">
        <f>N44*0.65</f>
        <v>-1404</v>
      </c>
      <c r="R44" s="108">
        <f t="shared" si="15"/>
        <v>-1404</v>
      </c>
      <c r="S44" s="170" t="s">
        <v>93</v>
      </c>
      <c r="T44" s="171"/>
    </row>
    <row r="45" spans="1:20" s="97" customFormat="1" ht="39" customHeight="1">
      <c r="A45" s="126" t="s">
        <v>86</v>
      </c>
      <c r="B45" s="127"/>
      <c r="C45" s="128" t="s">
        <v>42</v>
      </c>
      <c r="D45" s="128" t="s">
        <v>44</v>
      </c>
      <c r="E45" s="128" t="s">
        <v>64</v>
      </c>
      <c r="F45" s="129">
        <v>40</v>
      </c>
      <c r="G45" s="130">
        <v>38429</v>
      </c>
      <c r="H45" s="131" t="s">
        <v>63</v>
      </c>
      <c r="I45" s="131" t="s">
        <v>43</v>
      </c>
      <c r="J45" s="30">
        <v>8336.25</v>
      </c>
      <c r="K45" s="30">
        <f>+J45*0.2</f>
        <v>1667.25</v>
      </c>
      <c r="L45" s="108">
        <f t="shared" si="13"/>
        <v>10003.5</v>
      </c>
      <c r="M45" s="30"/>
      <c r="N45" s="30">
        <v>-1667.25</v>
      </c>
      <c r="O45" s="108">
        <f aca="true" t="shared" si="16" ref="O45:O57">+N45+M45</f>
        <v>-1667.25</v>
      </c>
      <c r="P45" s="30">
        <f aca="true" t="shared" si="17" ref="P45:P57">M45*0.65</f>
        <v>0</v>
      </c>
      <c r="Q45" s="30">
        <f>N45*0.65</f>
        <v>-1083.7125</v>
      </c>
      <c r="R45" s="108">
        <f t="shared" si="15"/>
        <v>-1083.7125</v>
      </c>
      <c r="S45" s="170" t="s">
        <v>94</v>
      </c>
      <c r="T45" s="171"/>
    </row>
    <row r="46" spans="1:20" s="97" customFormat="1" ht="39" customHeight="1">
      <c r="A46" s="126" t="s">
        <v>86</v>
      </c>
      <c r="B46" s="127"/>
      <c r="C46" s="13" t="s">
        <v>49</v>
      </c>
      <c r="D46" s="128" t="s">
        <v>126</v>
      </c>
      <c r="E46" s="128" t="s">
        <v>127</v>
      </c>
      <c r="F46" s="129">
        <v>26</v>
      </c>
      <c r="G46" s="130">
        <v>38699</v>
      </c>
      <c r="H46" s="131">
        <v>38699</v>
      </c>
      <c r="I46" s="131"/>
      <c r="J46" s="30">
        <v>2152.8</v>
      </c>
      <c r="K46" s="30">
        <v>430.56</v>
      </c>
      <c r="L46" s="108">
        <v>2151.8</v>
      </c>
      <c r="M46" s="30">
        <f>180*11.5</f>
        <v>2070</v>
      </c>
      <c r="N46" s="30"/>
      <c r="O46" s="108">
        <f t="shared" si="16"/>
        <v>2070</v>
      </c>
      <c r="P46" s="30">
        <f t="shared" si="17"/>
        <v>1345.5</v>
      </c>
      <c r="Q46" s="30">
        <f>N46*0.65</f>
        <v>0</v>
      </c>
      <c r="R46" s="108">
        <f aca="true" t="shared" si="18" ref="R46:R57">SUM(P46:Q46)</f>
        <v>1345.5</v>
      </c>
      <c r="S46" s="170" t="s">
        <v>138</v>
      </c>
      <c r="T46" s="171"/>
    </row>
    <row r="47" spans="1:20" s="97" customFormat="1" ht="39" customHeight="1">
      <c r="A47" s="126" t="s">
        <v>86</v>
      </c>
      <c r="B47" s="127"/>
      <c r="C47" s="13" t="s">
        <v>49</v>
      </c>
      <c r="D47" s="128" t="s">
        <v>126</v>
      </c>
      <c r="E47" s="128" t="s">
        <v>128</v>
      </c>
      <c r="F47" s="129">
        <v>17</v>
      </c>
      <c r="G47" s="130">
        <v>38783</v>
      </c>
      <c r="H47" s="131">
        <v>38868</v>
      </c>
      <c r="I47" s="131"/>
      <c r="J47" s="30">
        <v>4308.75</v>
      </c>
      <c r="K47" s="30">
        <v>861.75</v>
      </c>
      <c r="L47" s="108">
        <v>5170.5</v>
      </c>
      <c r="M47" s="30">
        <v>4308.75</v>
      </c>
      <c r="N47" s="30"/>
      <c r="O47" s="108">
        <f t="shared" si="16"/>
        <v>4308.75</v>
      </c>
      <c r="P47" s="30">
        <f t="shared" si="17"/>
        <v>2800.6875</v>
      </c>
      <c r="Q47" s="30"/>
      <c r="R47" s="108">
        <f t="shared" si="18"/>
        <v>2800.6875</v>
      </c>
      <c r="S47" s="170" t="s">
        <v>139</v>
      </c>
      <c r="T47" s="171"/>
    </row>
    <row r="48" spans="1:20" s="97" customFormat="1" ht="22.5">
      <c r="A48" s="126" t="s">
        <v>86</v>
      </c>
      <c r="B48" s="127"/>
      <c r="C48" s="128" t="s">
        <v>42</v>
      </c>
      <c r="D48" s="128" t="s">
        <v>135</v>
      </c>
      <c r="E48" s="128" t="s">
        <v>136</v>
      </c>
      <c r="F48" s="129">
        <v>24</v>
      </c>
      <c r="G48" s="130">
        <v>38856</v>
      </c>
      <c r="H48" s="131">
        <v>38960</v>
      </c>
      <c r="I48" s="131"/>
      <c r="J48" s="30">
        <v>9000</v>
      </c>
      <c r="K48" s="30">
        <v>1800</v>
      </c>
      <c r="L48" s="108">
        <v>10800</v>
      </c>
      <c r="M48" s="30">
        <f>50*180</f>
        <v>9000</v>
      </c>
      <c r="N48" s="30"/>
      <c r="O48" s="108">
        <f t="shared" si="16"/>
        <v>9000</v>
      </c>
      <c r="P48" s="30">
        <f t="shared" si="17"/>
        <v>5850</v>
      </c>
      <c r="Q48" s="30">
        <f aca="true" t="shared" si="19" ref="Q48:Q57">N48*0.65</f>
        <v>0</v>
      </c>
      <c r="R48" s="108">
        <f t="shared" si="18"/>
        <v>5850</v>
      </c>
      <c r="S48" s="170" t="s">
        <v>137</v>
      </c>
      <c r="T48" s="171"/>
    </row>
    <row r="49" spans="1:20" s="97" customFormat="1" ht="22.5">
      <c r="A49" s="126" t="s">
        <v>142</v>
      </c>
      <c r="B49" s="127"/>
      <c r="C49" s="128" t="s">
        <v>42</v>
      </c>
      <c r="D49" s="128" t="s">
        <v>143</v>
      </c>
      <c r="E49" s="128" t="s">
        <v>136</v>
      </c>
      <c r="F49" s="129">
        <v>36</v>
      </c>
      <c r="G49" s="130">
        <v>39155</v>
      </c>
      <c r="H49" s="131" t="s">
        <v>144</v>
      </c>
      <c r="I49" s="131">
        <v>11160</v>
      </c>
      <c r="J49" s="30">
        <v>9300</v>
      </c>
      <c r="K49" s="30">
        <v>1860</v>
      </c>
      <c r="L49" s="108">
        <v>11160</v>
      </c>
      <c r="M49" s="30">
        <v>9300</v>
      </c>
      <c r="N49" s="30"/>
      <c r="O49" s="108">
        <f t="shared" si="16"/>
        <v>9300</v>
      </c>
      <c r="P49" s="30">
        <f t="shared" si="17"/>
        <v>6045</v>
      </c>
      <c r="Q49" s="30">
        <f t="shared" si="19"/>
        <v>0</v>
      </c>
      <c r="R49" s="108">
        <f t="shared" si="18"/>
        <v>6045</v>
      </c>
      <c r="S49" s="167"/>
      <c r="T49" s="168"/>
    </row>
    <row r="50" spans="1:20" s="97" customFormat="1" ht="45">
      <c r="A50" s="126" t="s">
        <v>142</v>
      </c>
      <c r="B50" s="127"/>
      <c r="C50" s="128" t="s">
        <v>42</v>
      </c>
      <c r="D50" s="128" t="s">
        <v>145</v>
      </c>
      <c r="E50" s="128" t="s">
        <v>136</v>
      </c>
      <c r="F50" s="129">
        <v>48</v>
      </c>
      <c r="G50" s="130">
        <v>39202</v>
      </c>
      <c r="H50" s="131" t="s">
        <v>146</v>
      </c>
      <c r="I50" s="131">
        <v>8900.004</v>
      </c>
      <c r="J50" s="30">
        <v>7416.67</v>
      </c>
      <c r="K50" s="30">
        <v>1483.334</v>
      </c>
      <c r="L50" s="108">
        <v>8900.004</v>
      </c>
      <c r="M50" s="30">
        <v>8900.004</v>
      </c>
      <c r="N50" s="30"/>
      <c r="O50" s="108">
        <f t="shared" si="16"/>
        <v>8900.004</v>
      </c>
      <c r="P50" s="30">
        <f t="shared" si="17"/>
        <v>5785.002600000001</v>
      </c>
      <c r="Q50" s="30">
        <f t="shared" si="19"/>
        <v>0</v>
      </c>
      <c r="R50" s="108">
        <f t="shared" si="18"/>
        <v>5785.002600000001</v>
      </c>
      <c r="S50" s="167"/>
      <c r="T50" s="168"/>
    </row>
    <row r="51" spans="1:20" s="97" customFormat="1" ht="22.5">
      <c r="A51" s="126" t="s">
        <v>142</v>
      </c>
      <c r="B51" s="127"/>
      <c r="C51" s="13" t="s">
        <v>49</v>
      </c>
      <c r="D51" s="128" t="s">
        <v>149</v>
      </c>
      <c r="E51" s="128" t="s">
        <v>127</v>
      </c>
      <c r="F51" s="129">
        <v>21</v>
      </c>
      <c r="G51" s="130">
        <v>38961</v>
      </c>
      <c r="H51" s="131">
        <v>38964</v>
      </c>
      <c r="I51" s="131">
        <v>2496</v>
      </c>
      <c r="J51" s="30">
        <v>2496</v>
      </c>
      <c r="K51" s="30">
        <v>499.2</v>
      </c>
      <c r="L51" s="108">
        <v>2995.2</v>
      </c>
      <c r="M51" s="30">
        <f>13*180</f>
        <v>2340</v>
      </c>
      <c r="N51" s="30"/>
      <c r="O51" s="108">
        <f t="shared" si="16"/>
        <v>2340</v>
      </c>
      <c r="P51" s="30">
        <f t="shared" si="17"/>
        <v>1521</v>
      </c>
      <c r="Q51" s="30">
        <f t="shared" si="19"/>
        <v>0</v>
      </c>
      <c r="R51" s="108">
        <f t="shared" si="18"/>
        <v>1521</v>
      </c>
      <c r="S51" s="167"/>
      <c r="T51" s="168"/>
    </row>
    <row r="52" spans="1:20" s="97" customFormat="1" ht="22.5">
      <c r="A52" s="126" t="s">
        <v>142</v>
      </c>
      <c r="B52" s="127"/>
      <c r="C52" s="13" t="s">
        <v>49</v>
      </c>
      <c r="D52" s="128" t="s">
        <v>149</v>
      </c>
      <c r="E52" s="128" t="s">
        <v>127</v>
      </c>
      <c r="F52" s="129">
        <v>12</v>
      </c>
      <c r="G52" s="130">
        <v>39220</v>
      </c>
      <c r="H52" s="131">
        <v>39227</v>
      </c>
      <c r="I52" s="131">
        <v>2386.8</v>
      </c>
      <c r="J52" s="30">
        <v>2386.8</v>
      </c>
      <c r="K52" s="30">
        <v>477.36</v>
      </c>
      <c r="L52" s="108">
        <v>2864.16</v>
      </c>
      <c r="M52" s="30">
        <v>2295</v>
      </c>
      <c r="N52" s="30"/>
      <c r="O52" s="108">
        <f t="shared" si="16"/>
        <v>2295</v>
      </c>
      <c r="P52" s="30">
        <f t="shared" si="17"/>
        <v>1491.75</v>
      </c>
      <c r="Q52" s="30">
        <f t="shared" si="19"/>
        <v>0</v>
      </c>
      <c r="R52" s="108">
        <f t="shared" si="18"/>
        <v>1491.75</v>
      </c>
      <c r="S52" s="167"/>
      <c r="T52" s="168"/>
    </row>
    <row r="53" spans="1:20" s="97" customFormat="1" ht="22.5">
      <c r="A53" s="126" t="s">
        <v>142</v>
      </c>
      <c r="B53" s="127"/>
      <c r="C53" s="13" t="s">
        <v>52</v>
      </c>
      <c r="D53" s="128" t="s">
        <v>155</v>
      </c>
      <c r="E53" s="128" t="s">
        <v>156</v>
      </c>
      <c r="F53" s="129">
        <v>207</v>
      </c>
      <c r="G53" s="130">
        <v>38980</v>
      </c>
      <c r="H53" s="131">
        <v>38981</v>
      </c>
      <c r="I53" s="131">
        <v>4320</v>
      </c>
      <c r="J53" s="30">
        <v>3600</v>
      </c>
      <c r="K53" s="30">
        <v>720</v>
      </c>
      <c r="L53" s="108">
        <v>4320</v>
      </c>
      <c r="M53" s="30">
        <v>3600</v>
      </c>
      <c r="N53" s="30"/>
      <c r="O53" s="108">
        <f t="shared" si="16"/>
        <v>3600</v>
      </c>
      <c r="P53" s="30">
        <f t="shared" si="17"/>
        <v>2340</v>
      </c>
      <c r="Q53" s="30">
        <f t="shared" si="19"/>
        <v>0</v>
      </c>
      <c r="R53" s="108">
        <f t="shared" si="18"/>
        <v>2340</v>
      </c>
      <c r="S53" s="167"/>
      <c r="T53" s="168"/>
    </row>
    <row r="54" spans="1:20" s="97" customFormat="1" ht="22.5">
      <c r="A54" s="126" t="s">
        <v>142</v>
      </c>
      <c r="B54" s="127"/>
      <c r="C54" s="13" t="s">
        <v>52</v>
      </c>
      <c r="D54" s="128" t="s">
        <v>157</v>
      </c>
      <c r="E54" s="128" t="s">
        <v>158</v>
      </c>
      <c r="F54" s="129">
        <v>1</v>
      </c>
      <c r="G54" s="130">
        <v>39153</v>
      </c>
      <c r="H54" s="131">
        <v>39154</v>
      </c>
      <c r="I54" s="131">
        <v>1123.2</v>
      </c>
      <c r="J54" s="30">
        <v>1123.2</v>
      </c>
      <c r="K54" s="30">
        <v>224.64</v>
      </c>
      <c r="L54" s="108">
        <v>1347.84</v>
      </c>
      <c r="M54" s="30">
        <v>1123.2</v>
      </c>
      <c r="N54" s="30"/>
      <c r="O54" s="108">
        <f t="shared" si="16"/>
        <v>1123.2</v>
      </c>
      <c r="P54" s="30">
        <f t="shared" si="17"/>
        <v>730.08</v>
      </c>
      <c r="Q54" s="30">
        <f t="shared" si="19"/>
        <v>0</v>
      </c>
      <c r="R54" s="108">
        <f t="shared" si="18"/>
        <v>730.08</v>
      </c>
      <c r="S54" s="170" t="s">
        <v>168</v>
      </c>
      <c r="T54" s="171"/>
    </row>
    <row r="55" spans="1:20" s="97" customFormat="1" ht="22.5">
      <c r="A55" s="126" t="s">
        <v>142</v>
      </c>
      <c r="B55" s="127"/>
      <c r="C55" s="13" t="s">
        <v>52</v>
      </c>
      <c r="D55" s="128" t="s">
        <v>159</v>
      </c>
      <c r="E55" s="128" t="s">
        <v>156</v>
      </c>
      <c r="F55" s="129">
        <v>116</v>
      </c>
      <c r="G55" s="130">
        <v>39202</v>
      </c>
      <c r="H55" s="131">
        <v>39210</v>
      </c>
      <c r="I55" s="131">
        <v>12096</v>
      </c>
      <c r="J55" s="30">
        <v>10080</v>
      </c>
      <c r="K55" s="30">
        <v>2016</v>
      </c>
      <c r="L55" s="108">
        <v>12096</v>
      </c>
      <c r="M55" s="30">
        <v>10080</v>
      </c>
      <c r="N55" s="30"/>
      <c r="O55" s="108">
        <f t="shared" si="16"/>
        <v>10080</v>
      </c>
      <c r="P55" s="30">
        <f t="shared" si="17"/>
        <v>6552</v>
      </c>
      <c r="Q55" s="30">
        <f t="shared" si="19"/>
        <v>0</v>
      </c>
      <c r="R55" s="108">
        <f t="shared" si="18"/>
        <v>6552</v>
      </c>
      <c r="S55" s="167"/>
      <c r="T55" s="168"/>
    </row>
    <row r="56" spans="1:20" s="97" customFormat="1" ht="22.5">
      <c r="A56" s="126" t="s">
        <v>142</v>
      </c>
      <c r="B56" s="127"/>
      <c r="C56" s="13" t="s">
        <v>52</v>
      </c>
      <c r="D56" s="128" t="s">
        <v>159</v>
      </c>
      <c r="E56" s="128" t="s">
        <v>160</v>
      </c>
      <c r="F56" s="129">
        <v>5</v>
      </c>
      <c r="G56" s="130">
        <v>39202</v>
      </c>
      <c r="H56" s="131">
        <v>39207</v>
      </c>
      <c r="I56" s="131">
        <v>4860</v>
      </c>
      <c r="J56" s="30">
        <v>4860</v>
      </c>
      <c r="K56" s="30">
        <v>972</v>
      </c>
      <c r="L56" s="108">
        <v>5832</v>
      </c>
      <c r="M56" s="30">
        <v>4860</v>
      </c>
      <c r="N56" s="30"/>
      <c r="O56" s="108">
        <f t="shared" si="16"/>
        <v>4860</v>
      </c>
      <c r="P56" s="30">
        <f t="shared" si="17"/>
        <v>3159</v>
      </c>
      <c r="Q56" s="30">
        <f t="shared" si="19"/>
        <v>0</v>
      </c>
      <c r="R56" s="108">
        <f t="shared" si="18"/>
        <v>3159</v>
      </c>
      <c r="S56" s="170" t="s">
        <v>168</v>
      </c>
      <c r="T56" s="171"/>
    </row>
    <row r="57" spans="1:20" s="97" customFormat="1" ht="22.5">
      <c r="A57" s="126" t="s">
        <v>142</v>
      </c>
      <c r="B57" s="127"/>
      <c r="C57" s="13" t="s">
        <v>52</v>
      </c>
      <c r="D57" s="128" t="s">
        <v>157</v>
      </c>
      <c r="E57" s="128" t="s">
        <v>158</v>
      </c>
      <c r="F57" s="129">
        <v>3</v>
      </c>
      <c r="G57" s="130">
        <v>39202</v>
      </c>
      <c r="H57" s="131">
        <v>39207</v>
      </c>
      <c r="I57" s="131">
        <v>1310.4</v>
      </c>
      <c r="J57" s="30">
        <v>1310.4</v>
      </c>
      <c r="K57" s="30">
        <v>262.08</v>
      </c>
      <c r="L57" s="108">
        <v>1572.48</v>
      </c>
      <c r="M57" s="30">
        <v>1310.4</v>
      </c>
      <c r="N57" s="30"/>
      <c r="O57" s="108">
        <f t="shared" si="16"/>
        <v>1310.4</v>
      </c>
      <c r="P57" s="30">
        <f t="shared" si="17"/>
        <v>851.7600000000001</v>
      </c>
      <c r="Q57" s="30">
        <f t="shared" si="19"/>
        <v>0</v>
      </c>
      <c r="R57" s="108">
        <f t="shared" si="18"/>
        <v>851.7600000000001</v>
      </c>
      <c r="S57" s="170" t="s">
        <v>168</v>
      </c>
      <c r="T57" s="171"/>
    </row>
    <row r="58" spans="1:20" s="97" customFormat="1" ht="11.25">
      <c r="A58" s="126"/>
      <c r="B58" s="127"/>
      <c r="C58" s="128"/>
      <c r="D58" s="128"/>
      <c r="E58" s="128"/>
      <c r="F58" s="129"/>
      <c r="G58" s="130"/>
      <c r="H58" s="131"/>
      <c r="I58" s="131"/>
      <c r="J58" s="30"/>
      <c r="K58" s="30"/>
      <c r="L58" s="108"/>
      <c r="M58" s="30"/>
      <c r="N58" s="30"/>
      <c r="O58" s="108"/>
      <c r="P58" s="30"/>
      <c r="Q58" s="30"/>
      <c r="R58" s="108"/>
      <c r="S58" s="167"/>
      <c r="T58" s="168"/>
    </row>
    <row r="59" spans="1:20" ht="10.5" customHeight="1">
      <c r="A59" s="56"/>
      <c r="B59" s="7"/>
      <c r="C59" s="8"/>
      <c r="D59" s="13"/>
      <c r="E59" s="8"/>
      <c r="F59" s="13"/>
      <c r="G59" s="9"/>
      <c r="H59" s="14"/>
      <c r="I59" s="14"/>
      <c r="J59" s="11"/>
      <c r="K59" s="11">
        <f>+J59*0.2</f>
        <v>0</v>
      </c>
      <c r="L59" s="108">
        <f>SUM(J59:K59)</f>
        <v>0</v>
      </c>
      <c r="M59" s="30">
        <v>0</v>
      </c>
      <c r="N59" s="30"/>
      <c r="O59" s="108"/>
      <c r="P59" s="11">
        <f>M59*0.65</f>
        <v>0</v>
      </c>
      <c r="Q59" s="11"/>
      <c r="R59" s="108"/>
      <c r="S59" s="206"/>
      <c r="T59" s="206"/>
    </row>
    <row r="61" spans="1:20" s="101" customFormat="1" ht="11.25">
      <c r="A61" s="196" t="s">
        <v>1</v>
      </c>
      <c r="B61" s="197"/>
      <c r="C61" s="197"/>
      <c r="D61" s="197"/>
      <c r="E61" s="197"/>
      <c r="F61" s="197"/>
      <c r="G61" s="197"/>
      <c r="H61" s="197"/>
      <c r="I61" s="197"/>
      <c r="J61" s="197"/>
      <c r="K61" s="197"/>
      <c r="L61" s="198"/>
      <c r="M61" s="100" t="s">
        <v>58</v>
      </c>
      <c r="N61" s="27" t="s">
        <v>59</v>
      </c>
      <c r="O61" s="120" t="s">
        <v>60</v>
      </c>
      <c r="P61" s="27" t="s">
        <v>61</v>
      </c>
      <c r="Q61" s="27" t="s">
        <v>62</v>
      </c>
      <c r="R61" s="120" t="s">
        <v>57</v>
      </c>
      <c r="S61" s="31" t="s">
        <v>25</v>
      </c>
      <c r="T61" s="32" t="s">
        <v>26</v>
      </c>
    </row>
    <row r="62" spans="1:21" ht="11.25">
      <c r="A62" s="173"/>
      <c r="B62" s="187"/>
      <c r="C62" s="190"/>
      <c r="D62" s="191"/>
      <c r="E62" s="191"/>
      <c r="F62" s="191"/>
      <c r="G62" s="191"/>
      <c r="H62" s="191"/>
      <c r="I62" s="191"/>
      <c r="J62" s="191"/>
      <c r="K62" s="192"/>
      <c r="L62" s="104" t="s">
        <v>12</v>
      </c>
      <c r="M62" s="96">
        <v>0</v>
      </c>
      <c r="N62" s="3">
        <f>M62*0.2</f>
        <v>0</v>
      </c>
      <c r="O62" s="121">
        <f>SUM(M62:N62)</f>
        <v>0</v>
      </c>
      <c r="P62" s="3">
        <f>M62*0.65</f>
        <v>0</v>
      </c>
      <c r="Q62" s="3">
        <f>P62*0.2</f>
        <v>0</v>
      </c>
      <c r="R62" s="121">
        <f>SUM(P62:Q62)</f>
        <v>0</v>
      </c>
      <c r="S62" s="48"/>
      <c r="T62" s="48"/>
      <c r="U62" s="28"/>
    </row>
    <row r="63" spans="1:21" ht="11.25">
      <c r="A63" s="173"/>
      <c r="B63" s="187"/>
      <c r="C63" s="43"/>
      <c r="D63" s="42"/>
      <c r="E63" s="42"/>
      <c r="F63" s="42"/>
      <c r="G63" s="42"/>
      <c r="H63" s="42"/>
      <c r="I63" s="42"/>
      <c r="J63" s="42"/>
      <c r="K63" s="12">
        <f>SUM(K69:K70)</f>
        <v>0</v>
      </c>
      <c r="L63" s="105" t="s">
        <v>28</v>
      </c>
      <c r="M63" s="93">
        <f aca="true" t="shared" si="20" ref="M63:R63">SUM(M69:M70)</f>
        <v>0</v>
      </c>
      <c r="N63" s="4">
        <f t="shared" si="20"/>
        <v>0</v>
      </c>
      <c r="O63" s="122">
        <f t="shared" si="20"/>
        <v>0</v>
      </c>
      <c r="P63" s="4">
        <f t="shared" si="20"/>
        <v>0</v>
      </c>
      <c r="Q63" s="4">
        <f t="shared" si="20"/>
        <v>0</v>
      </c>
      <c r="R63" s="122">
        <f t="shared" si="20"/>
        <v>0</v>
      </c>
      <c r="S63" s="5">
        <f>R63*0.375</f>
        <v>0</v>
      </c>
      <c r="T63" s="5">
        <f>R63-S63</f>
        <v>0</v>
      </c>
      <c r="U63" s="28"/>
    </row>
    <row r="64" spans="1:21" ht="11.25">
      <c r="A64" s="173"/>
      <c r="B64" s="187"/>
      <c r="C64" s="43"/>
      <c r="D64" s="42"/>
      <c r="E64" s="42"/>
      <c r="F64" s="42"/>
      <c r="G64" s="42"/>
      <c r="H64" s="42"/>
      <c r="I64" s="42"/>
      <c r="J64" s="42"/>
      <c r="K64" s="44"/>
      <c r="L64" s="110" t="s">
        <v>29</v>
      </c>
      <c r="M64" s="93">
        <v>0</v>
      </c>
      <c r="N64" s="4"/>
      <c r="O64" s="122"/>
      <c r="P64" s="4">
        <v>0</v>
      </c>
      <c r="Q64" s="80"/>
      <c r="R64" s="124"/>
      <c r="S64" s="49">
        <f>P64*0.375</f>
        <v>0</v>
      </c>
      <c r="T64" s="5">
        <f>P64-S64</f>
        <v>0</v>
      </c>
      <c r="U64" s="28"/>
    </row>
    <row r="65" spans="1:21" ht="11.25">
      <c r="A65" s="173"/>
      <c r="B65" s="187"/>
      <c r="C65" s="43"/>
      <c r="D65" s="42"/>
      <c r="E65" s="42"/>
      <c r="F65" s="42"/>
      <c r="G65" s="42"/>
      <c r="H65" s="42"/>
      <c r="I65" s="42"/>
      <c r="J65" s="42"/>
      <c r="K65" s="44"/>
      <c r="L65" s="105" t="s">
        <v>91</v>
      </c>
      <c r="M65" s="93"/>
      <c r="N65" s="4"/>
      <c r="O65" s="122"/>
      <c r="P65" s="4"/>
      <c r="Q65" s="99"/>
      <c r="R65" s="125"/>
      <c r="S65" s="98"/>
      <c r="T65" s="98"/>
      <c r="U65" s="28"/>
    </row>
    <row r="66" spans="1:21" ht="11.25">
      <c r="A66" s="173"/>
      <c r="B66" s="187"/>
      <c r="C66" s="43"/>
      <c r="D66" s="42"/>
      <c r="E66" s="42"/>
      <c r="F66" s="42"/>
      <c r="G66" s="42"/>
      <c r="H66" s="42"/>
      <c r="I66" s="42"/>
      <c r="J66" s="42"/>
      <c r="K66" s="44"/>
      <c r="L66" s="105" t="s">
        <v>165</v>
      </c>
      <c r="M66" s="93"/>
      <c r="N66" s="4"/>
      <c r="O66" s="122"/>
      <c r="P66" s="4"/>
      <c r="Q66" s="99"/>
      <c r="R66" s="125"/>
      <c r="S66" s="98"/>
      <c r="T66" s="98"/>
      <c r="U66" s="28"/>
    </row>
    <row r="67" spans="1:21" ht="11.25">
      <c r="A67" s="188"/>
      <c r="B67" s="189"/>
      <c r="C67" s="193"/>
      <c r="D67" s="194"/>
      <c r="E67" s="194"/>
      <c r="F67" s="194"/>
      <c r="G67" s="194"/>
      <c r="H67" s="194"/>
      <c r="I67" s="194"/>
      <c r="J67" s="194"/>
      <c r="K67" s="195"/>
      <c r="L67" s="106" t="s">
        <v>13</v>
      </c>
      <c r="M67" s="94">
        <f aca="true" t="shared" si="21" ref="M67:R67">M62-M63-M64-M65</f>
        <v>0</v>
      </c>
      <c r="N67" s="94">
        <f t="shared" si="21"/>
        <v>0</v>
      </c>
      <c r="O67" s="123">
        <f t="shared" si="21"/>
        <v>0</v>
      </c>
      <c r="P67" s="94">
        <f t="shared" si="21"/>
        <v>0</v>
      </c>
      <c r="Q67" s="94">
        <f t="shared" si="21"/>
        <v>0</v>
      </c>
      <c r="R67" s="123">
        <f t="shared" si="21"/>
        <v>0</v>
      </c>
      <c r="S67" s="50"/>
      <c r="T67" s="1"/>
      <c r="U67" s="28"/>
    </row>
    <row r="68" spans="1:20" ht="22.5">
      <c r="A68" s="6" t="s">
        <v>14</v>
      </c>
      <c r="B68" s="6" t="s">
        <v>11</v>
      </c>
      <c r="C68" s="33" t="s">
        <v>24</v>
      </c>
      <c r="D68" s="33" t="s">
        <v>20</v>
      </c>
      <c r="E68" s="40" t="s">
        <v>2</v>
      </c>
      <c r="F68" s="33" t="s">
        <v>19</v>
      </c>
      <c r="G68" s="33" t="s">
        <v>18</v>
      </c>
      <c r="H68" s="40" t="s">
        <v>17</v>
      </c>
      <c r="I68" s="40" t="s">
        <v>16</v>
      </c>
      <c r="J68" s="33" t="s">
        <v>3</v>
      </c>
      <c r="K68" s="33" t="s">
        <v>4</v>
      </c>
      <c r="L68" s="107" t="s">
        <v>5</v>
      </c>
      <c r="M68" s="95" t="s">
        <v>21</v>
      </c>
      <c r="N68" s="6" t="s">
        <v>54</v>
      </c>
      <c r="O68" s="107" t="s">
        <v>55</v>
      </c>
      <c r="P68" s="6" t="s">
        <v>22</v>
      </c>
      <c r="Q68" s="6" t="s">
        <v>56</v>
      </c>
      <c r="R68" s="107" t="s">
        <v>57</v>
      </c>
      <c r="S68" s="202" t="s">
        <v>27</v>
      </c>
      <c r="T68" s="202"/>
    </row>
    <row r="69" spans="1:20" ht="11.25">
      <c r="A69" s="56"/>
      <c r="B69" s="7"/>
      <c r="C69" s="8"/>
      <c r="D69" s="13"/>
      <c r="E69" s="13"/>
      <c r="F69" s="8"/>
      <c r="G69" s="9"/>
      <c r="H69" s="10"/>
      <c r="I69" s="10"/>
      <c r="J69" s="11"/>
      <c r="K69" s="11">
        <f>+J69*0.2</f>
        <v>0</v>
      </c>
      <c r="L69" s="108">
        <f>SUM(J69:K69)</f>
        <v>0</v>
      </c>
      <c r="M69" s="30">
        <f>+L69</f>
        <v>0</v>
      </c>
      <c r="N69" s="11"/>
      <c r="O69" s="108">
        <f>SUM(M69:N69)</f>
        <v>0</v>
      </c>
      <c r="P69" s="11">
        <f>M69*0.65</f>
        <v>0</v>
      </c>
      <c r="Q69" s="11">
        <f>N69*0.65</f>
        <v>0</v>
      </c>
      <c r="R69" s="108">
        <f>SUM(P69:Q69)</f>
        <v>0</v>
      </c>
      <c r="S69" s="203"/>
      <c r="T69" s="203"/>
    </row>
    <row r="70" spans="1:20" ht="11.25">
      <c r="A70" s="57"/>
      <c r="B70" s="7"/>
      <c r="C70" s="8"/>
      <c r="D70" s="8"/>
      <c r="E70" s="8"/>
      <c r="F70" s="8"/>
      <c r="G70" s="9"/>
      <c r="H70" s="10"/>
      <c r="I70" s="10"/>
      <c r="J70" s="11"/>
      <c r="K70" s="11"/>
      <c r="L70" s="108"/>
      <c r="M70" s="30"/>
      <c r="N70" s="11"/>
      <c r="O70" s="108"/>
      <c r="P70" s="11"/>
      <c r="Q70" s="11"/>
      <c r="R70" s="108"/>
      <c r="S70" s="203"/>
      <c r="T70" s="203"/>
    </row>
    <row r="72" spans="1:20" s="101" customFormat="1" ht="11.25">
      <c r="A72" s="196" t="s">
        <v>8</v>
      </c>
      <c r="B72" s="197"/>
      <c r="C72" s="197"/>
      <c r="D72" s="197"/>
      <c r="E72" s="197"/>
      <c r="F72" s="197"/>
      <c r="G72" s="197"/>
      <c r="H72" s="197"/>
      <c r="I72" s="197"/>
      <c r="J72" s="197"/>
      <c r="K72" s="197"/>
      <c r="L72" s="198"/>
      <c r="M72" s="100" t="s">
        <v>58</v>
      </c>
      <c r="N72" s="27" t="s">
        <v>59</v>
      </c>
      <c r="O72" s="120" t="s">
        <v>60</v>
      </c>
      <c r="P72" s="27" t="s">
        <v>61</v>
      </c>
      <c r="Q72" s="27" t="s">
        <v>62</v>
      </c>
      <c r="R72" s="120" t="s">
        <v>57</v>
      </c>
      <c r="S72" s="31" t="s">
        <v>25</v>
      </c>
      <c r="T72" s="32" t="s">
        <v>26</v>
      </c>
    </row>
    <row r="73" spans="1:21" ht="11.25">
      <c r="A73" s="173"/>
      <c r="B73" s="187"/>
      <c r="C73" s="190"/>
      <c r="D73" s="191"/>
      <c r="E73" s="191"/>
      <c r="F73" s="191"/>
      <c r="G73" s="191"/>
      <c r="H73" s="191"/>
      <c r="I73" s="191"/>
      <c r="J73" s="191"/>
      <c r="K73" s="192"/>
      <c r="L73" s="113" t="s">
        <v>12</v>
      </c>
      <c r="M73" s="96">
        <v>720</v>
      </c>
      <c r="N73" s="3"/>
      <c r="O73" s="121"/>
      <c r="P73" s="3"/>
      <c r="Q73" s="3"/>
      <c r="R73" s="121"/>
      <c r="S73" s="48"/>
      <c r="T73" s="48"/>
      <c r="U73" s="28"/>
    </row>
    <row r="74" spans="1:21" ht="11.25">
      <c r="A74" s="173"/>
      <c r="B74" s="187"/>
      <c r="C74" s="43"/>
      <c r="D74" s="42"/>
      <c r="E74" s="42"/>
      <c r="F74" s="42"/>
      <c r="G74" s="42"/>
      <c r="H74" s="42"/>
      <c r="I74" s="42"/>
      <c r="J74" s="42"/>
      <c r="K74" s="4">
        <f>SUM(K80:K81)</f>
        <v>0</v>
      </c>
      <c r="L74" s="105" t="s">
        <v>28</v>
      </c>
      <c r="M74" s="93">
        <f aca="true" t="shared" si="22" ref="M74:R74">SUM(M80:M81)</f>
        <v>0</v>
      </c>
      <c r="N74" s="4">
        <f t="shared" si="22"/>
        <v>0</v>
      </c>
      <c r="O74" s="122">
        <f t="shared" si="22"/>
        <v>0</v>
      </c>
      <c r="P74" s="4">
        <f t="shared" si="22"/>
        <v>0</v>
      </c>
      <c r="Q74" s="4">
        <f t="shared" si="22"/>
        <v>0</v>
      </c>
      <c r="R74" s="122">
        <f t="shared" si="22"/>
        <v>0</v>
      </c>
      <c r="S74" s="5">
        <f>R74*0.375</f>
        <v>0</v>
      </c>
      <c r="T74" s="5">
        <f>R74-S74</f>
        <v>0</v>
      </c>
      <c r="U74" s="28"/>
    </row>
    <row r="75" spans="1:21" ht="11.25">
      <c r="A75" s="173"/>
      <c r="B75" s="187"/>
      <c r="C75" s="43"/>
      <c r="D75" s="42"/>
      <c r="E75" s="42"/>
      <c r="F75" s="42"/>
      <c r="G75" s="42"/>
      <c r="H75" s="42"/>
      <c r="I75" s="42"/>
      <c r="J75" s="42"/>
      <c r="K75" s="44"/>
      <c r="L75" s="110" t="s">
        <v>29</v>
      </c>
      <c r="M75" s="93">
        <v>0</v>
      </c>
      <c r="N75" s="4"/>
      <c r="O75" s="122"/>
      <c r="P75" s="4">
        <v>0</v>
      </c>
      <c r="Q75" s="80"/>
      <c r="R75" s="124"/>
      <c r="S75" s="49">
        <f>P75*0.375</f>
        <v>0</v>
      </c>
      <c r="T75" s="5">
        <f>P75-S75</f>
        <v>0</v>
      </c>
      <c r="U75" s="28"/>
    </row>
    <row r="76" spans="1:21" ht="11.25">
      <c r="A76" s="173"/>
      <c r="B76" s="187"/>
      <c r="C76" s="43"/>
      <c r="D76" s="42"/>
      <c r="E76" s="42"/>
      <c r="F76" s="42"/>
      <c r="G76" s="42"/>
      <c r="H76" s="42"/>
      <c r="I76" s="42"/>
      <c r="J76" s="42"/>
      <c r="K76" s="44"/>
      <c r="L76" s="105" t="s">
        <v>91</v>
      </c>
      <c r="M76" s="93"/>
      <c r="N76" s="4"/>
      <c r="O76" s="122"/>
      <c r="P76" s="4"/>
      <c r="Q76" s="80"/>
      <c r="R76" s="124"/>
      <c r="S76" s="98"/>
      <c r="T76" s="98"/>
      <c r="U76" s="28"/>
    </row>
    <row r="77" spans="1:21" ht="11.25">
      <c r="A77" s="173"/>
      <c r="B77" s="187"/>
      <c r="C77" s="43"/>
      <c r="D77" s="42"/>
      <c r="E77" s="42"/>
      <c r="F77" s="42"/>
      <c r="G77" s="42"/>
      <c r="H77" s="42"/>
      <c r="I77" s="42"/>
      <c r="J77" s="42"/>
      <c r="K77" s="44"/>
      <c r="L77" s="105" t="s">
        <v>165</v>
      </c>
      <c r="M77" s="93"/>
      <c r="N77" s="4"/>
      <c r="O77" s="122"/>
      <c r="P77" s="4"/>
      <c r="Q77" s="80"/>
      <c r="R77" s="124"/>
      <c r="S77" s="98"/>
      <c r="T77" s="98"/>
      <c r="U77" s="28"/>
    </row>
    <row r="78" spans="1:21" ht="11.25">
      <c r="A78" s="188"/>
      <c r="B78" s="189"/>
      <c r="C78" s="193"/>
      <c r="D78" s="194"/>
      <c r="E78" s="194"/>
      <c r="F78" s="194"/>
      <c r="G78" s="194"/>
      <c r="H78" s="194"/>
      <c r="I78" s="194"/>
      <c r="J78" s="194"/>
      <c r="K78" s="195"/>
      <c r="L78" s="106" t="s">
        <v>13</v>
      </c>
      <c r="M78" s="94">
        <f>M73-M74-M75-M76-M77</f>
        <v>720</v>
      </c>
      <c r="N78" s="94"/>
      <c r="O78" s="123"/>
      <c r="P78" s="94"/>
      <c r="Q78" s="94"/>
      <c r="R78" s="123"/>
      <c r="S78" s="1"/>
      <c r="T78" s="1"/>
      <c r="U78" s="28"/>
    </row>
    <row r="79" spans="1:20" ht="22.5">
      <c r="A79" s="6" t="s">
        <v>14</v>
      </c>
      <c r="B79" s="6" t="s">
        <v>11</v>
      </c>
      <c r="C79" s="33" t="s">
        <v>24</v>
      </c>
      <c r="D79" s="33" t="s">
        <v>20</v>
      </c>
      <c r="E79" s="40" t="s">
        <v>2</v>
      </c>
      <c r="F79" s="33" t="s">
        <v>19</v>
      </c>
      <c r="G79" s="33" t="s">
        <v>18</v>
      </c>
      <c r="H79" s="40" t="s">
        <v>17</v>
      </c>
      <c r="I79" s="40" t="s">
        <v>16</v>
      </c>
      <c r="J79" s="33" t="s">
        <v>3</v>
      </c>
      <c r="K79" s="33" t="s">
        <v>4</v>
      </c>
      <c r="L79" s="107" t="s">
        <v>5</v>
      </c>
      <c r="M79" s="95" t="s">
        <v>21</v>
      </c>
      <c r="N79" s="6" t="s">
        <v>54</v>
      </c>
      <c r="O79" s="107" t="s">
        <v>55</v>
      </c>
      <c r="P79" s="6" t="s">
        <v>22</v>
      </c>
      <c r="Q79" s="6" t="s">
        <v>56</v>
      </c>
      <c r="R79" s="107" t="s">
        <v>57</v>
      </c>
      <c r="S79" s="202" t="s">
        <v>27</v>
      </c>
      <c r="T79" s="202"/>
    </row>
    <row r="80" spans="1:20" ht="11.25">
      <c r="A80" s="56"/>
      <c r="B80" s="7"/>
      <c r="C80" s="8"/>
      <c r="D80" s="15"/>
      <c r="E80" s="7"/>
      <c r="F80" s="7"/>
      <c r="G80" s="16"/>
      <c r="H80" s="17"/>
      <c r="I80" s="18"/>
      <c r="J80" s="11"/>
      <c r="K80" s="11"/>
      <c r="L80" s="114">
        <f>J80+K80</f>
        <v>0</v>
      </c>
      <c r="M80" s="30"/>
      <c r="N80" s="11"/>
      <c r="O80" s="108">
        <f>SUM(M80:N80)</f>
        <v>0</v>
      </c>
      <c r="P80" s="11">
        <f>M80*0.65</f>
        <v>0</v>
      </c>
      <c r="Q80" s="11">
        <f>N80*0.65</f>
        <v>0</v>
      </c>
      <c r="R80" s="108">
        <f>SUM(P80:Q80)</f>
        <v>0</v>
      </c>
      <c r="S80" s="203"/>
      <c r="T80" s="203"/>
    </row>
    <row r="81" spans="1:20" ht="11.25">
      <c r="A81" s="57"/>
      <c r="B81" s="7"/>
      <c r="C81" s="8"/>
      <c r="D81" s="8"/>
      <c r="E81" s="8"/>
      <c r="F81" s="8"/>
      <c r="G81" s="9"/>
      <c r="H81" s="10"/>
      <c r="I81" s="10"/>
      <c r="J81" s="11"/>
      <c r="K81" s="11"/>
      <c r="L81" s="108"/>
      <c r="M81" s="30"/>
      <c r="N81" s="11"/>
      <c r="O81" s="108"/>
      <c r="P81" s="11"/>
      <c r="Q81" s="11"/>
      <c r="R81" s="108"/>
      <c r="S81" s="203"/>
      <c r="T81" s="203"/>
    </row>
    <row r="83" spans="1:20" s="101" customFormat="1" ht="11.25">
      <c r="A83" s="196" t="s">
        <v>23</v>
      </c>
      <c r="B83" s="197"/>
      <c r="C83" s="197"/>
      <c r="D83" s="197"/>
      <c r="E83" s="197"/>
      <c r="F83" s="197"/>
      <c r="G83" s="197"/>
      <c r="H83" s="197"/>
      <c r="I83" s="197"/>
      <c r="J83" s="197"/>
      <c r="K83" s="197"/>
      <c r="L83" s="198"/>
      <c r="M83" s="100" t="s">
        <v>58</v>
      </c>
      <c r="N83" s="27" t="s">
        <v>59</v>
      </c>
      <c r="O83" s="120" t="s">
        <v>60</v>
      </c>
      <c r="P83" s="27" t="s">
        <v>61</v>
      </c>
      <c r="Q83" s="27" t="s">
        <v>62</v>
      </c>
      <c r="R83" s="120" t="s">
        <v>57</v>
      </c>
      <c r="S83" s="31" t="s">
        <v>25</v>
      </c>
      <c r="T83" s="32" t="s">
        <v>26</v>
      </c>
    </row>
    <row r="84" spans="1:21" ht="11.25">
      <c r="A84" s="173"/>
      <c r="B84" s="187"/>
      <c r="C84" s="199"/>
      <c r="D84" s="200"/>
      <c r="E84" s="200"/>
      <c r="F84" s="200"/>
      <c r="G84" s="200"/>
      <c r="H84" s="200"/>
      <c r="I84" s="200"/>
      <c r="J84" s="200"/>
      <c r="K84" s="201"/>
      <c r="L84" s="113" t="s">
        <v>12</v>
      </c>
      <c r="M84" s="96">
        <v>15433.16</v>
      </c>
      <c r="N84" s="3"/>
      <c r="O84" s="121"/>
      <c r="P84" s="3"/>
      <c r="Q84" s="3"/>
      <c r="R84" s="121"/>
      <c r="S84" s="5"/>
      <c r="T84" s="5"/>
      <c r="U84" s="28"/>
    </row>
    <row r="85" spans="1:21" ht="11.25">
      <c r="A85" s="173"/>
      <c r="B85" s="187"/>
      <c r="C85" s="43"/>
      <c r="D85" s="42"/>
      <c r="E85" s="42"/>
      <c r="F85" s="42"/>
      <c r="G85" s="42"/>
      <c r="H85" s="42"/>
      <c r="I85" s="42"/>
      <c r="J85" s="42"/>
      <c r="K85" s="4"/>
      <c r="L85" s="105" t="s">
        <v>28</v>
      </c>
      <c r="M85" s="93"/>
      <c r="N85" s="4">
        <f>SUM(N91:N107)</f>
        <v>0</v>
      </c>
      <c r="O85" s="122"/>
      <c r="P85" s="4"/>
      <c r="Q85" s="4">
        <f>SUM(Q91:Q107)</f>
        <v>0</v>
      </c>
      <c r="R85" s="122"/>
      <c r="S85" s="5">
        <f>R85*0.375</f>
        <v>0</v>
      </c>
      <c r="T85" s="5">
        <f>R85-S85</f>
        <v>0</v>
      </c>
      <c r="U85" s="28"/>
    </row>
    <row r="86" spans="1:21" ht="11.25">
      <c r="A86" s="173"/>
      <c r="B86" s="187"/>
      <c r="C86" s="43"/>
      <c r="D86" s="42"/>
      <c r="E86" s="42"/>
      <c r="F86" s="42"/>
      <c r="G86" s="42"/>
      <c r="H86" s="42"/>
      <c r="I86" s="42"/>
      <c r="J86" s="42"/>
      <c r="K86" s="44"/>
      <c r="L86" s="105" t="s">
        <v>29</v>
      </c>
      <c r="M86" s="93">
        <f aca="true" t="shared" si="23" ref="M86:R86">SUM(M91:M93)</f>
        <v>9150</v>
      </c>
      <c r="N86" s="4">
        <f t="shared" si="23"/>
        <v>0</v>
      </c>
      <c r="O86" s="122">
        <f t="shared" si="23"/>
        <v>9150</v>
      </c>
      <c r="P86" s="4">
        <f t="shared" si="23"/>
        <v>5947.5</v>
      </c>
      <c r="Q86" s="4">
        <f t="shared" si="23"/>
        <v>0</v>
      </c>
      <c r="R86" s="122">
        <f t="shared" si="23"/>
        <v>5947.5</v>
      </c>
      <c r="S86" s="49">
        <f>R86*0.375</f>
        <v>2230.3125</v>
      </c>
      <c r="T86" s="5">
        <f>R86-S86</f>
        <v>3717.1875</v>
      </c>
      <c r="U86" s="28"/>
    </row>
    <row r="87" spans="1:21" ht="11.25">
      <c r="A87" s="173"/>
      <c r="B87" s="187"/>
      <c r="C87" s="43"/>
      <c r="D87" s="42"/>
      <c r="E87" s="42"/>
      <c r="F87" s="42"/>
      <c r="G87" s="42"/>
      <c r="H87" s="42"/>
      <c r="I87" s="42"/>
      <c r="J87" s="42"/>
      <c r="K87" s="44"/>
      <c r="L87" s="105" t="s">
        <v>91</v>
      </c>
      <c r="M87" s="93">
        <f>SUM(M94:M97)</f>
        <v>7000</v>
      </c>
      <c r="N87" s="93">
        <f>SUM(N94:N97)</f>
        <v>0</v>
      </c>
      <c r="O87" s="122">
        <f>+N87+M87</f>
        <v>7000</v>
      </c>
      <c r="P87" s="93">
        <f>SUM(P94:P97)</f>
        <v>4550</v>
      </c>
      <c r="Q87" s="93">
        <f>SUM(Q94:Q97)</f>
        <v>0</v>
      </c>
      <c r="R87" s="122">
        <f>+Q87+P87</f>
        <v>4550</v>
      </c>
      <c r="S87" s="49">
        <f>R87*0.375</f>
        <v>1706.25</v>
      </c>
      <c r="T87" s="5">
        <f>R87-S87</f>
        <v>2843.75</v>
      </c>
      <c r="U87" s="28"/>
    </row>
    <row r="88" spans="1:21" ht="11.25">
      <c r="A88" s="173"/>
      <c r="B88" s="187"/>
      <c r="C88" s="43"/>
      <c r="D88" s="42"/>
      <c r="E88" s="42"/>
      <c r="F88" s="42"/>
      <c r="G88" s="42"/>
      <c r="H88" s="42"/>
      <c r="I88" s="42"/>
      <c r="J88" s="42"/>
      <c r="K88" s="44"/>
      <c r="L88" s="105" t="s">
        <v>165</v>
      </c>
      <c r="M88" s="93">
        <f>SUM(M98:M101)</f>
        <v>2850</v>
      </c>
      <c r="N88" s="93">
        <f>SUM(N98:N101)</f>
        <v>0</v>
      </c>
      <c r="O88" s="122">
        <f>+N88+M88</f>
        <v>2850</v>
      </c>
      <c r="P88" s="93">
        <f>SUM(P98:P101)</f>
        <v>1852.5</v>
      </c>
      <c r="Q88" s="93">
        <f>SUM(Q98:Q101)</f>
        <v>0</v>
      </c>
      <c r="R88" s="122">
        <f>+Q88+P88</f>
        <v>1852.5</v>
      </c>
      <c r="S88" s="49">
        <f>R88*0.375</f>
        <v>694.6875</v>
      </c>
      <c r="T88" s="5">
        <f>R88-S88</f>
        <v>1157.8125</v>
      </c>
      <c r="U88" s="28"/>
    </row>
    <row r="89" spans="1:21" ht="11.25">
      <c r="A89" s="188"/>
      <c r="B89" s="189"/>
      <c r="C89" s="45"/>
      <c r="D89" s="46"/>
      <c r="E89" s="46"/>
      <c r="F89" s="46"/>
      <c r="G89" s="46"/>
      <c r="H89" s="46"/>
      <c r="I89" s="46"/>
      <c r="J89" s="46"/>
      <c r="K89" s="47"/>
      <c r="L89" s="106" t="s">
        <v>13</v>
      </c>
      <c r="M89" s="94">
        <f>M84-M85-M86-M87-M88</f>
        <v>-3566.84</v>
      </c>
      <c r="N89" s="94"/>
      <c r="O89" s="123"/>
      <c r="P89" s="94"/>
      <c r="Q89" s="94"/>
      <c r="R89" s="123"/>
      <c r="S89" s="1"/>
      <c r="T89" s="1"/>
      <c r="U89" s="28"/>
    </row>
    <row r="90" spans="1:20" ht="22.5">
      <c r="A90" s="6" t="s">
        <v>14</v>
      </c>
      <c r="B90" s="6" t="s">
        <v>11</v>
      </c>
      <c r="C90" s="33" t="s">
        <v>24</v>
      </c>
      <c r="D90" s="33" t="s">
        <v>20</v>
      </c>
      <c r="E90" s="40" t="s">
        <v>2</v>
      </c>
      <c r="F90" s="33" t="s">
        <v>19</v>
      </c>
      <c r="G90" s="33" t="s">
        <v>80</v>
      </c>
      <c r="H90" s="40" t="s">
        <v>17</v>
      </c>
      <c r="I90" s="40" t="s">
        <v>16</v>
      </c>
      <c r="J90" s="33" t="s">
        <v>3</v>
      </c>
      <c r="K90" s="33" t="s">
        <v>4</v>
      </c>
      <c r="L90" s="107" t="s">
        <v>5</v>
      </c>
      <c r="M90" s="95" t="s">
        <v>21</v>
      </c>
      <c r="N90" s="6" t="s">
        <v>54</v>
      </c>
      <c r="O90" s="107" t="s">
        <v>55</v>
      </c>
      <c r="P90" s="6" t="s">
        <v>22</v>
      </c>
      <c r="Q90" s="6" t="s">
        <v>56</v>
      </c>
      <c r="R90" s="107" t="s">
        <v>57</v>
      </c>
      <c r="S90" s="202" t="s">
        <v>27</v>
      </c>
      <c r="T90" s="202"/>
    </row>
    <row r="91" spans="1:20" ht="22.5">
      <c r="A91" s="56" t="s">
        <v>67</v>
      </c>
      <c r="B91" s="7"/>
      <c r="C91" s="13" t="s">
        <v>49</v>
      </c>
      <c r="D91" s="20" t="s">
        <v>77</v>
      </c>
      <c r="E91" s="89" t="s">
        <v>79</v>
      </c>
      <c r="F91" s="90">
        <v>136</v>
      </c>
      <c r="G91" s="86">
        <v>38506</v>
      </c>
      <c r="H91" s="87">
        <v>38537</v>
      </c>
      <c r="I91" s="91" t="s">
        <v>81</v>
      </c>
      <c r="J91" s="88">
        <v>5500</v>
      </c>
      <c r="K91" s="88">
        <f>J91*0.2</f>
        <v>1100</v>
      </c>
      <c r="L91" s="112">
        <f>J91+K91</f>
        <v>6600</v>
      </c>
      <c r="M91" s="30">
        <v>5500</v>
      </c>
      <c r="N91" s="11"/>
      <c r="O91" s="108">
        <f aca="true" t="shared" si="24" ref="O91:O97">SUM(M91:N91)</f>
        <v>5500</v>
      </c>
      <c r="P91" s="11">
        <f aca="true" t="shared" si="25" ref="P91:Q93">M91*0.65</f>
        <v>3575</v>
      </c>
      <c r="Q91" s="11">
        <f t="shared" si="25"/>
        <v>0</v>
      </c>
      <c r="R91" s="108">
        <f aca="true" t="shared" si="26" ref="R91:R97">SUM(P91:Q91)</f>
        <v>3575</v>
      </c>
      <c r="S91" s="172"/>
      <c r="T91" s="169"/>
    </row>
    <row r="92" spans="1:20" ht="22.5">
      <c r="A92" s="56" t="s">
        <v>67</v>
      </c>
      <c r="B92" s="7"/>
      <c r="C92" s="13" t="s">
        <v>49</v>
      </c>
      <c r="D92" s="20" t="s">
        <v>78</v>
      </c>
      <c r="E92" s="89" t="s">
        <v>79</v>
      </c>
      <c r="F92" s="90">
        <v>256</v>
      </c>
      <c r="G92" s="86">
        <v>38656</v>
      </c>
      <c r="H92" s="87">
        <v>38663</v>
      </c>
      <c r="I92" s="91" t="s">
        <v>81</v>
      </c>
      <c r="J92" s="88">
        <v>900</v>
      </c>
      <c r="K92" s="88">
        <f>J92*0.2</f>
        <v>180</v>
      </c>
      <c r="L92" s="112">
        <f>J92+K92</f>
        <v>1080</v>
      </c>
      <c r="M92" s="30">
        <v>900</v>
      </c>
      <c r="N92" s="11"/>
      <c r="O92" s="108">
        <f t="shared" si="24"/>
        <v>900</v>
      </c>
      <c r="P92" s="11">
        <f t="shared" si="25"/>
        <v>585</v>
      </c>
      <c r="Q92" s="11">
        <f t="shared" si="25"/>
        <v>0</v>
      </c>
      <c r="R92" s="108">
        <f t="shared" si="26"/>
        <v>585</v>
      </c>
      <c r="S92" s="172"/>
      <c r="T92" s="169"/>
    </row>
    <row r="93" spans="1:20" ht="22.5">
      <c r="A93" s="56" t="s">
        <v>67</v>
      </c>
      <c r="B93" s="7"/>
      <c r="C93" s="13" t="s">
        <v>52</v>
      </c>
      <c r="D93" s="20" t="s">
        <v>77</v>
      </c>
      <c r="E93" s="89" t="s">
        <v>79</v>
      </c>
      <c r="F93" s="90">
        <v>193</v>
      </c>
      <c r="G93" s="86">
        <v>38595</v>
      </c>
      <c r="H93" s="87">
        <v>38597</v>
      </c>
      <c r="I93" s="91" t="s">
        <v>81</v>
      </c>
      <c r="J93" s="83">
        <v>2750</v>
      </c>
      <c r="K93" s="83">
        <f>J93*0.2</f>
        <v>550</v>
      </c>
      <c r="L93" s="115">
        <f>J93+K93</f>
        <v>3300</v>
      </c>
      <c r="M93" s="30">
        <v>2750</v>
      </c>
      <c r="N93" s="11"/>
      <c r="O93" s="108">
        <f t="shared" si="24"/>
        <v>2750</v>
      </c>
      <c r="P93" s="11">
        <f t="shared" si="25"/>
        <v>1787.5</v>
      </c>
      <c r="Q93" s="11">
        <f t="shared" si="25"/>
        <v>0</v>
      </c>
      <c r="R93" s="108">
        <f t="shared" si="26"/>
        <v>1787.5</v>
      </c>
      <c r="S93" s="204" t="s">
        <v>89</v>
      </c>
      <c r="T93" s="205"/>
    </row>
    <row r="94" spans="1:20" ht="22.5">
      <c r="A94" s="56" t="s">
        <v>86</v>
      </c>
      <c r="B94" s="7"/>
      <c r="C94" s="13" t="s">
        <v>49</v>
      </c>
      <c r="D94" s="20" t="s">
        <v>129</v>
      </c>
      <c r="E94" s="89" t="s">
        <v>79</v>
      </c>
      <c r="F94" s="90">
        <v>71</v>
      </c>
      <c r="G94" s="86">
        <v>38776</v>
      </c>
      <c r="H94" s="87">
        <v>38792</v>
      </c>
      <c r="I94" s="91"/>
      <c r="J94" s="83">
        <v>900</v>
      </c>
      <c r="K94" s="83">
        <v>180</v>
      </c>
      <c r="L94" s="115">
        <v>1080</v>
      </c>
      <c r="M94" s="30">
        <v>900</v>
      </c>
      <c r="N94" s="11"/>
      <c r="O94" s="108">
        <f t="shared" si="24"/>
        <v>900</v>
      </c>
      <c r="P94" s="11">
        <f aca="true" t="shared" si="27" ref="P94:Q97">M94*0.65</f>
        <v>585</v>
      </c>
      <c r="Q94" s="11">
        <f t="shared" si="27"/>
        <v>0</v>
      </c>
      <c r="R94" s="108">
        <f t="shared" si="26"/>
        <v>585</v>
      </c>
      <c r="S94" s="172"/>
      <c r="T94" s="169"/>
    </row>
    <row r="95" spans="1:20" ht="22.5">
      <c r="A95" s="56" t="s">
        <v>86</v>
      </c>
      <c r="B95" s="7"/>
      <c r="C95" s="13" t="s">
        <v>49</v>
      </c>
      <c r="D95" s="20" t="s">
        <v>130</v>
      </c>
      <c r="E95" s="89" t="s">
        <v>131</v>
      </c>
      <c r="F95" s="90">
        <v>960</v>
      </c>
      <c r="G95" s="86">
        <v>38845</v>
      </c>
      <c r="H95" s="87">
        <v>38873</v>
      </c>
      <c r="I95" s="91"/>
      <c r="J95" s="83">
        <v>4500</v>
      </c>
      <c r="K95" s="83">
        <v>900</v>
      </c>
      <c r="L95" s="115">
        <v>5400</v>
      </c>
      <c r="M95" s="30">
        <v>4500</v>
      </c>
      <c r="N95" s="11"/>
      <c r="O95" s="108">
        <f t="shared" si="24"/>
        <v>4500</v>
      </c>
      <c r="P95" s="11">
        <f t="shared" si="27"/>
        <v>2925</v>
      </c>
      <c r="Q95" s="11">
        <f t="shared" si="27"/>
        <v>0</v>
      </c>
      <c r="R95" s="108">
        <f t="shared" si="26"/>
        <v>2925</v>
      </c>
      <c r="S95" s="172"/>
      <c r="T95" s="169"/>
    </row>
    <row r="96" spans="1:20" ht="11.25">
      <c r="A96" s="56" t="s">
        <v>86</v>
      </c>
      <c r="B96" s="7"/>
      <c r="C96" s="13" t="s">
        <v>52</v>
      </c>
      <c r="D96" s="20" t="s">
        <v>132</v>
      </c>
      <c r="E96" s="89" t="s">
        <v>133</v>
      </c>
      <c r="F96" s="90">
        <v>303</v>
      </c>
      <c r="G96" s="86">
        <v>38717</v>
      </c>
      <c r="H96" s="87">
        <v>38868</v>
      </c>
      <c r="I96" s="91">
        <v>960</v>
      </c>
      <c r="J96" s="83">
        <v>800</v>
      </c>
      <c r="K96" s="83">
        <v>160</v>
      </c>
      <c r="L96" s="115">
        <v>960</v>
      </c>
      <c r="M96" s="30">
        <v>800</v>
      </c>
      <c r="N96" s="11"/>
      <c r="O96" s="108">
        <f t="shared" si="24"/>
        <v>800</v>
      </c>
      <c r="P96" s="11">
        <f t="shared" si="27"/>
        <v>520</v>
      </c>
      <c r="Q96" s="11">
        <f t="shared" si="27"/>
        <v>0</v>
      </c>
      <c r="R96" s="108">
        <f t="shared" si="26"/>
        <v>520</v>
      </c>
      <c r="S96" s="172"/>
      <c r="T96" s="169"/>
    </row>
    <row r="97" spans="1:20" ht="11.25">
      <c r="A97" s="56" t="s">
        <v>86</v>
      </c>
      <c r="B97" s="7"/>
      <c r="C97" s="13" t="s">
        <v>52</v>
      </c>
      <c r="D97" s="20" t="s">
        <v>134</v>
      </c>
      <c r="E97" s="89" t="s">
        <v>133</v>
      </c>
      <c r="F97" s="90">
        <v>144</v>
      </c>
      <c r="G97" s="86">
        <v>38839</v>
      </c>
      <c r="H97" s="87">
        <v>38868</v>
      </c>
      <c r="I97" s="91">
        <v>960</v>
      </c>
      <c r="J97" s="83">
        <v>800</v>
      </c>
      <c r="K97" s="83">
        <v>160</v>
      </c>
      <c r="L97" s="115">
        <v>960</v>
      </c>
      <c r="M97" s="30">
        <v>800</v>
      </c>
      <c r="N97" s="11"/>
      <c r="O97" s="108">
        <f t="shared" si="24"/>
        <v>800</v>
      </c>
      <c r="P97" s="11">
        <f t="shared" si="27"/>
        <v>520</v>
      </c>
      <c r="Q97" s="11">
        <f t="shared" si="27"/>
        <v>0</v>
      </c>
      <c r="R97" s="108">
        <f t="shared" si="26"/>
        <v>520</v>
      </c>
      <c r="S97" s="172"/>
      <c r="T97" s="169"/>
    </row>
    <row r="98" spans="1:20" ht="22.5">
      <c r="A98" s="56" t="s">
        <v>142</v>
      </c>
      <c r="B98" s="7"/>
      <c r="C98" s="13" t="s">
        <v>49</v>
      </c>
      <c r="D98" s="20" t="s">
        <v>150</v>
      </c>
      <c r="E98" s="89" t="s">
        <v>151</v>
      </c>
      <c r="F98" s="90">
        <v>224</v>
      </c>
      <c r="G98" s="86">
        <v>38959</v>
      </c>
      <c r="H98" s="87">
        <v>38965</v>
      </c>
      <c r="I98" s="91">
        <v>1080</v>
      </c>
      <c r="J98" s="83">
        <v>900</v>
      </c>
      <c r="K98" s="83">
        <v>180</v>
      </c>
      <c r="L98" s="115">
        <v>1080</v>
      </c>
      <c r="M98" s="30">
        <v>900</v>
      </c>
      <c r="N98" s="11"/>
      <c r="O98" s="108">
        <f>SUM(M98:N98)</f>
        <v>900</v>
      </c>
      <c r="P98" s="11">
        <f aca="true" t="shared" si="28" ref="P98:Q101">M98*0.65</f>
        <v>585</v>
      </c>
      <c r="Q98" s="11">
        <f t="shared" si="28"/>
        <v>0</v>
      </c>
      <c r="R98" s="108">
        <f>SUM(P98:Q98)</f>
        <v>585</v>
      </c>
      <c r="S98" s="221" t="s">
        <v>166</v>
      </c>
      <c r="T98" s="222"/>
    </row>
    <row r="99" spans="1:20" ht="22.5">
      <c r="A99" s="56" t="s">
        <v>142</v>
      </c>
      <c r="B99" s="7"/>
      <c r="C99" s="13" t="s">
        <v>49</v>
      </c>
      <c r="D99" s="20" t="s">
        <v>152</v>
      </c>
      <c r="E99" s="89" t="s">
        <v>131</v>
      </c>
      <c r="F99" s="90">
        <v>1874</v>
      </c>
      <c r="G99" s="86">
        <v>38981</v>
      </c>
      <c r="H99" s="87">
        <v>39014</v>
      </c>
      <c r="I99" s="91">
        <v>780</v>
      </c>
      <c r="J99" s="83">
        <v>650</v>
      </c>
      <c r="K99" s="83">
        <v>130</v>
      </c>
      <c r="L99" s="115">
        <v>780</v>
      </c>
      <c r="M99" s="30">
        <v>650</v>
      </c>
      <c r="N99" s="11"/>
      <c r="O99" s="108">
        <f>SUM(M99:N99)</f>
        <v>650</v>
      </c>
      <c r="P99" s="11">
        <f t="shared" si="28"/>
        <v>422.5</v>
      </c>
      <c r="Q99" s="11">
        <f t="shared" si="28"/>
        <v>0</v>
      </c>
      <c r="R99" s="108">
        <f>SUM(P99:Q99)</f>
        <v>422.5</v>
      </c>
      <c r="S99" s="223"/>
      <c r="T99" s="224"/>
    </row>
    <row r="100" spans="1:20" ht="22.5">
      <c r="A100" s="56" t="s">
        <v>142</v>
      </c>
      <c r="B100" s="7"/>
      <c r="C100" s="13" t="s">
        <v>49</v>
      </c>
      <c r="D100" s="20" t="s">
        <v>129</v>
      </c>
      <c r="E100" s="89" t="s">
        <v>131</v>
      </c>
      <c r="F100" s="90">
        <v>2447</v>
      </c>
      <c r="G100" s="86">
        <v>39048</v>
      </c>
      <c r="H100" s="87">
        <v>39210</v>
      </c>
      <c r="I100" s="91">
        <v>780</v>
      </c>
      <c r="J100" s="83">
        <v>650</v>
      </c>
      <c r="K100" s="83">
        <v>130</v>
      </c>
      <c r="L100" s="115">
        <v>780</v>
      </c>
      <c r="M100" s="30">
        <v>650</v>
      </c>
      <c r="N100" s="11"/>
      <c r="O100" s="108">
        <f>SUM(M100:N100)</f>
        <v>650</v>
      </c>
      <c r="P100" s="11">
        <f t="shared" si="28"/>
        <v>422.5</v>
      </c>
      <c r="Q100" s="11">
        <f t="shared" si="28"/>
        <v>0</v>
      </c>
      <c r="R100" s="108">
        <f>SUM(P100:Q100)</f>
        <v>422.5</v>
      </c>
      <c r="S100" s="223"/>
      <c r="T100" s="224"/>
    </row>
    <row r="101" spans="1:20" ht="22.5">
      <c r="A101" s="56" t="s">
        <v>142</v>
      </c>
      <c r="B101" s="7"/>
      <c r="C101" s="13" t="s">
        <v>49</v>
      </c>
      <c r="D101" s="20" t="s">
        <v>150</v>
      </c>
      <c r="E101" s="89" t="s">
        <v>131</v>
      </c>
      <c r="F101" s="90">
        <v>591</v>
      </c>
      <c r="G101" s="86">
        <v>39153</v>
      </c>
      <c r="H101" s="87">
        <v>39210</v>
      </c>
      <c r="I101" s="91">
        <v>780</v>
      </c>
      <c r="J101" s="83">
        <v>650</v>
      </c>
      <c r="K101" s="83">
        <v>130</v>
      </c>
      <c r="L101" s="115">
        <v>780</v>
      </c>
      <c r="M101" s="30">
        <v>650</v>
      </c>
      <c r="N101" s="11"/>
      <c r="O101" s="108">
        <f>SUM(M101:N101)</f>
        <v>650</v>
      </c>
      <c r="P101" s="11">
        <f t="shared" si="28"/>
        <v>422.5</v>
      </c>
      <c r="Q101" s="11">
        <f t="shared" si="28"/>
        <v>0</v>
      </c>
      <c r="R101" s="108">
        <f>SUM(P101:Q101)</f>
        <v>422.5</v>
      </c>
      <c r="S101" s="225"/>
      <c r="T101" s="226"/>
    </row>
    <row r="102" spans="1:20" ht="11.25">
      <c r="A102" s="56"/>
      <c r="B102" s="7"/>
      <c r="C102" s="13"/>
      <c r="D102" s="20"/>
      <c r="E102" s="89"/>
      <c r="F102" s="90"/>
      <c r="G102" s="86"/>
      <c r="H102" s="87"/>
      <c r="I102" s="91"/>
      <c r="J102" s="83"/>
      <c r="K102" s="83"/>
      <c r="L102" s="115"/>
      <c r="M102" s="30"/>
      <c r="N102" s="11"/>
      <c r="O102" s="108"/>
      <c r="P102" s="11"/>
      <c r="Q102" s="11"/>
      <c r="R102" s="108"/>
      <c r="S102" s="165"/>
      <c r="T102" s="166"/>
    </row>
    <row r="103" spans="1:20" ht="11.25">
      <c r="A103" s="56"/>
      <c r="B103" s="7"/>
      <c r="C103" s="13"/>
      <c r="D103" s="20"/>
      <c r="E103" s="89"/>
      <c r="F103" s="90"/>
      <c r="G103" s="86"/>
      <c r="H103" s="87"/>
      <c r="I103" s="91"/>
      <c r="J103" s="83"/>
      <c r="K103" s="83"/>
      <c r="L103" s="115"/>
      <c r="M103" s="30"/>
      <c r="N103" s="11"/>
      <c r="O103" s="108"/>
      <c r="P103" s="11"/>
      <c r="Q103" s="11"/>
      <c r="R103" s="108"/>
      <c r="S103" s="165"/>
      <c r="T103" s="166"/>
    </row>
    <row r="104" spans="1:20" ht="11.25">
      <c r="A104" s="56"/>
      <c r="B104" s="7"/>
      <c r="C104" s="13"/>
      <c r="D104" s="20"/>
      <c r="E104" s="89"/>
      <c r="F104" s="90"/>
      <c r="G104" s="86"/>
      <c r="H104" s="87"/>
      <c r="I104" s="91"/>
      <c r="J104" s="83"/>
      <c r="K104" s="83"/>
      <c r="L104" s="115"/>
      <c r="M104" s="30"/>
      <c r="N104" s="11"/>
      <c r="O104" s="108"/>
      <c r="P104" s="11"/>
      <c r="Q104" s="11"/>
      <c r="R104" s="108"/>
      <c r="S104" s="165"/>
      <c r="T104" s="166"/>
    </row>
    <row r="105" spans="1:20" ht="11.25">
      <c r="A105" s="56"/>
      <c r="B105" s="7"/>
      <c r="C105" s="13"/>
      <c r="D105" s="20"/>
      <c r="E105" s="89"/>
      <c r="F105" s="90"/>
      <c r="G105" s="86"/>
      <c r="H105" s="87"/>
      <c r="I105" s="91"/>
      <c r="J105" s="83"/>
      <c r="K105" s="83"/>
      <c r="L105" s="115"/>
      <c r="M105" s="30"/>
      <c r="N105" s="11"/>
      <c r="O105" s="108"/>
      <c r="P105" s="11"/>
      <c r="Q105" s="11"/>
      <c r="R105" s="108"/>
      <c r="S105" s="165"/>
      <c r="T105" s="166"/>
    </row>
    <row r="106" spans="1:20" ht="11.25">
      <c r="A106" s="56"/>
      <c r="B106" s="7"/>
      <c r="C106" s="8"/>
      <c r="D106" s="20"/>
      <c r="E106" s="13"/>
      <c r="F106" s="21"/>
      <c r="G106" s="22"/>
      <c r="H106" s="16"/>
      <c r="I106" s="23"/>
      <c r="J106" s="24"/>
      <c r="K106" s="25"/>
      <c r="L106" s="116"/>
      <c r="M106" s="30"/>
      <c r="N106" s="11"/>
      <c r="O106" s="108"/>
      <c r="P106" s="11"/>
      <c r="Q106" s="11"/>
      <c r="R106" s="108"/>
      <c r="S106" s="15"/>
      <c r="T106" s="15"/>
    </row>
    <row r="107" spans="1:20" ht="11.25">
      <c r="A107" s="56"/>
      <c r="B107" s="7"/>
      <c r="C107" s="8"/>
      <c r="D107" s="8"/>
      <c r="E107" s="8"/>
      <c r="F107" s="7"/>
      <c r="G107" s="16"/>
      <c r="H107" s="16"/>
      <c r="I107" s="23"/>
      <c r="J107" s="19"/>
      <c r="K107" s="25"/>
      <c r="L107" s="116"/>
      <c r="M107" s="30"/>
      <c r="N107" s="11"/>
      <c r="O107" s="108"/>
      <c r="P107" s="11"/>
      <c r="Q107" s="11"/>
      <c r="R107" s="108"/>
      <c r="S107" s="203"/>
      <c r="T107" s="203"/>
    </row>
    <row r="109" spans="1:20" s="101" customFormat="1" ht="11.25">
      <c r="A109" s="196" t="s">
        <v>9</v>
      </c>
      <c r="B109" s="197"/>
      <c r="C109" s="197"/>
      <c r="D109" s="197"/>
      <c r="E109" s="197"/>
      <c r="F109" s="197"/>
      <c r="G109" s="197"/>
      <c r="H109" s="197"/>
      <c r="I109" s="197"/>
      <c r="J109" s="197"/>
      <c r="K109" s="197"/>
      <c r="L109" s="198"/>
      <c r="M109" s="100" t="s">
        <v>58</v>
      </c>
      <c r="N109" s="27" t="s">
        <v>59</v>
      </c>
      <c r="O109" s="120" t="s">
        <v>60</v>
      </c>
      <c r="P109" s="27" t="s">
        <v>61</v>
      </c>
      <c r="Q109" s="27" t="s">
        <v>62</v>
      </c>
      <c r="R109" s="120" t="s">
        <v>57</v>
      </c>
      <c r="S109" s="31" t="s">
        <v>25</v>
      </c>
      <c r="T109" s="32" t="s">
        <v>26</v>
      </c>
    </row>
    <row r="110" spans="1:21" ht="11.25">
      <c r="A110" s="173"/>
      <c r="B110" s="187"/>
      <c r="C110" s="199"/>
      <c r="D110" s="200"/>
      <c r="E110" s="200"/>
      <c r="F110" s="200"/>
      <c r="G110" s="200"/>
      <c r="H110" s="200"/>
      <c r="I110" s="200"/>
      <c r="J110" s="200"/>
      <c r="K110" s="201"/>
      <c r="L110" s="113" t="s">
        <v>12</v>
      </c>
      <c r="M110" s="96">
        <v>12000</v>
      </c>
      <c r="N110" s="3"/>
      <c r="O110" s="121"/>
      <c r="P110" s="3"/>
      <c r="Q110" s="3"/>
      <c r="R110" s="121"/>
      <c r="S110" s="5"/>
      <c r="T110" s="5"/>
      <c r="U110" s="28"/>
    </row>
    <row r="111" spans="1:21" ht="11.25">
      <c r="A111" s="173"/>
      <c r="B111" s="187"/>
      <c r="C111" s="43"/>
      <c r="D111" s="42"/>
      <c r="E111" s="42"/>
      <c r="F111" s="42"/>
      <c r="G111" s="42"/>
      <c r="H111" s="42"/>
      <c r="I111" s="42"/>
      <c r="J111" s="42"/>
      <c r="K111" s="4"/>
      <c r="L111" s="105" t="s">
        <v>28</v>
      </c>
      <c r="M111" s="93"/>
      <c r="N111" s="4"/>
      <c r="O111" s="122">
        <f>SUM(O117:O120)</f>
        <v>0</v>
      </c>
      <c r="P111" s="4">
        <f>SUM(P117:P120)</f>
        <v>0</v>
      </c>
      <c r="Q111" s="4">
        <f>SUM(Q117:Q120)</f>
        <v>0</v>
      </c>
      <c r="R111" s="122">
        <f>SUM(R117:R120)</f>
        <v>0</v>
      </c>
      <c r="S111" s="5">
        <f>R111*0.375</f>
        <v>0</v>
      </c>
      <c r="T111" s="5">
        <f>R111-S111</f>
        <v>0</v>
      </c>
      <c r="U111" s="28"/>
    </row>
    <row r="112" spans="1:21" ht="11.25">
      <c r="A112" s="173"/>
      <c r="B112" s="187"/>
      <c r="C112" s="43"/>
      <c r="D112" s="42"/>
      <c r="E112" s="42"/>
      <c r="F112" s="42"/>
      <c r="G112" s="42"/>
      <c r="H112" s="42"/>
      <c r="I112" s="42"/>
      <c r="J112" s="42"/>
      <c r="K112" s="44"/>
      <c r="L112" s="105" t="s">
        <v>29</v>
      </c>
      <c r="M112" s="93"/>
      <c r="N112" s="4"/>
      <c r="O112" s="122"/>
      <c r="P112" s="4"/>
      <c r="Q112" s="80"/>
      <c r="R112" s="124"/>
      <c r="S112" s="49">
        <f>P112*0.375</f>
        <v>0</v>
      </c>
      <c r="T112" s="5">
        <f>P112-S112</f>
        <v>0</v>
      </c>
      <c r="U112" s="28"/>
    </row>
    <row r="113" spans="1:21" ht="11.25">
      <c r="A113" s="173"/>
      <c r="B113" s="187"/>
      <c r="C113" s="43"/>
      <c r="D113" s="42"/>
      <c r="E113" s="42"/>
      <c r="F113" s="42"/>
      <c r="G113" s="42"/>
      <c r="H113" s="42"/>
      <c r="I113" s="42"/>
      <c r="J113" s="42"/>
      <c r="K113" s="44"/>
      <c r="L113" s="105" t="s">
        <v>91</v>
      </c>
      <c r="M113" s="93"/>
      <c r="N113" s="4"/>
      <c r="O113" s="122"/>
      <c r="P113" s="4"/>
      <c r="Q113" s="80"/>
      <c r="R113" s="124"/>
      <c r="S113" s="49">
        <f>P113*0.375</f>
        <v>0</v>
      </c>
      <c r="T113" s="5">
        <f>P113-S113</f>
        <v>0</v>
      </c>
      <c r="U113" s="28"/>
    </row>
    <row r="114" spans="1:21" ht="11.25">
      <c r="A114" s="173"/>
      <c r="B114" s="187"/>
      <c r="C114" s="43"/>
      <c r="D114" s="42"/>
      <c r="E114" s="42"/>
      <c r="F114" s="42"/>
      <c r="G114" s="42"/>
      <c r="H114" s="42"/>
      <c r="I114" s="42"/>
      <c r="J114" s="42"/>
      <c r="K114" s="44"/>
      <c r="L114" s="105" t="s">
        <v>165</v>
      </c>
      <c r="M114" s="93">
        <f>+M117</f>
        <v>0</v>
      </c>
      <c r="N114" s="93">
        <f>+N117</f>
        <v>0</v>
      </c>
      <c r="O114" s="122">
        <f>+N114+M114</f>
        <v>0</v>
      </c>
      <c r="P114" s="93">
        <f>+P117</f>
        <v>0</v>
      </c>
      <c r="Q114" s="93">
        <f>+Q117</f>
        <v>0</v>
      </c>
      <c r="R114" s="122">
        <f>+Q114+P114</f>
        <v>0</v>
      </c>
      <c r="S114" s="49">
        <f>P114*0.375</f>
        <v>0</v>
      </c>
      <c r="T114" s="5">
        <f>P114-S114</f>
        <v>0</v>
      </c>
      <c r="U114" s="28"/>
    </row>
    <row r="115" spans="1:21" ht="11.25">
      <c r="A115" s="188"/>
      <c r="B115" s="189"/>
      <c r="C115" s="193"/>
      <c r="D115" s="194"/>
      <c r="E115" s="194"/>
      <c r="F115" s="194"/>
      <c r="G115" s="194"/>
      <c r="H115" s="194"/>
      <c r="I115" s="194"/>
      <c r="J115" s="194"/>
      <c r="K115" s="195"/>
      <c r="L115" s="106" t="s">
        <v>13</v>
      </c>
      <c r="M115" s="94">
        <f>M110-M111-M112-M113-M114</f>
        <v>12000</v>
      </c>
      <c r="N115" s="94"/>
      <c r="O115" s="123"/>
      <c r="P115" s="94"/>
      <c r="Q115" s="94"/>
      <c r="R115" s="123"/>
      <c r="S115" s="1"/>
      <c r="T115" s="1"/>
      <c r="U115" s="28"/>
    </row>
    <row r="116" spans="1:20" ht="22.5">
      <c r="A116" s="6" t="s">
        <v>14</v>
      </c>
      <c r="B116" s="6" t="s">
        <v>11</v>
      </c>
      <c r="C116" s="33" t="s">
        <v>24</v>
      </c>
      <c r="D116" s="33" t="s">
        <v>20</v>
      </c>
      <c r="E116" s="40" t="s">
        <v>2</v>
      </c>
      <c r="F116" s="33" t="s">
        <v>19</v>
      </c>
      <c r="G116" s="33" t="s">
        <v>18</v>
      </c>
      <c r="H116" s="40" t="s">
        <v>17</v>
      </c>
      <c r="I116" s="40" t="s">
        <v>16</v>
      </c>
      <c r="J116" s="33" t="s">
        <v>3</v>
      </c>
      <c r="K116" s="33" t="s">
        <v>4</v>
      </c>
      <c r="L116" s="107" t="s">
        <v>5</v>
      </c>
      <c r="M116" s="95" t="s">
        <v>21</v>
      </c>
      <c r="N116" s="6" t="s">
        <v>54</v>
      </c>
      <c r="O116" s="107" t="s">
        <v>55</v>
      </c>
      <c r="P116" s="6" t="s">
        <v>22</v>
      </c>
      <c r="Q116" s="6" t="s">
        <v>56</v>
      </c>
      <c r="R116" s="107" t="s">
        <v>57</v>
      </c>
      <c r="S116" s="202" t="s">
        <v>27</v>
      </c>
      <c r="T116" s="202"/>
    </row>
    <row r="117" spans="1:20" ht="11.25">
      <c r="A117" s="56" t="s">
        <v>142</v>
      </c>
      <c r="B117" s="7"/>
      <c r="C117" s="13" t="s">
        <v>52</v>
      </c>
      <c r="D117" s="20" t="s">
        <v>161</v>
      </c>
      <c r="E117" s="13" t="s">
        <v>156</v>
      </c>
      <c r="F117" s="21">
        <v>353</v>
      </c>
      <c r="G117" s="22">
        <v>39062</v>
      </c>
      <c r="H117" s="14">
        <v>39094</v>
      </c>
      <c r="I117" s="23">
        <v>10284</v>
      </c>
      <c r="J117" s="24">
        <v>8570</v>
      </c>
      <c r="K117" s="25">
        <v>1714</v>
      </c>
      <c r="L117" s="116">
        <v>10284</v>
      </c>
      <c r="M117" s="30"/>
      <c r="N117" s="11"/>
      <c r="O117" s="108">
        <f>SUM(M117:N117)</f>
        <v>0</v>
      </c>
      <c r="P117" s="11">
        <f>M117*0.65</f>
        <v>0</v>
      </c>
      <c r="Q117" s="11">
        <f>N117*0.65</f>
        <v>0</v>
      </c>
      <c r="R117" s="108">
        <f>SUM(P117:Q117)</f>
        <v>0</v>
      </c>
      <c r="S117" s="203"/>
      <c r="T117" s="203"/>
    </row>
    <row r="118" spans="1:20" ht="11.25">
      <c r="A118" s="56"/>
      <c r="B118" s="7"/>
      <c r="C118" s="8"/>
      <c r="D118" s="20"/>
      <c r="E118" s="13"/>
      <c r="F118" s="21"/>
      <c r="G118" s="22"/>
      <c r="H118" s="14"/>
      <c r="I118" s="23"/>
      <c r="J118" s="24"/>
      <c r="K118" s="25"/>
      <c r="L118" s="116"/>
      <c r="M118" s="30"/>
      <c r="N118" s="11"/>
      <c r="O118" s="108"/>
      <c r="P118" s="11"/>
      <c r="Q118" s="11"/>
      <c r="R118" s="108"/>
      <c r="S118" s="15"/>
      <c r="T118" s="15"/>
    </row>
    <row r="119" spans="1:20" ht="11.25">
      <c r="A119" s="56"/>
      <c r="B119" s="7"/>
      <c r="C119" s="8"/>
      <c r="D119" s="20"/>
      <c r="E119" s="13"/>
      <c r="F119" s="21"/>
      <c r="G119" s="22"/>
      <c r="H119" s="14"/>
      <c r="I119" s="23"/>
      <c r="J119" s="24"/>
      <c r="K119" s="25"/>
      <c r="L119" s="116"/>
      <c r="M119" s="30"/>
      <c r="N119" s="11"/>
      <c r="O119" s="108"/>
      <c r="P119" s="11"/>
      <c r="Q119" s="11"/>
      <c r="R119" s="108"/>
      <c r="S119" s="15"/>
      <c r="T119" s="15"/>
    </row>
    <row r="120" spans="1:20" ht="11.25">
      <c r="A120" s="57"/>
      <c r="B120" s="7"/>
      <c r="C120" s="8"/>
      <c r="D120" s="8"/>
      <c r="E120" s="8"/>
      <c r="F120" s="8"/>
      <c r="G120" s="9"/>
      <c r="H120" s="10"/>
      <c r="I120" s="10"/>
      <c r="J120" s="11"/>
      <c r="K120" s="11"/>
      <c r="L120" s="108"/>
      <c r="M120" s="30"/>
      <c r="N120" s="11"/>
      <c r="O120" s="108"/>
      <c r="P120" s="11"/>
      <c r="Q120" s="11"/>
      <c r="R120" s="108"/>
      <c r="S120" s="203"/>
      <c r="T120" s="203"/>
    </row>
    <row r="122" spans="1:20" s="101" customFormat="1" ht="11.25">
      <c r="A122" s="196" t="s">
        <v>10</v>
      </c>
      <c r="B122" s="197"/>
      <c r="C122" s="197"/>
      <c r="D122" s="197"/>
      <c r="E122" s="197"/>
      <c r="F122" s="197"/>
      <c r="G122" s="197"/>
      <c r="H122" s="197"/>
      <c r="I122" s="197"/>
      <c r="J122" s="197"/>
      <c r="K122" s="197"/>
      <c r="L122" s="198"/>
      <c r="M122" s="100" t="s">
        <v>58</v>
      </c>
      <c r="N122" s="27" t="s">
        <v>59</v>
      </c>
      <c r="O122" s="120" t="s">
        <v>60</v>
      </c>
      <c r="P122" s="27" t="s">
        <v>61</v>
      </c>
      <c r="Q122" s="27" t="s">
        <v>62</v>
      </c>
      <c r="R122" s="120" t="s">
        <v>57</v>
      </c>
      <c r="S122" s="31" t="s">
        <v>25</v>
      </c>
      <c r="T122" s="32" t="s">
        <v>26</v>
      </c>
    </row>
    <row r="123" spans="1:21" ht="11.25">
      <c r="A123" s="212"/>
      <c r="B123" s="213"/>
      <c r="C123" s="199"/>
      <c r="D123" s="200"/>
      <c r="E123" s="200"/>
      <c r="F123" s="200"/>
      <c r="G123" s="200"/>
      <c r="H123" s="200"/>
      <c r="I123" s="200"/>
      <c r="J123" s="200"/>
      <c r="K123" s="201"/>
      <c r="L123" s="113" t="s">
        <v>12</v>
      </c>
      <c r="M123" s="96">
        <f>35774.85+106819.63</f>
        <v>142594.48</v>
      </c>
      <c r="N123" s="3"/>
      <c r="O123" s="121"/>
      <c r="P123" s="3"/>
      <c r="Q123" s="3"/>
      <c r="R123" s="121"/>
      <c r="S123" s="5"/>
      <c r="T123" s="5"/>
      <c r="U123" s="28"/>
    </row>
    <row r="124" spans="1:21" ht="11.25">
      <c r="A124" s="212"/>
      <c r="B124" s="213"/>
      <c r="C124" s="43"/>
      <c r="D124" s="42"/>
      <c r="E124" s="42"/>
      <c r="F124" s="42"/>
      <c r="G124" s="42"/>
      <c r="H124" s="42"/>
      <c r="I124" s="42"/>
      <c r="J124" s="42"/>
      <c r="K124" s="4"/>
      <c r="L124" s="105" t="s">
        <v>28</v>
      </c>
      <c r="M124" s="93">
        <f aca="true" t="shared" si="29" ref="M124:R125">SUM(M130)</f>
        <v>3600</v>
      </c>
      <c r="N124" s="4">
        <f t="shared" si="29"/>
        <v>0</v>
      </c>
      <c r="O124" s="122">
        <f t="shared" si="29"/>
        <v>3600</v>
      </c>
      <c r="P124" s="4">
        <f t="shared" si="29"/>
        <v>2340</v>
      </c>
      <c r="Q124" s="4">
        <f t="shared" si="29"/>
        <v>0</v>
      </c>
      <c r="R124" s="122">
        <f t="shared" si="29"/>
        <v>2340</v>
      </c>
      <c r="S124" s="5">
        <f>R124*0.375</f>
        <v>877.5</v>
      </c>
      <c r="T124" s="5">
        <f>R124-S124</f>
        <v>1462.5</v>
      </c>
      <c r="U124" s="28"/>
    </row>
    <row r="125" spans="1:21" ht="11.25">
      <c r="A125" s="212"/>
      <c r="B125" s="213"/>
      <c r="C125" s="43"/>
      <c r="D125" s="42"/>
      <c r="E125" s="42"/>
      <c r="F125" s="42"/>
      <c r="G125" s="42"/>
      <c r="H125" s="42"/>
      <c r="I125" s="42"/>
      <c r="J125" s="42"/>
      <c r="K125" s="44"/>
      <c r="L125" s="105" t="s">
        <v>29</v>
      </c>
      <c r="M125" s="93">
        <f t="shared" si="29"/>
        <v>1700</v>
      </c>
      <c r="N125" s="4">
        <f t="shared" si="29"/>
        <v>0</v>
      </c>
      <c r="O125" s="122">
        <f t="shared" si="29"/>
        <v>1700</v>
      </c>
      <c r="P125" s="4">
        <f t="shared" si="29"/>
        <v>1105</v>
      </c>
      <c r="Q125" s="4">
        <f t="shared" si="29"/>
        <v>0</v>
      </c>
      <c r="R125" s="122">
        <f t="shared" si="29"/>
        <v>1105</v>
      </c>
      <c r="S125" s="49">
        <f>R125*0.375</f>
        <v>414.375</v>
      </c>
      <c r="T125" s="5">
        <f>R125-S125</f>
        <v>690.625</v>
      </c>
      <c r="U125" s="28"/>
    </row>
    <row r="126" spans="1:21" ht="11.25">
      <c r="A126" s="212"/>
      <c r="B126" s="213"/>
      <c r="C126" s="43"/>
      <c r="D126" s="42"/>
      <c r="E126" s="42"/>
      <c r="F126" s="42"/>
      <c r="G126" s="42"/>
      <c r="H126" s="42"/>
      <c r="I126" s="42"/>
      <c r="J126" s="42"/>
      <c r="K126" s="44"/>
      <c r="L126" s="105" t="s">
        <v>91</v>
      </c>
      <c r="M126" s="93"/>
      <c r="N126" s="4"/>
      <c r="O126" s="122"/>
      <c r="P126" s="4"/>
      <c r="Q126" s="4"/>
      <c r="R126" s="122"/>
      <c r="S126" s="49">
        <f>R126*0.375</f>
        <v>0</v>
      </c>
      <c r="T126" s="5">
        <f>R126-S126</f>
        <v>0</v>
      </c>
      <c r="U126" s="28"/>
    </row>
    <row r="127" spans="1:21" ht="11.25">
      <c r="A127" s="212"/>
      <c r="B127" s="213"/>
      <c r="C127" s="43"/>
      <c r="D127" s="42"/>
      <c r="E127" s="42"/>
      <c r="F127" s="42"/>
      <c r="G127" s="42"/>
      <c r="H127" s="42"/>
      <c r="I127" s="42"/>
      <c r="J127" s="42"/>
      <c r="K127" s="44"/>
      <c r="L127" s="105" t="s">
        <v>165</v>
      </c>
      <c r="M127" s="93">
        <f>+M132</f>
        <v>3675</v>
      </c>
      <c r="N127" s="93">
        <f>+N132</f>
        <v>0</v>
      </c>
      <c r="O127" s="122">
        <f>+N127+M127</f>
        <v>3675</v>
      </c>
      <c r="P127" s="93">
        <f>+P132</f>
        <v>2388.75</v>
      </c>
      <c r="Q127" s="93">
        <f>+Q132</f>
        <v>0</v>
      </c>
      <c r="R127" s="122">
        <f>+Q127+P127</f>
        <v>2388.75</v>
      </c>
      <c r="S127" s="49">
        <f>R127*0.375</f>
        <v>895.78125</v>
      </c>
      <c r="T127" s="5">
        <f>R127-S127</f>
        <v>1492.96875</v>
      </c>
      <c r="U127" s="28"/>
    </row>
    <row r="128" spans="1:21" ht="11.25">
      <c r="A128" s="214"/>
      <c r="B128" s="215"/>
      <c r="C128" s="193"/>
      <c r="D128" s="194"/>
      <c r="E128" s="194"/>
      <c r="F128" s="194"/>
      <c r="G128" s="194"/>
      <c r="H128" s="194"/>
      <c r="I128" s="194"/>
      <c r="J128" s="194"/>
      <c r="K128" s="195"/>
      <c r="L128" s="106" t="s">
        <v>13</v>
      </c>
      <c r="M128" s="94">
        <f>M123-M124-M125-M126-M127</f>
        <v>133619.48</v>
      </c>
      <c r="N128" s="94"/>
      <c r="O128" s="123"/>
      <c r="P128" s="94"/>
      <c r="Q128" s="94"/>
      <c r="R128" s="123"/>
      <c r="S128" s="1"/>
      <c r="T128" s="1"/>
      <c r="U128" s="28"/>
    </row>
    <row r="129" spans="1:20" ht="22.5">
      <c r="A129" s="26" t="s">
        <v>14</v>
      </c>
      <c r="B129" s="26" t="s">
        <v>11</v>
      </c>
      <c r="C129" s="53" t="s">
        <v>24</v>
      </c>
      <c r="D129" s="53" t="s">
        <v>20</v>
      </c>
      <c r="E129" s="54" t="s">
        <v>2</v>
      </c>
      <c r="F129" s="53" t="s">
        <v>19</v>
      </c>
      <c r="G129" s="53" t="s">
        <v>18</v>
      </c>
      <c r="H129" s="54" t="s">
        <v>17</v>
      </c>
      <c r="I129" s="54" t="s">
        <v>16</v>
      </c>
      <c r="J129" s="53" t="s">
        <v>3</v>
      </c>
      <c r="K129" s="53" t="s">
        <v>4</v>
      </c>
      <c r="L129" s="117" t="s">
        <v>5</v>
      </c>
      <c r="M129" s="95" t="s">
        <v>21</v>
      </c>
      <c r="N129" s="6" t="s">
        <v>54</v>
      </c>
      <c r="O129" s="107" t="s">
        <v>55</v>
      </c>
      <c r="P129" s="6" t="s">
        <v>22</v>
      </c>
      <c r="Q129" s="6" t="s">
        <v>56</v>
      </c>
      <c r="R129" s="107" t="s">
        <v>57</v>
      </c>
      <c r="S129" s="202" t="s">
        <v>27</v>
      </c>
      <c r="T129" s="202"/>
    </row>
    <row r="130" spans="1:20" ht="22.5">
      <c r="A130" s="56" t="s">
        <v>15</v>
      </c>
      <c r="B130" s="7"/>
      <c r="C130" s="13" t="s">
        <v>42</v>
      </c>
      <c r="D130" s="13" t="s">
        <v>45</v>
      </c>
      <c r="E130" s="8" t="s">
        <v>46</v>
      </c>
      <c r="F130" s="13">
        <v>55923482</v>
      </c>
      <c r="G130" s="9">
        <v>38315</v>
      </c>
      <c r="H130" s="14">
        <v>38316</v>
      </c>
      <c r="I130" s="14" t="s">
        <v>47</v>
      </c>
      <c r="J130" s="11">
        <v>4050</v>
      </c>
      <c r="K130" s="11"/>
      <c r="L130" s="108">
        <f>SUM(J130:K130)</f>
        <v>4050</v>
      </c>
      <c r="M130" s="30">
        <v>3600</v>
      </c>
      <c r="N130" s="30"/>
      <c r="O130" s="108">
        <f>SUM(M130:N130)</f>
        <v>3600</v>
      </c>
      <c r="P130" s="11">
        <f aca="true" t="shared" si="30" ref="P130:Q132">M130*0.65</f>
        <v>2340</v>
      </c>
      <c r="Q130" s="11">
        <f t="shared" si="30"/>
        <v>0</v>
      </c>
      <c r="R130" s="108">
        <f>SUM(P130:Q130)</f>
        <v>2340</v>
      </c>
      <c r="S130" s="206" t="s">
        <v>65</v>
      </c>
      <c r="T130" s="206"/>
    </row>
    <row r="131" spans="1:20" ht="22.5">
      <c r="A131" s="56" t="s">
        <v>67</v>
      </c>
      <c r="B131" s="7"/>
      <c r="C131" s="13" t="s">
        <v>52</v>
      </c>
      <c r="D131" s="13" t="s">
        <v>83</v>
      </c>
      <c r="E131" s="90" t="s">
        <v>84</v>
      </c>
      <c r="F131" s="90">
        <v>339</v>
      </c>
      <c r="G131" s="86">
        <v>38559</v>
      </c>
      <c r="H131" s="87">
        <v>38568</v>
      </c>
      <c r="I131" s="91" t="s">
        <v>81</v>
      </c>
      <c r="J131" s="83">
        <v>1700</v>
      </c>
      <c r="K131" s="83">
        <v>340</v>
      </c>
      <c r="L131" s="115">
        <v>2040</v>
      </c>
      <c r="M131" s="30">
        <v>1700</v>
      </c>
      <c r="N131" s="30"/>
      <c r="O131" s="108">
        <f>SUM(M131:N131)</f>
        <v>1700</v>
      </c>
      <c r="P131" s="11">
        <f t="shared" si="30"/>
        <v>1105</v>
      </c>
      <c r="Q131" s="11">
        <f t="shared" si="30"/>
        <v>0</v>
      </c>
      <c r="R131" s="108">
        <f>SUM(P131:Q131)</f>
        <v>1105</v>
      </c>
      <c r="S131" s="172"/>
      <c r="T131" s="169"/>
    </row>
    <row r="132" spans="1:20" ht="22.5">
      <c r="A132" s="56" t="s">
        <v>142</v>
      </c>
      <c r="B132" s="7"/>
      <c r="C132" s="13" t="s">
        <v>49</v>
      </c>
      <c r="D132" s="13" t="s">
        <v>153</v>
      </c>
      <c r="E132" s="90" t="s">
        <v>154</v>
      </c>
      <c r="F132" s="90">
        <v>54</v>
      </c>
      <c r="G132" s="86">
        <v>39020</v>
      </c>
      <c r="H132" s="87">
        <v>38743</v>
      </c>
      <c r="I132" s="91"/>
      <c r="J132" s="83">
        <v>3675</v>
      </c>
      <c r="K132" s="83">
        <v>735</v>
      </c>
      <c r="L132" s="115">
        <v>4410</v>
      </c>
      <c r="M132" s="30">
        <v>3675</v>
      </c>
      <c r="N132" s="30"/>
      <c r="O132" s="108">
        <f>SUM(M132:N132)</f>
        <v>3675</v>
      </c>
      <c r="P132" s="11">
        <f t="shared" si="30"/>
        <v>2388.75</v>
      </c>
      <c r="Q132" s="11">
        <f t="shared" si="30"/>
        <v>0</v>
      </c>
      <c r="R132" s="108">
        <f>SUM(P132:Q132)</f>
        <v>2388.75</v>
      </c>
      <c r="S132" s="186" t="s">
        <v>167</v>
      </c>
      <c r="T132" s="169"/>
    </row>
    <row r="133" spans="1:20" ht="11.25">
      <c r="A133" s="56"/>
      <c r="B133" s="7"/>
      <c r="C133" s="13"/>
      <c r="D133" s="13"/>
      <c r="E133" s="90"/>
      <c r="F133" s="90"/>
      <c r="G133" s="86"/>
      <c r="H133" s="87"/>
      <c r="I133" s="91"/>
      <c r="J133" s="83"/>
      <c r="K133" s="83"/>
      <c r="L133" s="115"/>
      <c r="M133" s="30"/>
      <c r="N133" s="30"/>
      <c r="O133" s="108"/>
      <c r="P133" s="11"/>
      <c r="Q133" s="11"/>
      <c r="R133" s="108"/>
      <c r="S133" s="165"/>
      <c r="T133" s="166"/>
    </row>
    <row r="134" spans="1:20" ht="11.25">
      <c r="A134" s="56"/>
      <c r="B134" s="7"/>
      <c r="C134" s="13"/>
      <c r="D134" s="13"/>
      <c r="E134" s="90"/>
      <c r="F134" s="90"/>
      <c r="G134" s="86"/>
      <c r="H134" s="87"/>
      <c r="I134" s="91"/>
      <c r="J134" s="83"/>
      <c r="K134" s="83"/>
      <c r="L134" s="115"/>
      <c r="M134" s="30"/>
      <c r="N134" s="30"/>
      <c r="O134" s="108"/>
      <c r="P134" s="11"/>
      <c r="Q134" s="11"/>
      <c r="R134" s="108"/>
      <c r="S134" s="165"/>
      <c r="T134" s="166"/>
    </row>
    <row r="135" spans="1:20" ht="11.25">
      <c r="A135" s="56"/>
      <c r="B135" s="7"/>
      <c r="C135" s="13"/>
      <c r="D135" s="13"/>
      <c r="E135" s="90"/>
      <c r="F135" s="90"/>
      <c r="G135" s="86"/>
      <c r="H135" s="87"/>
      <c r="I135" s="91"/>
      <c r="J135" s="83"/>
      <c r="K135" s="83"/>
      <c r="L135" s="115"/>
      <c r="M135" s="30"/>
      <c r="N135" s="30"/>
      <c r="O135" s="108"/>
      <c r="P135" s="11"/>
      <c r="Q135" s="11"/>
      <c r="R135" s="108"/>
      <c r="S135" s="165"/>
      <c r="T135" s="166"/>
    </row>
    <row r="136" spans="1:20" ht="11.25">
      <c r="A136" s="56"/>
      <c r="B136" s="7"/>
      <c r="C136" s="13"/>
      <c r="D136" s="13"/>
      <c r="E136" s="90"/>
      <c r="F136" s="90"/>
      <c r="G136" s="86"/>
      <c r="H136" s="87"/>
      <c r="I136" s="91"/>
      <c r="J136" s="83"/>
      <c r="K136" s="83"/>
      <c r="L136" s="115"/>
      <c r="M136" s="30"/>
      <c r="N136" s="30"/>
      <c r="O136" s="108"/>
      <c r="P136" s="11"/>
      <c r="Q136" s="11"/>
      <c r="R136" s="108"/>
      <c r="S136" s="165"/>
      <c r="T136" s="166"/>
    </row>
    <row r="137" spans="1:20" ht="11.25">
      <c r="A137" s="56"/>
      <c r="B137" s="7"/>
      <c r="C137" s="13"/>
      <c r="D137" s="13"/>
      <c r="E137" s="90"/>
      <c r="F137" s="90"/>
      <c r="G137" s="86"/>
      <c r="H137" s="87"/>
      <c r="I137" s="91"/>
      <c r="J137" s="83"/>
      <c r="K137" s="83"/>
      <c r="L137" s="115"/>
      <c r="M137" s="30"/>
      <c r="N137" s="30"/>
      <c r="O137" s="108"/>
      <c r="P137" s="11"/>
      <c r="Q137" s="11"/>
      <c r="R137" s="108"/>
      <c r="S137" s="165"/>
      <c r="T137" s="166"/>
    </row>
    <row r="138" spans="1:20" ht="11.25">
      <c r="A138" s="56"/>
      <c r="B138" s="7"/>
      <c r="C138" s="13"/>
      <c r="D138" s="13"/>
      <c r="E138" s="90"/>
      <c r="F138" s="90"/>
      <c r="G138" s="86"/>
      <c r="H138" s="87"/>
      <c r="I138" s="91"/>
      <c r="J138" s="83"/>
      <c r="K138" s="83"/>
      <c r="L138" s="115"/>
      <c r="M138" s="30"/>
      <c r="N138" s="30"/>
      <c r="O138" s="108"/>
      <c r="P138" s="11"/>
      <c r="Q138" s="11"/>
      <c r="R138" s="108"/>
      <c r="S138" s="165"/>
      <c r="T138" s="166"/>
    </row>
    <row r="139" spans="1:20" ht="11.25">
      <c r="A139" s="56"/>
      <c r="B139" s="7"/>
      <c r="C139" s="13"/>
      <c r="D139" s="13"/>
      <c r="E139" s="90"/>
      <c r="F139" s="90"/>
      <c r="G139" s="86"/>
      <c r="H139" s="87"/>
      <c r="I139" s="91"/>
      <c r="J139" s="83"/>
      <c r="K139" s="83"/>
      <c r="L139" s="115"/>
      <c r="M139" s="30"/>
      <c r="N139" s="30"/>
      <c r="O139" s="108"/>
      <c r="P139" s="11"/>
      <c r="Q139" s="11"/>
      <c r="R139" s="108"/>
      <c r="S139" s="165"/>
      <c r="T139" s="166"/>
    </row>
    <row r="140" spans="1:20" ht="11.25">
      <c r="A140" s="56"/>
      <c r="B140" s="7"/>
      <c r="C140" s="13"/>
      <c r="D140" s="13"/>
      <c r="E140" s="90"/>
      <c r="F140" s="90"/>
      <c r="G140" s="86"/>
      <c r="H140" s="87"/>
      <c r="I140" s="91"/>
      <c r="J140" s="83"/>
      <c r="K140" s="83"/>
      <c r="L140" s="115"/>
      <c r="M140" s="30"/>
      <c r="N140" s="30"/>
      <c r="O140" s="108"/>
      <c r="P140" s="11"/>
      <c r="Q140" s="11"/>
      <c r="R140" s="108"/>
      <c r="S140" s="165"/>
      <c r="T140" s="166"/>
    </row>
    <row r="141" spans="1:20" ht="11.25">
      <c r="A141" s="56"/>
      <c r="B141" s="7"/>
      <c r="C141" s="13"/>
      <c r="D141" s="13"/>
      <c r="E141" s="8"/>
      <c r="F141" s="13"/>
      <c r="G141" s="9"/>
      <c r="H141" s="14"/>
      <c r="I141" s="14"/>
      <c r="J141" s="11"/>
      <c r="K141" s="11"/>
      <c r="L141" s="108"/>
      <c r="M141" s="30"/>
      <c r="N141" s="30"/>
      <c r="O141" s="108"/>
      <c r="P141" s="11"/>
      <c r="Q141" s="11"/>
      <c r="R141" s="108"/>
      <c r="S141" s="82"/>
      <c r="T141" s="82"/>
    </row>
    <row r="142" spans="1:20" ht="11.25">
      <c r="A142" s="56"/>
      <c r="B142" s="7"/>
      <c r="C142" s="8"/>
      <c r="D142" s="13"/>
      <c r="E142" s="8"/>
      <c r="F142" s="13"/>
      <c r="G142" s="9"/>
      <c r="H142" s="14"/>
      <c r="I142" s="14"/>
      <c r="J142" s="11"/>
      <c r="K142" s="11">
        <f>+J142*0.2</f>
        <v>0</v>
      </c>
      <c r="L142" s="108">
        <f>SUM(J142:K142)</f>
        <v>0</v>
      </c>
      <c r="M142" s="30">
        <v>0</v>
      </c>
      <c r="N142" s="30"/>
      <c r="O142" s="108"/>
      <c r="P142" s="11">
        <f>M142*0.65</f>
        <v>0</v>
      </c>
      <c r="Q142" s="11"/>
      <c r="R142" s="108"/>
      <c r="S142" s="206"/>
      <c r="T142" s="206"/>
    </row>
    <row r="143" ht="11.25">
      <c r="J143" s="62"/>
    </row>
  </sheetData>
  <autoFilter ref="A8:U143"/>
  <mergeCells count="80">
    <mergeCell ref="S26:T26"/>
    <mergeCell ref="S96:T96"/>
    <mergeCell ref="S92:T92"/>
    <mergeCell ref="S80:T80"/>
    <mergeCell ref="S81:T81"/>
    <mergeCell ref="S91:T91"/>
    <mergeCell ref="S90:T90"/>
    <mergeCell ref="S46:T46"/>
    <mergeCell ref="S47:T47"/>
    <mergeCell ref="S97:T97"/>
    <mergeCell ref="S94:T94"/>
    <mergeCell ref="S95:T95"/>
    <mergeCell ref="S25:T25"/>
    <mergeCell ref="S30:T30"/>
    <mergeCell ref="S70:T70"/>
    <mergeCell ref="S41:T41"/>
    <mergeCell ref="S59:T59"/>
    <mergeCell ref="S44:T44"/>
    <mergeCell ref="S45:T45"/>
    <mergeCell ref="S42:T42"/>
    <mergeCell ref="S43:T43"/>
    <mergeCell ref="S48:T48"/>
    <mergeCell ref="C38:K38"/>
    <mergeCell ref="S40:T40"/>
    <mergeCell ref="S17:T17"/>
    <mergeCell ref="S18:T18"/>
    <mergeCell ref="S19:T19"/>
    <mergeCell ref="S39:T39"/>
    <mergeCell ref="S20:T20"/>
    <mergeCell ref="S21:T21"/>
    <mergeCell ref="S22:T22"/>
    <mergeCell ref="S23:T23"/>
    <mergeCell ref="C123:K123"/>
    <mergeCell ref="C128:K128"/>
    <mergeCell ref="S117:T117"/>
    <mergeCell ref="A32:L32"/>
    <mergeCell ref="A61:L61"/>
    <mergeCell ref="A72:L72"/>
    <mergeCell ref="A62:B67"/>
    <mergeCell ref="C62:K62"/>
    <mergeCell ref="A33:B38"/>
    <mergeCell ref="C33:K33"/>
    <mergeCell ref="S142:T142"/>
    <mergeCell ref="A1:T1"/>
    <mergeCell ref="A10:B15"/>
    <mergeCell ref="A9:L9"/>
    <mergeCell ref="S16:T16"/>
    <mergeCell ref="E2:F2"/>
    <mergeCell ref="E3:F3"/>
    <mergeCell ref="E4:F4"/>
    <mergeCell ref="E5:F5"/>
    <mergeCell ref="A123:B128"/>
    <mergeCell ref="C67:K67"/>
    <mergeCell ref="S116:T116"/>
    <mergeCell ref="S79:T79"/>
    <mergeCell ref="C84:K84"/>
    <mergeCell ref="A109:L109"/>
    <mergeCell ref="S68:T68"/>
    <mergeCell ref="S69:T69"/>
    <mergeCell ref="S93:T93"/>
    <mergeCell ref="A84:B89"/>
    <mergeCell ref="S107:T107"/>
    <mergeCell ref="S24:T24"/>
    <mergeCell ref="S131:T131"/>
    <mergeCell ref="A73:B78"/>
    <mergeCell ref="C73:K73"/>
    <mergeCell ref="C78:K78"/>
    <mergeCell ref="A83:L83"/>
    <mergeCell ref="A110:B115"/>
    <mergeCell ref="C110:K110"/>
    <mergeCell ref="C115:K115"/>
    <mergeCell ref="A122:L122"/>
    <mergeCell ref="S132:T132"/>
    <mergeCell ref="S56:T56"/>
    <mergeCell ref="S54:T54"/>
    <mergeCell ref="S57:T57"/>
    <mergeCell ref="S98:T101"/>
    <mergeCell ref="S129:T129"/>
    <mergeCell ref="S130:T130"/>
    <mergeCell ref="S120:T120"/>
  </mergeCells>
  <printOptions horizontalCentered="1"/>
  <pageMargins left="0.1968503937007874" right="0.46" top="0.23" bottom="0.22" header="0.17" footer="0.15748031496062992"/>
  <pageSetup horizontalDpi="300" verticalDpi="300" orientation="landscape" paperSize="9" scale="65" r:id="rId3"/>
  <headerFooter alignWithMargins="0">
    <oddFooter>&amp;RPagina &amp;P</oddFooter>
  </headerFooter>
  <rowBreaks count="1" manualBreakCount="1">
    <brk id="71" max="19" man="1"/>
  </rowBreaks>
  <ignoredErrors>
    <ignoredError sqref="O75:O78" formulaRang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sciacovelli</dc:creator>
  <cp:keywords/>
  <dc:description/>
  <cp:lastModifiedBy>.</cp:lastModifiedBy>
  <cp:lastPrinted>2007-12-04T13:30:50Z</cp:lastPrinted>
  <dcterms:created xsi:type="dcterms:W3CDTF">2005-04-28T08:10:49Z</dcterms:created>
  <dcterms:modified xsi:type="dcterms:W3CDTF">2007-12-04T13:30:53Z</dcterms:modified>
  <cp:category/>
  <cp:version/>
  <cp:contentType/>
  <cp:contentStatus/>
</cp:coreProperties>
</file>