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4" activeTab="0"/>
  </bookViews>
  <sheets>
    <sheet name="Foglio1" sheetId="1" r:id="rId1"/>
    <sheet name="Complessivo" sheetId="2" r:id="rId2"/>
  </sheets>
  <definedNames>
    <definedName name="_xlnm._FilterDatabase" localSheetId="1" hidden="1">'Complessivo'!$A$12:$U$835</definedName>
    <definedName name="_xlnm.Print_Area" localSheetId="1">'Complessivo'!$A$1:$T$1163</definedName>
    <definedName name="_xlnm.Print_Titles" localSheetId="1">'Complessivo'!$1:$6</definedName>
  </definedNames>
  <calcPr fullCalcOnLoad="1"/>
</workbook>
</file>

<file path=xl/comments2.xml><?xml version="1.0" encoding="utf-8"?>
<comments xmlns="http://schemas.openxmlformats.org/spreadsheetml/2006/main">
  <authors>
    <author>.</author>
    <author> </author>
  </authors>
  <commentList>
    <comment ref="S12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 time sheet
19/10/06 si accetta timesheet anche se non conforme alla modulistica</t>
        </r>
      </text>
    </comment>
    <comment ref="S113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 time sheet
19/10/06 si accetta timesheet anche se non conforme alla modulistica</t>
        </r>
      </text>
    </comment>
    <comment ref="S42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dimostrazione del pagamento. Ok 06/03/2007
</t>
        </r>
      </text>
    </comment>
    <comment ref="S12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curriculum, contratto e dimostrazione del pagamento. OK 06/02/07
</t>
        </r>
      </text>
    </comment>
    <comment ref="S11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e contratto. Ok 06/03/07</t>
        </r>
      </text>
    </comment>
    <comment ref="S11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curriculum, contratto e time sheet. 19/10/06 ok timesheet. 06/03/07 ok tutto</t>
        </r>
      </text>
    </comment>
    <comment ref="S11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e contratto Ok 06/03/07
</t>
        </r>
      </text>
    </comment>
    <comment ref="S12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curriculum, contratto e time sheet. Ok 06/03/07 manca ancora time sheet.</t>
        </r>
      </text>
    </comment>
    <comment ref="S11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e contratto. Ok 06/03/07</t>
        </r>
      </text>
    </comment>
    <comment ref="S56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tutto. Ok 06/03/07
</t>
        </r>
      </text>
    </comment>
    <comment ref="S56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tutto. Ok 06/03/07
</t>
        </r>
      </text>
    </comment>
    <comment ref="S56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tutto. Ok 06/03/07
</t>
        </r>
      </text>
    </comment>
    <comment ref="S568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tutto. Ok 06/03/07
</t>
        </r>
      </text>
    </comment>
    <comment ref="S56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tutto. Ok 06/03/07
</t>
        </r>
      </text>
    </comment>
    <comment ref="S65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Contributo iva su primo sal, Fornire dichiarazione autocertificata attestante che "l'Iva sostenuta non e' parzialmente o totalmente RECUPERABILE". Ok dichiarazione 06/03/07</t>
        </r>
      </text>
    </comment>
    <comment ref="S66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Ok fattura 06/03/07
</t>
        </r>
      </text>
    </comment>
    <comment ref="S4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completamente la documentazione.24/10/2006 ok</t>
        </r>
      </text>
    </comment>
    <comment ref="S45" authorId="1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Nella tabella mancano l'indicazione delle ore e delle aliquote orarie.OK 24/09/07</t>
        </r>
      </text>
    </comment>
    <comment ref="S115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Manca curriculum e contratto. Ok 28/09/07</t>
        </r>
      </text>
    </comment>
  </commentList>
</comments>
</file>

<file path=xl/sharedStrings.xml><?xml version="1.0" encoding="utf-8"?>
<sst xmlns="http://schemas.openxmlformats.org/spreadsheetml/2006/main" count="6462" uniqueCount="1246">
  <si>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</si>
  <si>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</si>
  <si>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</si>
  <si>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</si>
  <si>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</si>
  <si>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</si>
  <si>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</si>
  <si>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</si>
  <si>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</si>
  <si>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</si>
  <si>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</si>
  <si>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</si>
  <si>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</si>
  <si>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</si>
  <si>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</si>
  <si>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</si>
  <si>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</si>
  <si>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</si>
  <si>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</si>
  <si>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</si>
  <si>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</si>
  <si>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</si>
  <si>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</si>
  <si>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</si>
  <si>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</si>
  <si>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</si>
  <si>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</si>
  <si>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Note</t>
  </si>
  <si>
    <t>SAL 1</t>
  </si>
  <si>
    <t>SAL 2</t>
  </si>
  <si>
    <t>TOT GEN</t>
  </si>
  <si>
    <t>TOT SAL 1</t>
  </si>
  <si>
    <t>TOT SAL 2</t>
  </si>
  <si>
    <t>Avvio PR</t>
  </si>
  <si>
    <t>TOT PROGETTO=</t>
  </si>
  <si>
    <t>CONTRIBUTO=</t>
  </si>
  <si>
    <t>CONTRIBUTO IVA=</t>
  </si>
  <si>
    <t>TOT CONTRIBUTO=</t>
  </si>
  <si>
    <t>IVA=</t>
  </si>
  <si>
    <t>Res IVA=</t>
  </si>
  <si>
    <t>Iva ammessa</t>
  </si>
  <si>
    <t>Contributo iva</t>
  </si>
  <si>
    <t>TOT CONTR</t>
  </si>
  <si>
    <t>ToT costi ammessi</t>
  </si>
  <si>
    <t xml:space="preserve"> </t>
  </si>
  <si>
    <t>Spesa ammessa</t>
  </si>
  <si>
    <t>TOT ammes</t>
  </si>
  <si>
    <t>Contrib. Costi</t>
  </si>
  <si>
    <t>Contrib. Iva</t>
  </si>
  <si>
    <t>ASSOCIAZIONE ARCHITETTI 25 - RIEPILOGO SPESE</t>
  </si>
  <si>
    <t>ARCH ON-LINE</t>
  </si>
  <si>
    <t>SAL 1 - 01/06/04 - 31/05/05</t>
  </si>
  <si>
    <t>Arch. Claudio Certini</t>
  </si>
  <si>
    <t>Arch. Vincenzo Sinisi</t>
  </si>
  <si>
    <t>Arch. Grazia Zambelli</t>
  </si>
  <si>
    <t>Arch. Aldo Caforio</t>
  </si>
  <si>
    <t>Arch Maurizio Marinazzo</t>
  </si>
  <si>
    <t>Arch. Francesca Cavicchia</t>
  </si>
  <si>
    <t>Arch. Salvatore Baglivo</t>
  </si>
  <si>
    <t>Arch. Enrico Ampolo</t>
  </si>
  <si>
    <t>95</t>
  </si>
  <si>
    <t>Bonifico bancario</t>
  </si>
  <si>
    <t>1</t>
  </si>
  <si>
    <t>9</t>
  </si>
  <si>
    <t>14</t>
  </si>
  <si>
    <t>Ordine Architetti Bari</t>
  </si>
  <si>
    <t>Lombardi Nicola, Iannone Marco,</t>
  </si>
  <si>
    <t>Calabrese Giovanna</t>
  </si>
  <si>
    <t>Traffico telefonico (voce, internet) 30%</t>
  </si>
  <si>
    <t>Eutelia</t>
  </si>
  <si>
    <t>Addebito su c/c</t>
  </si>
  <si>
    <t>Traffico telefonico (voce, internet) 15%</t>
  </si>
  <si>
    <t>Fornitura energia elettrica</t>
  </si>
  <si>
    <t>Enel</t>
  </si>
  <si>
    <t>720151050271711</t>
  </si>
  <si>
    <t>Cancelleria</t>
  </si>
  <si>
    <t>Titanedi</t>
  </si>
  <si>
    <t>4984/01</t>
  </si>
  <si>
    <t>Bonifico Bancario</t>
  </si>
  <si>
    <t>Promozione</t>
  </si>
  <si>
    <t>De Giglio Sav</t>
  </si>
  <si>
    <t>14/2005</t>
  </si>
  <si>
    <t>Assegno</t>
  </si>
  <si>
    <t>Ordine Architetti Brindisi</t>
  </si>
  <si>
    <t>Mancini Lucia</t>
  </si>
  <si>
    <t>Canone locazione 6/2005 (30%)</t>
  </si>
  <si>
    <t xml:space="preserve">Guadalupi </t>
  </si>
  <si>
    <t>ricevuta n. 137</t>
  </si>
  <si>
    <t>Assegno bancario</t>
  </si>
  <si>
    <t>Acquisto buste intestate</t>
  </si>
  <si>
    <t>Minigraf</t>
  </si>
  <si>
    <t>Servizio Pulizie 6/2005</t>
  </si>
  <si>
    <t>A.R.E.S. Soc. Coop.</t>
  </si>
  <si>
    <t>Ricevuta 264</t>
  </si>
  <si>
    <t>Canone locazione 7/2005 (30%)</t>
  </si>
  <si>
    <t>ricevuta n. 132</t>
  </si>
  <si>
    <t>Canone Energia elettrica (30%)</t>
  </si>
  <si>
    <t>740101001418056</t>
  </si>
  <si>
    <t>Canone telefonico 4/2005 (15%)</t>
  </si>
  <si>
    <t>Telecom</t>
  </si>
  <si>
    <t>N.8S00624215</t>
  </si>
  <si>
    <t>Servizio Pulizie 7/2005</t>
  </si>
  <si>
    <t>Ricevuta 299</t>
  </si>
  <si>
    <t>Cancelleria (Toner)</t>
  </si>
  <si>
    <t>Calisi Nicola</t>
  </si>
  <si>
    <t>Canone locazione 9/2005 (15%)</t>
  </si>
  <si>
    <t>Guadalupi</t>
  </si>
  <si>
    <t>Ricevuta n. 134</t>
  </si>
  <si>
    <t>Canone Energia Elettrica (30%)</t>
  </si>
  <si>
    <t>Canone telefonico 5/2005 (15%)</t>
  </si>
  <si>
    <t>8S00823363</t>
  </si>
  <si>
    <t>Servizio Pulizie 9/2005</t>
  </si>
  <si>
    <t>Ricevuta 400</t>
  </si>
  <si>
    <t>Canone di locazione 10/2005(15%)</t>
  </si>
  <si>
    <t>Ricevuta n. 135</t>
  </si>
  <si>
    <t>Cancelleria (risme di carta, portablocco)</t>
  </si>
  <si>
    <t>TITANEDI</t>
  </si>
  <si>
    <t>51191/00</t>
  </si>
  <si>
    <t>Servizio Pulizie 10/2005</t>
  </si>
  <si>
    <t>Ricevuta 441</t>
  </si>
  <si>
    <t>Canone Energia elettrica (15%)</t>
  </si>
  <si>
    <t>740101001418058</t>
  </si>
  <si>
    <t>Ordine Architetti Brinsisi</t>
  </si>
  <si>
    <t>Ordine Architetti Foggia</t>
  </si>
  <si>
    <t>Di Rienzo Emanuela</t>
  </si>
  <si>
    <t>B/B</t>
  </si>
  <si>
    <t>Canone affitto giugno 2005</t>
  </si>
  <si>
    <t>dott. Pizziccoli</t>
  </si>
  <si>
    <t>riscaldamento</t>
  </si>
  <si>
    <t>amgas</t>
  </si>
  <si>
    <t>addebito bancario</t>
  </si>
  <si>
    <t>Telefono</t>
  </si>
  <si>
    <t>Addebito su cc</t>
  </si>
  <si>
    <t>Canone affitto luglio 2005</t>
  </si>
  <si>
    <t>Canone condominio  luglio 2005</t>
  </si>
  <si>
    <t>La Rotonda</t>
  </si>
  <si>
    <t xml:space="preserve">Canone condominio  </t>
  </si>
  <si>
    <t>Canone affitto</t>
  </si>
  <si>
    <t>cancelleria</t>
  </si>
  <si>
    <t>libr patierno</t>
  </si>
  <si>
    <t>Energia elettrica 08/09</t>
  </si>
  <si>
    <t>ENEL SPA</t>
  </si>
  <si>
    <t>Canone condominio Agosto</t>
  </si>
  <si>
    <t>Cond. Pal. Rotundi</t>
  </si>
  <si>
    <t>Canone affitto Agosto</t>
  </si>
  <si>
    <t>8S01005643</t>
  </si>
  <si>
    <t>riscaldamento Maggio Luglio</t>
  </si>
  <si>
    <t>21200500124978</t>
  </si>
  <si>
    <t>assegno N. 280</t>
  </si>
  <si>
    <t>Canone condominio Giugno</t>
  </si>
  <si>
    <t>enel 6/7</t>
  </si>
  <si>
    <t>8S00894874</t>
  </si>
  <si>
    <t>Ordine Architetti Lecce</t>
  </si>
  <si>
    <t>Antoniozzi Carmela</t>
  </si>
  <si>
    <t>FITTO APRILE</t>
  </si>
  <si>
    <t>IACP LE</t>
  </si>
  <si>
    <t>38183/B</t>
  </si>
  <si>
    <t>BONIFICO</t>
  </si>
  <si>
    <t>CONDOMINIO APRILE</t>
  </si>
  <si>
    <t>FITTO MAGGIO</t>
  </si>
  <si>
    <t>58125/B</t>
  </si>
  <si>
    <t>CONDOMINIO MAGGIO</t>
  </si>
  <si>
    <t>FITTO GIUGNO</t>
  </si>
  <si>
    <t>58126/B</t>
  </si>
  <si>
    <t>CONDOMINIO GIUGNO</t>
  </si>
  <si>
    <t>FITTO LUGLIO</t>
  </si>
  <si>
    <t>77925/B</t>
  </si>
  <si>
    <t>CONDOMINIO LUGLIO</t>
  </si>
  <si>
    <t>FITTO SETTEMBRE</t>
  </si>
  <si>
    <t>98005/B</t>
  </si>
  <si>
    <t>CONDOMINIO SETTEMBRE</t>
  </si>
  <si>
    <t>PULIZIE GIUGNO      AL 17/06</t>
  </si>
  <si>
    <t>P.S.A</t>
  </si>
  <si>
    <t>CASSA</t>
  </si>
  <si>
    <t>PULIZIE GIUGNO      AL 15/07</t>
  </si>
  <si>
    <t>PULIZIE LUGLIO     AL 31/07</t>
  </si>
  <si>
    <t>PULIZIE SETTEMBRE</t>
  </si>
  <si>
    <t>ENERGIA ELETTRICA</t>
  </si>
  <si>
    <t>ENEL</t>
  </si>
  <si>
    <t>BANCA</t>
  </si>
  <si>
    <t xml:space="preserve">ENEL </t>
  </si>
  <si>
    <t>TELEFONICHE</t>
  </si>
  <si>
    <t>TELECOM</t>
  </si>
  <si>
    <t>BOLL POST</t>
  </si>
  <si>
    <t>Ordine Architetti Taranto</t>
  </si>
  <si>
    <t>Marsella Anna</t>
  </si>
  <si>
    <t>Canone condominio(30%)</t>
  </si>
  <si>
    <t>cassa</t>
  </si>
  <si>
    <t>Spese telefoniche (30%)</t>
  </si>
  <si>
    <t>wind</t>
  </si>
  <si>
    <t>Canone condominio(15%)</t>
  </si>
  <si>
    <t>Canone locazione 10/2005 (15%)</t>
  </si>
  <si>
    <t>Canone telefonico 4/2005 (30%)</t>
  </si>
  <si>
    <t>8S00723004</t>
  </si>
  <si>
    <t>Canone energia elettrica (30%)</t>
  </si>
  <si>
    <t>730801121222244</t>
  </si>
  <si>
    <t>addebbito C/C</t>
  </si>
  <si>
    <t>Enelgas</t>
  </si>
  <si>
    <t>387005160018</t>
  </si>
  <si>
    <t>Canone energia elettrica (15%)</t>
  </si>
  <si>
    <t>387005230132</t>
  </si>
  <si>
    <t>Getronics</t>
  </si>
  <si>
    <t>progettazione e fornitura materiali</t>
  </si>
  <si>
    <t>Graghic</t>
  </si>
  <si>
    <t>BB 20050630-141-M</t>
  </si>
  <si>
    <t>Universus CSEI</t>
  </si>
  <si>
    <t>Ruggiero Ettore, Rizzello Sonia, Liotine Giovanni</t>
  </si>
  <si>
    <t>Consulenza OR 2</t>
  </si>
  <si>
    <t>Consulenza OR 2 A1</t>
  </si>
  <si>
    <t>Consulenza OR1 A1</t>
  </si>
  <si>
    <t>Consulenza OR2 A2</t>
  </si>
  <si>
    <t>Desiderato</t>
  </si>
  <si>
    <t>Mandato  n. 144</t>
  </si>
  <si>
    <t>Mandato  n. 347</t>
  </si>
  <si>
    <t>Vacca Annalisa</t>
  </si>
  <si>
    <t xml:space="preserve">Busta paga </t>
  </si>
  <si>
    <t>Mandato  n. 186</t>
  </si>
  <si>
    <t>Mandato  n. 239</t>
  </si>
  <si>
    <t>Acquisto: n. 4 PC 4 monitor, 4 Sistemi operativi Win 2000 Pro</t>
  </si>
  <si>
    <t xml:space="preserve">Nuovi Orizzonti S.r.l. </t>
  </si>
  <si>
    <t>29.04.2005</t>
  </si>
  <si>
    <t>Mandato n. 143</t>
  </si>
  <si>
    <t xml:space="preserve">Chiede solo IVA non Ammessi in attesa di chiarimenti </t>
  </si>
  <si>
    <t>Bolletta telefonica</t>
  </si>
  <si>
    <t>Telecom Italia</t>
  </si>
  <si>
    <t>Mandato  n. 103</t>
  </si>
  <si>
    <t>Energia Elettrica</t>
  </si>
  <si>
    <t>Mandato  n. 339</t>
  </si>
  <si>
    <t>Mandato  n. 38</t>
  </si>
  <si>
    <t>2.02.05</t>
  </si>
  <si>
    <t>Mandato n. 57</t>
  </si>
  <si>
    <t>Mandato  n. 92</t>
  </si>
  <si>
    <t>Mandato  n. 159</t>
  </si>
  <si>
    <t xml:space="preserve">Mandato n. 121 </t>
  </si>
  <si>
    <t>Mandato n. 160</t>
  </si>
  <si>
    <t xml:space="preserve">Cartuccia stampante HP </t>
  </si>
  <si>
    <t>Triforce Computer s.r.l.</t>
  </si>
  <si>
    <t>43/05</t>
  </si>
  <si>
    <t>Contanti</t>
  </si>
  <si>
    <t>Timbri</t>
  </si>
  <si>
    <t>D'Aprile Alessio &amp; C. S.a.S.</t>
  </si>
  <si>
    <t xml:space="preserve">Bolletta per la fornitura dell'energia elettrica </t>
  </si>
  <si>
    <t>Mandato n. 191</t>
  </si>
  <si>
    <t>Mandato n. 219</t>
  </si>
  <si>
    <t>5X00000414</t>
  </si>
  <si>
    <t>Mandato n. 236</t>
  </si>
  <si>
    <t>8S00679131</t>
  </si>
  <si>
    <t>Mandato n. 222</t>
  </si>
  <si>
    <t>Mandato n. 44</t>
  </si>
  <si>
    <t>8S00919637</t>
  </si>
  <si>
    <t>Mandato n. 39</t>
  </si>
  <si>
    <t>Non ammissibili Contanti</t>
  </si>
  <si>
    <t>II</t>
  </si>
  <si>
    <t>SAL 2 - 01/06/05 - 31/10/05</t>
  </si>
  <si>
    <t>Ordine Architetti P.P.C. Prov. Bari</t>
  </si>
  <si>
    <t>Pieschi, Calabrese</t>
  </si>
  <si>
    <t>Ass. Architetti P.P.C. Puglia</t>
  </si>
  <si>
    <t>Lombardi, Iannone</t>
  </si>
  <si>
    <t>Manca calcolo aliquota oraria, time sheet.</t>
  </si>
  <si>
    <t>Di Rienzo</t>
  </si>
  <si>
    <t>Ordine Architetti P.P.C. Prov. Foggia</t>
  </si>
  <si>
    <t>Ordine Architetti P.P.C. Prov. Brindisi</t>
  </si>
  <si>
    <t>Mancini</t>
  </si>
  <si>
    <t>Manca calcolo aliquota oraria, firma legale rappresentante</t>
  </si>
  <si>
    <t>Ordine Architetti P.P.C. Prov. Taranto</t>
  </si>
  <si>
    <t>Marsella</t>
  </si>
  <si>
    <t>Manca calcolo aliquota oraria.</t>
  </si>
  <si>
    <t>Ordine Architetti P.P.C. Prov. Lecce</t>
  </si>
  <si>
    <t>Antoniozzi</t>
  </si>
  <si>
    <t>Mancano firme del legale rappresentante</t>
  </si>
  <si>
    <t>Getronics Spa</t>
  </si>
  <si>
    <t>Congedo, Lorusso, Pasquale, Raguso, Roma, Vicano, Viesti, Zezza</t>
  </si>
  <si>
    <t>Ruggiero, Boccaforno, Cavallo, Rizzello, Liotine, Mele</t>
  </si>
  <si>
    <t>III</t>
  </si>
  <si>
    <t>Bonifico</t>
  </si>
  <si>
    <t>Canone telefonico 4/2004 (30%)</t>
  </si>
  <si>
    <t>N.8S00583010</t>
  </si>
  <si>
    <t>Canone telefonico 4/2004 Fax (30%)</t>
  </si>
  <si>
    <t>8S00585916</t>
  </si>
  <si>
    <t>Canone telefonico 5/2004 (30%)</t>
  </si>
  <si>
    <t>8S00906845</t>
  </si>
  <si>
    <t>Canone telefonico 5/2004 Fax (30%)</t>
  </si>
  <si>
    <t>8S00906841</t>
  </si>
  <si>
    <t>Cartucce inchiostrate</t>
  </si>
  <si>
    <t>Aprile org.</t>
  </si>
  <si>
    <t>Fotocopie a colori</t>
  </si>
  <si>
    <t>Eliografia Siciliani</t>
  </si>
  <si>
    <t>Hostess convegno</t>
  </si>
  <si>
    <t>Spese varie</t>
  </si>
  <si>
    <t>Palace Hotel</t>
  </si>
  <si>
    <t>M.to 159</t>
  </si>
  <si>
    <t>M.to 121</t>
  </si>
  <si>
    <t>M.to 160</t>
  </si>
  <si>
    <t>M.to 103</t>
  </si>
  <si>
    <t>M.to 339</t>
  </si>
  <si>
    <t>M.to 38</t>
  </si>
  <si>
    <t>M.to 57</t>
  </si>
  <si>
    <t>M.to 92</t>
  </si>
  <si>
    <t>Manca copia del bollettino pagato o bonifico banc.</t>
  </si>
  <si>
    <t>Manca copia della fattura, del bollettino pagato o bonifico banc.</t>
  </si>
  <si>
    <t>Cancelleria( rilegatrice e termorilegatrice)</t>
  </si>
  <si>
    <t>3204/01</t>
  </si>
  <si>
    <t>Cancelleria(cartelle, portaprogetti, carta)</t>
  </si>
  <si>
    <t>3205/01</t>
  </si>
  <si>
    <t>Canone telefonico 6/2004 (30%)</t>
  </si>
  <si>
    <t>8S00991894</t>
  </si>
  <si>
    <t>bolletino postale</t>
  </si>
  <si>
    <t>Canone telefonico 6/2004 Fax (30%)</t>
  </si>
  <si>
    <t>8S00990806</t>
  </si>
  <si>
    <t>Invio corrispondenza</t>
  </si>
  <si>
    <t>Poste italiane</t>
  </si>
  <si>
    <t>Canone affitto I trimestre 2005 (30%)</t>
  </si>
  <si>
    <t>Ente Irrigazione</t>
  </si>
  <si>
    <t>Cancelleria(cartelle, etichette, carta)</t>
  </si>
  <si>
    <t>Librocart</t>
  </si>
  <si>
    <t>Manca copia del bonifico bancario.</t>
  </si>
  <si>
    <t>Manca dimostrazione del pagamento</t>
  </si>
  <si>
    <t>Pagamento contanti non ammissibile</t>
  </si>
  <si>
    <t>Quotidiano Puglia</t>
  </si>
  <si>
    <t>Essepi Scarl</t>
  </si>
  <si>
    <t>Affitto sala e rinfresco, garage</t>
  </si>
  <si>
    <t>Noleggio wireless</t>
  </si>
  <si>
    <t>TechnoSec</t>
  </si>
  <si>
    <t>Collegamento internet</t>
  </si>
  <si>
    <t>Fattura intestata ad altra azienda</t>
  </si>
  <si>
    <t>Garanzia Fidejussoria</t>
  </si>
  <si>
    <t>San Remo S.p.A.</t>
  </si>
  <si>
    <t>Canone condominio giugno 2004</t>
  </si>
  <si>
    <t>Canone affitto giugno 2004</t>
  </si>
  <si>
    <t>assegno</t>
  </si>
  <si>
    <t>Canone affitto luglio 2004</t>
  </si>
  <si>
    <t>pulizia</t>
  </si>
  <si>
    <t>Canone condominio  luglio 2004</t>
  </si>
  <si>
    <t>Canone affitto settembre 2004</t>
  </si>
  <si>
    <t>Canone condominio  settembre 2004</t>
  </si>
  <si>
    <t>Canone affitto ottobre2004</t>
  </si>
  <si>
    <t>Canone condominio  ottobre2004</t>
  </si>
  <si>
    <t>enel</t>
  </si>
  <si>
    <t>Canone condominio  novembre 2004</t>
  </si>
  <si>
    <t>Canone affitto novembre 2004</t>
  </si>
  <si>
    <t>Canone affitto dicembre 2004</t>
  </si>
  <si>
    <t>Canone condominio  dicembre 2004</t>
  </si>
  <si>
    <t>Canone affitto gennaio 2005</t>
  </si>
  <si>
    <t>Canone condominio  gennaio 2005</t>
  </si>
  <si>
    <t>Canone affitto febbraio 2005</t>
  </si>
  <si>
    <t>Canone condominio  febbraio 2005</t>
  </si>
  <si>
    <t>Canone condominio  marzo 2005</t>
  </si>
  <si>
    <t>Canone affitto marzo 2005</t>
  </si>
  <si>
    <t>Canone affitto aprile 05</t>
  </si>
  <si>
    <t>Canone condominio  aprile 05</t>
  </si>
  <si>
    <t>Canone condominio  maggio 2005</t>
  </si>
  <si>
    <t>Canone affitto maggio 2005</t>
  </si>
  <si>
    <t>adeguamento</t>
  </si>
  <si>
    <t>Canone locazione 6/2004 (15%)</t>
  </si>
  <si>
    <t>ricevuta n. 125</t>
  </si>
  <si>
    <t>n.1418059</t>
  </si>
  <si>
    <t>Canone locazione 7/2004 (15%)</t>
  </si>
  <si>
    <t>ricevuta n. 126</t>
  </si>
  <si>
    <t>Canone telefonico 4/2004 (15%)</t>
  </si>
  <si>
    <t>N.8S00605024</t>
  </si>
  <si>
    <t>Canone locazione 9/2004 (20%)</t>
  </si>
  <si>
    <t>Ricevuta n. 128</t>
  </si>
  <si>
    <t>Canone Energia Elettrica (20%)</t>
  </si>
  <si>
    <t>n. 1418051</t>
  </si>
  <si>
    <t>Canone telefonico 5/2004 (20%)</t>
  </si>
  <si>
    <t>8S00813607</t>
  </si>
  <si>
    <t>Canone di locazione 10/2004 (20%)</t>
  </si>
  <si>
    <t>Ricevuta n. 129</t>
  </si>
  <si>
    <t>107/B</t>
  </si>
  <si>
    <t>Contanti vista fattura</t>
  </si>
  <si>
    <t>Canone di locazione 11/2004 (20%)</t>
  </si>
  <si>
    <t>Ricevuta n. 130</t>
  </si>
  <si>
    <t>Assegno Bancario</t>
  </si>
  <si>
    <t>Canone Energia elettrica (20%)</t>
  </si>
  <si>
    <t>n. 1418052</t>
  </si>
  <si>
    <t>Canone telefonico 6/2004 (20%)</t>
  </si>
  <si>
    <t>8S001012978</t>
  </si>
  <si>
    <t>Canone di locazione 12/2004</t>
  </si>
  <si>
    <t>Ricevuta n. 131</t>
  </si>
  <si>
    <t>Canone di locazione 1/2005 (20%)</t>
  </si>
  <si>
    <t>Ricevuta n. 132</t>
  </si>
  <si>
    <t>Cancelleria (risme di carta, blocchi ricevute)</t>
  </si>
  <si>
    <t>40046/00</t>
  </si>
  <si>
    <t>Canone telefonico 1/05 (20%)</t>
  </si>
  <si>
    <t>8S00044216</t>
  </si>
  <si>
    <t>Addebbito su c/c</t>
  </si>
  <si>
    <t>Canone di locazione febbraio 2005 (20%)</t>
  </si>
  <si>
    <t>Ricevuta 133</t>
  </si>
  <si>
    <t>Canone di locazione 3/2005 (20%)</t>
  </si>
  <si>
    <t>Ricevuta 134</t>
  </si>
  <si>
    <t>Canone energia elettrica (20%)</t>
  </si>
  <si>
    <t>n. 1418054</t>
  </si>
  <si>
    <t>Canone telefonico 2/05 (20%)</t>
  </si>
  <si>
    <t>8S00208566</t>
  </si>
  <si>
    <t>Canone di locazione 4/2005 (20%)</t>
  </si>
  <si>
    <t>Ricevuta 135</t>
  </si>
  <si>
    <t>Canone di locazione 5/2005 (20%)</t>
  </si>
  <si>
    <t>Ricevuta 136</t>
  </si>
  <si>
    <t>n. 8055</t>
  </si>
  <si>
    <t>8S00423894</t>
  </si>
  <si>
    <t>Spese telefoniche (15%)</t>
  </si>
  <si>
    <t>Canone condominio(20%)</t>
  </si>
  <si>
    <t>Canone locazione 10/2004 (20%)</t>
  </si>
  <si>
    <t>Canone locazione 11/2004 (20%)</t>
  </si>
  <si>
    <t>Canone locazione 1/2005 (20%)</t>
  </si>
  <si>
    <t>730801121222241</t>
  </si>
  <si>
    <t>Canone locazione 2/2005 (20%)</t>
  </si>
  <si>
    <t>Spese telefoniche (20%)</t>
  </si>
  <si>
    <t>Canone locazione 3/2005 (20%)</t>
  </si>
  <si>
    <t>Canone telefonico 2/2005 (20%)</t>
  </si>
  <si>
    <t>Canone locazione 4/2005 (20%)</t>
  </si>
  <si>
    <t>730801121222242</t>
  </si>
  <si>
    <t>Canone locazione 5/2005 (20%)</t>
  </si>
  <si>
    <t>Affrancatura  invio questionari</t>
  </si>
  <si>
    <t>PPTT</t>
  </si>
  <si>
    <t>Rimessa diretta</t>
  </si>
  <si>
    <t>730801121222243</t>
  </si>
  <si>
    <t>Manca documento di spesa</t>
  </si>
  <si>
    <t>PULIZIE GIUGNO</t>
  </si>
  <si>
    <t>PULISERVICE</t>
  </si>
  <si>
    <t>PULIZIE LUGLIO</t>
  </si>
  <si>
    <t>c/c POSTALE</t>
  </si>
  <si>
    <t>59063/B</t>
  </si>
  <si>
    <t>79261/B</t>
  </si>
  <si>
    <t>PULIZIE OTTOBRE</t>
  </si>
  <si>
    <t>99493/B</t>
  </si>
  <si>
    <t>99793/B</t>
  </si>
  <si>
    <t>TONER STAMPANTE</t>
  </si>
  <si>
    <t>HITEK</t>
  </si>
  <si>
    <t>PULIZIE NOVEMBRE</t>
  </si>
  <si>
    <t>RISME CARTA</t>
  </si>
  <si>
    <t>SERVICE COPY</t>
  </si>
  <si>
    <t>FITTO OTTOBRE</t>
  </si>
  <si>
    <t>99494/B</t>
  </si>
  <si>
    <t>CONDOMINIO OTTOBRE</t>
  </si>
  <si>
    <t>FITTO NOVEMBRE</t>
  </si>
  <si>
    <t>119678/B</t>
  </si>
  <si>
    <t>CONDOMINIO NOVEMBRE</t>
  </si>
  <si>
    <t>FITTO DICEMBRE</t>
  </si>
  <si>
    <t>119679/B</t>
  </si>
  <si>
    <t>CONDOMINIO DICEMBRE</t>
  </si>
  <si>
    <t>PULIZIE DICEMBRE</t>
  </si>
  <si>
    <t>PULIZIE GENNAIO</t>
  </si>
  <si>
    <t>PULIZIE FEBBRAIO</t>
  </si>
  <si>
    <t>FITTO GENNAIO</t>
  </si>
  <si>
    <t>18135/B</t>
  </si>
  <si>
    <t>CONDOMINIO GENNAIO</t>
  </si>
  <si>
    <t>PULIZIE MARZO</t>
  </si>
  <si>
    <t>POSTA</t>
  </si>
  <si>
    <t>FITTO FEBBRAIO</t>
  </si>
  <si>
    <t>18136/B</t>
  </si>
  <si>
    <t>CONDOMINIO FEBBRAIO</t>
  </si>
  <si>
    <t>FITTO MARZO</t>
  </si>
  <si>
    <t>38182/B</t>
  </si>
  <si>
    <t xml:space="preserve">POSTA </t>
  </si>
  <si>
    <t>CONDOMINIO MARZO</t>
  </si>
  <si>
    <t>PULIZIE APRILE</t>
  </si>
  <si>
    <t>PSA SRL</t>
  </si>
  <si>
    <t>PULIZIE MAGGIO</t>
  </si>
  <si>
    <t>Manca fattura</t>
  </si>
  <si>
    <t>spese viaggio R.Vicano da 17/7/2004 a 21/12/2004</t>
  </si>
  <si>
    <t>spese viaggio R.Vicano da 21/01/2005 a 1/04/2005</t>
  </si>
  <si>
    <t>spese viaggio M.Zezza da 08/04/2005 a 9/04/2005</t>
  </si>
  <si>
    <t xml:space="preserve">spese viaggio C.A.Pasquale del 26/02/2005 </t>
  </si>
  <si>
    <t>GETRONICS SPA</t>
  </si>
  <si>
    <t>Manca curriculum e contratto</t>
  </si>
  <si>
    <t>Manca contabile bancaria</t>
  </si>
  <si>
    <t>Non Ammesso pagamento contanti</t>
  </si>
  <si>
    <t>Da stornare perche' pagato in contanti (Vedi storno III sal)</t>
  </si>
  <si>
    <t>Manca contabile bancaria e copia completa della fattura</t>
  </si>
  <si>
    <t xml:space="preserve">Manca contabile bancaria - copia fattura </t>
  </si>
  <si>
    <t>Manca contabile bancaria/copia fattura</t>
  </si>
  <si>
    <t>Manca fattura e contabile bancaria</t>
  </si>
  <si>
    <t>TOT SAL 3</t>
  </si>
  <si>
    <t>SAL 3</t>
  </si>
  <si>
    <t>Manca curriculum, manca dimostrazione del pagamento</t>
  </si>
  <si>
    <t>Importo inferiore a 516</t>
  </si>
  <si>
    <t>ATS</t>
  </si>
  <si>
    <t>Ammesso provvisoriamente</t>
  </si>
  <si>
    <t>ATS - conguaglio post-verifiche</t>
  </si>
  <si>
    <t>Non ammesso pagamento in contanti</t>
  </si>
  <si>
    <t>prom</t>
  </si>
  <si>
    <t>Già ammesso nel sal precedente</t>
  </si>
  <si>
    <t>Manca calcolo aliquota oraria, time sheet dipendente, riepilogo ore mensili x aliquota oraria x dipendenti</t>
  </si>
  <si>
    <t>Pulizia locali</t>
  </si>
  <si>
    <t>Pulito</t>
  </si>
  <si>
    <t>Portierato</t>
  </si>
  <si>
    <t>TDSGroup</t>
  </si>
  <si>
    <t>6151/01</t>
  </si>
  <si>
    <t>720151050271713</t>
  </si>
  <si>
    <t>720151050271714</t>
  </si>
  <si>
    <t xml:space="preserve">Traffico telefonico (voce, internet) </t>
  </si>
  <si>
    <t>Canone telefonico 4/2005 (</t>
  </si>
  <si>
    <t>N.8S01035254</t>
  </si>
  <si>
    <t xml:space="preserve">Canone locazione 11/2005 </t>
  </si>
  <si>
    <t>ricevuta n. 136</t>
  </si>
  <si>
    <t>Servizio Pulizie 11/2005</t>
  </si>
  <si>
    <t>Ricevuta 524</t>
  </si>
  <si>
    <t xml:space="preserve">Canone locazione 12/2005 </t>
  </si>
  <si>
    <t xml:space="preserve">Canone Energia elettrica </t>
  </si>
  <si>
    <t>740101001418059</t>
  </si>
  <si>
    <t>Canone telefonico 1/2006</t>
  </si>
  <si>
    <t>8S00044630</t>
  </si>
  <si>
    <t>Canone locazione 01/2006</t>
  </si>
  <si>
    <t>Ricevuta n. 138</t>
  </si>
  <si>
    <t>Canone locazione 02/2006</t>
  </si>
  <si>
    <t>Ricevuta n. 139</t>
  </si>
  <si>
    <t xml:space="preserve">Canone Energia Elettrica </t>
  </si>
  <si>
    <t>740101001418051</t>
  </si>
  <si>
    <t>Canone locazione 03/2006</t>
  </si>
  <si>
    <t>Ricevuta n. 140</t>
  </si>
  <si>
    <t>Canone locazione 04/2006</t>
  </si>
  <si>
    <t>Ricevuta n. 141</t>
  </si>
  <si>
    <t>740101001418052</t>
  </si>
  <si>
    <t>Canone telefonico 3/2006</t>
  </si>
  <si>
    <t>8S00419284</t>
  </si>
  <si>
    <t>Toner</t>
  </si>
  <si>
    <t>Nicola Calisi</t>
  </si>
  <si>
    <t>62/B</t>
  </si>
  <si>
    <t>Canone locazione 05/2006</t>
  </si>
  <si>
    <t>Ricevuta n. 142</t>
  </si>
  <si>
    <t>Cancelleria (cartellette, cart. Trasp.)</t>
  </si>
  <si>
    <t>Cancelleria (portaprogetti)</t>
  </si>
  <si>
    <t>9746/00</t>
  </si>
  <si>
    <t>Canone telefonico 2/2006</t>
  </si>
  <si>
    <t>8S000</t>
  </si>
  <si>
    <t>CONDOMINIO OTTOBRE 05</t>
  </si>
  <si>
    <t>98006/B</t>
  </si>
  <si>
    <t>PULIZIE OTTOBRE 05</t>
  </si>
  <si>
    <t>FITTO OTTOBRE 05</t>
  </si>
  <si>
    <t>PULIZIE NOVEMBRE 05</t>
  </si>
  <si>
    <t>FITTO NOVEMBRE 05</t>
  </si>
  <si>
    <t>117884/B</t>
  </si>
  <si>
    <t>CONDOMINIO NOVEMBRE 05</t>
  </si>
  <si>
    <t>PULIZIE DICEMBRE 05</t>
  </si>
  <si>
    <t>PULIZIE GENNAIO 06</t>
  </si>
  <si>
    <t>DELCO SRL</t>
  </si>
  <si>
    <t>PULIZIE FEBBRAIO 06</t>
  </si>
  <si>
    <t>FITTO DICEMBRE 05</t>
  </si>
  <si>
    <t>117885/B</t>
  </si>
  <si>
    <t>CONDOMINIO DICEMBRE 05</t>
  </si>
  <si>
    <t>PULIZIE MARZO 06</t>
  </si>
  <si>
    <t>FITTO GENNAIO 06</t>
  </si>
  <si>
    <t>17434/B</t>
  </si>
  <si>
    <t>CONDOMINIO GENNAIO 06</t>
  </si>
  <si>
    <t>FITTO FEBBRAIO 06</t>
  </si>
  <si>
    <t>17435/B</t>
  </si>
  <si>
    <t>CONDOMINIO FEBBRAIO 06</t>
  </si>
  <si>
    <t>FITTO MARZO 06</t>
  </si>
  <si>
    <t>37284/B</t>
  </si>
  <si>
    <t>CONDOMINIO MARZO 06</t>
  </si>
  <si>
    <t>PULIZIE APRILE 06</t>
  </si>
  <si>
    <t>FITTO APRILE 06</t>
  </si>
  <si>
    <t>37285/B</t>
  </si>
  <si>
    <t>CONDOMINIO APRILE 06</t>
  </si>
  <si>
    <t>PULIZIE MAGGIO 06</t>
  </si>
  <si>
    <t>Canone telefonico 6/2005</t>
  </si>
  <si>
    <t>8S01124548</t>
  </si>
  <si>
    <t xml:space="preserve">Spese telefoniche </t>
  </si>
  <si>
    <t>387005298410</t>
  </si>
  <si>
    <t>8S01195070</t>
  </si>
  <si>
    <t xml:space="preserve">Canone energia elettrica </t>
  </si>
  <si>
    <t>730801121222246</t>
  </si>
  <si>
    <t>Canone locazione 12/2005</t>
  </si>
  <si>
    <t>387005346839</t>
  </si>
  <si>
    <t xml:space="preserve">Canone locazione 1/2006 </t>
  </si>
  <si>
    <t>8S00093189</t>
  </si>
  <si>
    <t>8S0161638</t>
  </si>
  <si>
    <t>730801121222247</t>
  </si>
  <si>
    <t>387006051801</t>
  </si>
  <si>
    <t>8S00294048</t>
  </si>
  <si>
    <t>730801121222248</t>
  </si>
  <si>
    <t>387006101216</t>
  </si>
  <si>
    <t>Canone locazione 4/2006</t>
  </si>
  <si>
    <t>Canone locazione 5/2006</t>
  </si>
  <si>
    <t>730900442016211</t>
  </si>
  <si>
    <t>8S00490467</t>
  </si>
  <si>
    <t>730900442016212</t>
  </si>
  <si>
    <t>Canone locazione 6/2006</t>
  </si>
  <si>
    <t>01/102/2006</t>
  </si>
  <si>
    <t>Fotocopiatrice Kyocera Mita KM-5035</t>
  </si>
  <si>
    <t>Vincenzo Bruno</t>
  </si>
  <si>
    <t>263/V</t>
  </si>
  <si>
    <t>Fotocopiatrice BIZHUB250</t>
  </si>
  <si>
    <t>Deka Sistemi</t>
  </si>
  <si>
    <t>notebook acer aspire 9502WLMI</t>
  </si>
  <si>
    <t>Computer,monitor,sistema operativo</t>
  </si>
  <si>
    <t>Linea Ufficio</t>
  </si>
  <si>
    <t>Ass postale</t>
  </si>
  <si>
    <t>consulenza professionale</t>
  </si>
  <si>
    <t>D'Introno Fabio</t>
  </si>
  <si>
    <t>61</t>
  </si>
  <si>
    <t>SAL 3 - 01/11/05 - 31/05/06</t>
  </si>
  <si>
    <t>N.ro 12 dipendenti</t>
  </si>
  <si>
    <t>Delle (sei) tabelle mancano i file</t>
  </si>
  <si>
    <t>Infoemme</t>
  </si>
  <si>
    <t>Acquisto computer e stampante</t>
  </si>
  <si>
    <t>75/f</t>
  </si>
  <si>
    <t>Spostato da infrastrutture. Manca dimostrazione del pagamento</t>
  </si>
  <si>
    <t>Manca completamente la dimostrazione del pagamento</t>
  </si>
  <si>
    <t>Non ammesso pagamento contanti</t>
  </si>
  <si>
    <t>Manca documentazione</t>
  </si>
  <si>
    <t>Manca la dimostrazione del pagamento</t>
  </si>
  <si>
    <t>Manca dimostrazione del pagamento(incasso assegno)</t>
  </si>
  <si>
    <t>inizio</t>
  </si>
  <si>
    <t>fine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</si>
  <si>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</si>
  <si>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</si>
  <si>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</si>
  <si>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</si>
  <si>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</si>
  <si>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</si>
  <si>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</si>
  <si>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</si>
  <si>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</si>
  <si>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</si>
  <si>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</si>
  <si>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STATO DELLA DOCUMENTAZIONE TECNICA</t>
  </si>
  <si>
    <t>Relazione S.A.L. Quadrimestrale</t>
  </si>
  <si>
    <t>Rapporti Tecnici</t>
  </si>
  <si>
    <t>NOTE</t>
  </si>
  <si>
    <t>DATE</t>
  </si>
  <si>
    <t>ISTRUTTORI</t>
  </si>
  <si>
    <t>FIRME</t>
  </si>
  <si>
    <t>ASSOCIAZIONE ARCHITETTI 25</t>
  </si>
  <si>
    <t>Non Ammesso  contanti</t>
  </si>
  <si>
    <t>Ordine Architetti Pianif.Paesaggisti e Conserv. di Puglia</t>
  </si>
  <si>
    <t>Ordine Architetti Pianif.Paesaggisti e Conserv. Provincia di Bari</t>
  </si>
  <si>
    <t>Ordine Architetti Pianif.Paesaggisti e Conserv. Provincia di Brindisi</t>
  </si>
  <si>
    <t>Ordine Architetti Pianif.Paesaggisti e Conserv. Provincia di Foggia</t>
  </si>
  <si>
    <t>Ordine Architetti Pianif.Paesaggisti e Conserv. Provincia di Lecce</t>
  </si>
  <si>
    <t>Ordine Architetti Pianif.Paesaggisti e Conserv. Provincia di Taranto</t>
  </si>
  <si>
    <t>Universus Csei</t>
  </si>
  <si>
    <t>Anticipo</t>
  </si>
  <si>
    <t>SAL 4 - 01/06/06 - 30/11/06</t>
  </si>
  <si>
    <t>IV</t>
  </si>
  <si>
    <t>Canone di locazione</t>
  </si>
  <si>
    <t>dott.Pizzicoli</t>
  </si>
  <si>
    <t>Spese condominiali</t>
  </si>
  <si>
    <t>8S01194296-8S01193623</t>
  </si>
  <si>
    <t>Addebito c/c</t>
  </si>
  <si>
    <t>Energia elettrica</t>
  </si>
  <si>
    <t>Amgas</t>
  </si>
  <si>
    <t>159483-159169</t>
  </si>
  <si>
    <t>385307-385772</t>
  </si>
  <si>
    <t>3057§/01</t>
  </si>
  <si>
    <t>720151050271716</t>
  </si>
  <si>
    <t>720151050271717</t>
  </si>
  <si>
    <t>Locazione</t>
  </si>
  <si>
    <t xml:space="preserve">Canone locazione 6/06 </t>
  </si>
  <si>
    <t>ricevuta n. 143</t>
  </si>
  <si>
    <t xml:space="preserve">Canone locazione 7/06 </t>
  </si>
  <si>
    <t>ricevuta n. 144</t>
  </si>
  <si>
    <t xml:space="preserve">Canone locazione 8/06 </t>
  </si>
  <si>
    <t>ricevuta n. 145</t>
  </si>
  <si>
    <t xml:space="preserve">Canone locazione 9/06 </t>
  </si>
  <si>
    <t>ricevuta n. 146</t>
  </si>
  <si>
    <t xml:space="preserve">Canone locazione 10/06 </t>
  </si>
  <si>
    <t>ricevuta n. 147</t>
  </si>
  <si>
    <t xml:space="preserve">Canone locazione 11/06 </t>
  </si>
  <si>
    <t>ricevuta n. 148</t>
  </si>
  <si>
    <t>740101001418053</t>
  </si>
  <si>
    <t>74010100418054</t>
  </si>
  <si>
    <t>74101001418055</t>
  </si>
  <si>
    <t>Canone telefonico 4/2006</t>
  </si>
  <si>
    <t>N.8S00603285</t>
  </si>
  <si>
    <t>Canone telefonico 5/2006</t>
  </si>
  <si>
    <t>N.8S00829875</t>
  </si>
  <si>
    <t>Canone telefonico 6/2006</t>
  </si>
  <si>
    <t>N.8S00996162</t>
  </si>
  <si>
    <t>Bollettino postale</t>
  </si>
  <si>
    <t>56986/B</t>
  </si>
  <si>
    <t>C/C POSTALE</t>
  </si>
  <si>
    <t>56987/B</t>
  </si>
  <si>
    <t>76714/B</t>
  </si>
  <si>
    <t>96513/B</t>
  </si>
  <si>
    <t>96514/B</t>
  </si>
  <si>
    <t>Grazia Immobiliare</t>
  </si>
  <si>
    <t>Canone locazione 7/2006</t>
  </si>
  <si>
    <t>Canone locazione 8/2006</t>
  </si>
  <si>
    <t xml:space="preserve">Canone locazione 10/2006 </t>
  </si>
  <si>
    <t>fastweb</t>
  </si>
  <si>
    <t>730900442016213</t>
  </si>
  <si>
    <t>730900442016214</t>
  </si>
  <si>
    <t>730900442016215</t>
  </si>
  <si>
    <t>387006014599</t>
  </si>
  <si>
    <t>8S00748212</t>
  </si>
  <si>
    <t>8S00694594</t>
  </si>
  <si>
    <t>8S00962334</t>
  </si>
  <si>
    <t>8S00893324</t>
  </si>
  <si>
    <t>condominio</t>
  </si>
  <si>
    <t>Postagiro</t>
  </si>
  <si>
    <t>Consulenza progettuale Arch on line</t>
  </si>
  <si>
    <t>Technosec</t>
  </si>
  <si>
    <t>32</t>
  </si>
  <si>
    <t>N.ro 10 dipendenti</t>
  </si>
  <si>
    <t>CARLA' GIUSEPPE</t>
  </si>
  <si>
    <t>Consulenza problemi connettività aggiornamento software</t>
  </si>
  <si>
    <t>realizzazione 200 cd</t>
  </si>
  <si>
    <t>Assistenza settembre 2005</t>
  </si>
  <si>
    <t>Assistenza ottobre 2005</t>
  </si>
  <si>
    <t>Assistenza novembre dicembre 2005</t>
  </si>
  <si>
    <t>Assistenza gennaio 2006</t>
  </si>
  <si>
    <t>Assistenza febbraio 2006</t>
  </si>
  <si>
    <t>Assistenza marzo 2006</t>
  </si>
  <si>
    <t>Assistenza aprile maggio 2006</t>
  </si>
  <si>
    <t>Assistenza giugno 2006</t>
  </si>
  <si>
    <t>Assistenza luglio 2006</t>
  </si>
  <si>
    <t>Assistenza agosto 2006</t>
  </si>
  <si>
    <t>Assistenza settembre 2006</t>
  </si>
  <si>
    <t>Installazione n2 XP Professional</t>
  </si>
  <si>
    <t>Schermo e combinato vcr+dvd</t>
  </si>
  <si>
    <t>Antonelli fotovideottica</t>
  </si>
  <si>
    <t>pc cdc premium</t>
  </si>
  <si>
    <t>computer discount</t>
  </si>
  <si>
    <t>nb hp pavilion, videoproiet. Acer, pc cdc premium, bundle pc acer, pc acer aspire</t>
  </si>
  <si>
    <t xml:space="preserve">pc pentium, lettore dvd </t>
  </si>
  <si>
    <t>mouse, adatt.USB</t>
  </si>
  <si>
    <t>monitor lcd philips</t>
  </si>
  <si>
    <t>Stampante brother</t>
  </si>
  <si>
    <t>Consulenza contabilità</t>
  </si>
  <si>
    <t>studio Cretì-Quartulli</t>
  </si>
  <si>
    <t>Consulenza rendicontazione progetto</t>
  </si>
  <si>
    <t>NB Asus, pc con monitor samsung, videoproiettore, videocamera</t>
  </si>
  <si>
    <t xml:space="preserve">Computer service </t>
  </si>
  <si>
    <t>lavori impianto di rete per trasferimento dati computer</t>
  </si>
  <si>
    <t>Di Pippa</t>
  </si>
  <si>
    <t>lavori impianto elettrico</t>
  </si>
  <si>
    <t>Manca tabella personale firmata</t>
  </si>
  <si>
    <t>P</t>
  </si>
  <si>
    <t>Spostate dalla voce consulenze</t>
  </si>
  <si>
    <t>Per la contabilita' e gestione del personale la fattura andrebbe rendicontata alla voce spese generali in proporzione all'incidenza di tali costi sul progetto "archonline"</t>
  </si>
  <si>
    <t>Manca timesheet</t>
  </si>
  <si>
    <t>Manca dimostrazione pagamento</t>
  </si>
  <si>
    <t>Manca tabella riepilogativa firmata</t>
  </si>
  <si>
    <t>Non quadra la somma degli acconti su estratto conto di "immobiliare s.giacomo" per il pagamento della fattura</t>
  </si>
  <si>
    <t>EUNICS</t>
  </si>
  <si>
    <t>Getronics Solution Italian Spa - EUNICS</t>
  </si>
  <si>
    <t>Vedi IV SAL</t>
  </si>
  <si>
    <t>Dal III sal</t>
  </si>
  <si>
    <t>Manca time sheet</t>
  </si>
  <si>
    <t>L'autocertificazione relativa all'iva deve essere trasmessa in originale</t>
  </si>
  <si>
    <t>SAL 4</t>
  </si>
  <si>
    <t>TOT SAL 4</t>
  </si>
  <si>
    <t>N.ro 4 dipendenti</t>
  </si>
  <si>
    <t>mag.-set.'06</t>
  </si>
  <si>
    <t>Ammesso il personale getronics II sal</t>
  </si>
  <si>
    <t>Consulenza OR2 A1</t>
  </si>
  <si>
    <t xml:space="preserve"> Dott. Rizzi Vincenzo</t>
  </si>
  <si>
    <t>Ric</t>
  </si>
  <si>
    <t xml:space="preserve"> Dott. Ssa Ruccia Stefania</t>
  </si>
  <si>
    <t>Consulenza OR2 A3</t>
  </si>
  <si>
    <t>Sig. Porcelli Giuseppe</t>
  </si>
  <si>
    <t>Busta paga</t>
  </si>
  <si>
    <t>FITTO</t>
  </si>
  <si>
    <t>DOTT.PIZZICOLI</t>
  </si>
  <si>
    <t>B.B.</t>
  </si>
  <si>
    <t>ADDE.BANC.</t>
  </si>
  <si>
    <t>PULIZIA SEDE</t>
  </si>
  <si>
    <t>MIDAS DI MARIA DAGOSTINO</t>
  </si>
  <si>
    <t>A.B.</t>
  </si>
  <si>
    <t>AMGAS</t>
  </si>
  <si>
    <t>21200600124983</t>
  </si>
  <si>
    <t>B.B</t>
  </si>
  <si>
    <t>CONDOMINIO</t>
  </si>
  <si>
    <t>CONDOMINIO PALAZZO ROTUNDI</t>
  </si>
  <si>
    <t>ADD.BANC</t>
  </si>
  <si>
    <t>CONDOMINIO  LA ROTONDA</t>
  </si>
  <si>
    <t>CONDOMINIO LA  ROTONDA</t>
  </si>
  <si>
    <t xml:space="preserve">FITTO </t>
  </si>
  <si>
    <t>DOTT. PIZZICOLI</t>
  </si>
  <si>
    <t>ADD. C/C</t>
  </si>
  <si>
    <t>8S00964306</t>
  </si>
  <si>
    <t>ADD.C/C</t>
  </si>
  <si>
    <t>8S00962231</t>
  </si>
  <si>
    <t>CONDOMINIO LA NOTTE</t>
  </si>
  <si>
    <t>N.ro 5 dipendenti</t>
  </si>
  <si>
    <t>nov.05-mar.06</t>
  </si>
  <si>
    <t>Consulenza OR1 A2</t>
  </si>
  <si>
    <t>Tanzi Vitantonio</t>
  </si>
  <si>
    <t>Consulenza OR3 A2</t>
  </si>
  <si>
    <t>Alba Project s.r.l.</t>
  </si>
  <si>
    <t>Maiorano Francesco</t>
  </si>
  <si>
    <t>N.ro 3 dipendenti</t>
  </si>
  <si>
    <t>apr.06</t>
  </si>
  <si>
    <t xml:space="preserve"> Dott.Giandonato Pietro</t>
  </si>
  <si>
    <t>Dott.ssa Berni Canani Carla</t>
  </si>
  <si>
    <t>Michele Divella</t>
  </si>
  <si>
    <t>V</t>
  </si>
  <si>
    <t>Licenze d'uso Pegasus LMS 5.0</t>
  </si>
  <si>
    <t>wbt.it</t>
  </si>
  <si>
    <t>33/06</t>
  </si>
  <si>
    <t xml:space="preserve">mandato bancario n.  439 </t>
  </si>
  <si>
    <t>Canone locazione 11/2006</t>
  </si>
  <si>
    <t xml:space="preserve">Canone locazione 12/2006 </t>
  </si>
  <si>
    <t>730900442016216</t>
  </si>
  <si>
    <t>bonifico bancario</t>
  </si>
  <si>
    <t>730900442016217</t>
  </si>
  <si>
    <t>387006369775</t>
  </si>
  <si>
    <t>8S01148908</t>
  </si>
  <si>
    <t>bollettino postale</t>
  </si>
  <si>
    <t>Canone telefonico 1/2007</t>
  </si>
  <si>
    <t>8S00153681</t>
  </si>
  <si>
    <t>Consulenza  progetto Arch on line</t>
  </si>
  <si>
    <t>Aggiornamento antivirus</t>
  </si>
  <si>
    <t>GiCom</t>
  </si>
  <si>
    <t>335/2006</t>
  </si>
  <si>
    <t xml:space="preserve">Canone locazione 12/06 </t>
  </si>
  <si>
    <t>ricevuta n. 149</t>
  </si>
  <si>
    <t xml:space="preserve">Canone locazione 1/07 </t>
  </si>
  <si>
    <t>74101001418056</t>
  </si>
  <si>
    <t>N.8S0040058</t>
  </si>
  <si>
    <t>Box Karma microfoni</t>
  </si>
  <si>
    <t>bonifico</t>
  </si>
  <si>
    <t>720151050271719</t>
  </si>
  <si>
    <t>720151050271718</t>
  </si>
  <si>
    <t>TDGSroup</t>
  </si>
  <si>
    <t>644/06</t>
  </si>
  <si>
    <t>N.ro 6 dipendenti</t>
  </si>
  <si>
    <t>MAGGIONI LAURA</t>
  </si>
  <si>
    <t xml:space="preserve"> POSTA</t>
  </si>
  <si>
    <t>Ammesse in V SAL</t>
  </si>
  <si>
    <t>Ammissione costi del terzo sal</t>
  </si>
  <si>
    <t>Manca dimostrazione del pagamento.  Ass. Poste Italiane</t>
  </si>
  <si>
    <t>nov.06-gen.07</t>
  </si>
  <si>
    <t>SAL 5 - 01/11/06 - 31/01/07</t>
  </si>
  <si>
    <t>dic'06-gen'07</t>
  </si>
  <si>
    <t>verificare eventuale c.v. di quartulli anna  in renicontaz.prec. - timesheet firmati in terza fascia 10 gg. Che tipo di consulenza è?</t>
  </si>
  <si>
    <t>Ammessa alla voce spese generali</t>
  </si>
  <si>
    <t>Spostata d'ufficio dalla voce consulenze</t>
  </si>
  <si>
    <t>ott.-dic.06</t>
  </si>
  <si>
    <t>Codianni Maria Giovanna</t>
  </si>
  <si>
    <t>MANCA FILE</t>
  </si>
  <si>
    <t>TOT SAL 5</t>
  </si>
  <si>
    <t>SAL 5</t>
  </si>
  <si>
    <t>Ammesso nel V sal</t>
  </si>
  <si>
    <t>Ammesso su II Sal</t>
  </si>
  <si>
    <t>SAL 6 - 01/02/07 - 30/09/07</t>
  </si>
  <si>
    <t>TOT SAL 6</t>
  </si>
  <si>
    <t>SAL 6</t>
  </si>
  <si>
    <t>VI</t>
  </si>
  <si>
    <t>AMMESSO PROVV. IN ATTESA DI ISTRUTTORIA COL PROSSIMO SAL</t>
  </si>
  <si>
    <t xml:space="preserve">ATS </t>
  </si>
  <si>
    <t>01/06/04-31/05/05 - 01/06/05-30/10/05 - 01/11/05-31/05/06 - 01/06/06-30/09/06 - 01/10/06-31/01/07 - 01/02/07-31/05/07 - 01/06/07-30/09/07</t>
  </si>
  <si>
    <t>TOT SAL 7</t>
  </si>
  <si>
    <t>RENDICONTAZIONE</t>
  </si>
  <si>
    <t>FITTO NOV 06</t>
  </si>
  <si>
    <t>116241/B</t>
  </si>
  <si>
    <t>FITTO DIC 06</t>
  </si>
  <si>
    <t>116242/B</t>
  </si>
  <si>
    <t>ADEGUAMENTO ISTAT</t>
  </si>
  <si>
    <t>119283/B</t>
  </si>
  <si>
    <t>FITTO GENN 07</t>
  </si>
  <si>
    <t>16873/B</t>
  </si>
  <si>
    <t>FITTO FEBBR 07</t>
  </si>
  <si>
    <t>16874/B</t>
  </si>
  <si>
    <t>FITTO MARZO 07</t>
  </si>
  <si>
    <t>36604/B</t>
  </si>
  <si>
    <t>FITTO APRILE 07</t>
  </si>
  <si>
    <t>36605/B</t>
  </si>
  <si>
    <t>FITTO MAGGIO 07</t>
  </si>
  <si>
    <t>56439/B</t>
  </si>
  <si>
    <t>FITTO GIUGNO 07</t>
  </si>
  <si>
    <t>56440/B</t>
  </si>
  <si>
    <t>FITTO LUGLIO 07</t>
  </si>
  <si>
    <t>76292/B</t>
  </si>
  <si>
    <t>CONDOMINIO NOV 06</t>
  </si>
  <si>
    <t>CONDOMINIO DIC 06</t>
  </si>
  <si>
    <t>CONDOMINIO GENN 07</t>
  </si>
  <si>
    <t>CONDOMINIO FEBBR 07</t>
  </si>
  <si>
    <t>CONDOMINIO MARZO 07</t>
  </si>
  <si>
    <t>CONDOMINIO APRILE 07</t>
  </si>
  <si>
    <t>CONDOMINIO MAGGIO 07</t>
  </si>
  <si>
    <t>CONDOMINIO GIUGNO 07</t>
  </si>
  <si>
    <t>CONDOMINIO LUGLIO 07</t>
  </si>
  <si>
    <t>Vincenzo Sinisi</t>
  </si>
  <si>
    <t>2</t>
  </si>
  <si>
    <t>Claudio Cartini</t>
  </si>
  <si>
    <t>144</t>
  </si>
  <si>
    <t>Francesca Cavicchia</t>
  </si>
  <si>
    <t>6</t>
  </si>
  <si>
    <t>Lorenzo Margiotta</t>
  </si>
  <si>
    <t>8</t>
  </si>
  <si>
    <t>Antonio De Vita</t>
  </si>
  <si>
    <t>Fulgenzio Clavica</t>
  </si>
  <si>
    <t>Augusto Marasco</t>
  </si>
  <si>
    <t>Gaetano Centra</t>
  </si>
  <si>
    <t>Enrico Ampolo</t>
  </si>
  <si>
    <t>Salvatore Baglivo</t>
  </si>
  <si>
    <t>Aldo Caforio</t>
  </si>
  <si>
    <t>EUTELIA S.p.A. (gia' EUNICS S.p.A.)</t>
  </si>
  <si>
    <t>N.ro 8 dipendenti</t>
  </si>
  <si>
    <t>spese viaggio R.Marabini da 27/6/2007 a 29/6/2007</t>
  </si>
  <si>
    <t>spese viaggio R.Marabini da 6/7/2007 a 26/7/2007</t>
  </si>
  <si>
    <t>feb.-set.07</t>
  </si>
  <si>
    <t>Consulenza</t>
  </si>
  <si>
    <t>technosec</t>
  </si>
  <si>
    <t>Hard drive</t>
  </si>
  <si>
    <t>14)09/2007</t>
  </si>
  <si>
    <t>Gruppo di continuità</t>
  </si>
  <si>
    <t>Condizionatore sala server</t>
  </si>
  <si>
    <t>Michele Centanni</t>
  </si>
  <si>
    <t>Apparati Server</t>
  </si>
  <si>
    <t>2215/01</t>
  </si>
  <si>
    <t>720151050271712</t>
  </si>
  <si>
    <t>55/07</t>
  </si>
  <si>
    <t>133/07</t>
  </si>
  <si>
    <t>212/07</t>
  </si>
  <si>
    <t>293/07</t>
  </si>
  <si>
    <t>gen.-set.07</t>
  </si>
  <si>
    <t xml:space="preserve">Stampante e fotocopiatrice </t>
  </si>
  <si>
    <t>Centro Ufficio s.r.l.</t>
  </si>
  <si>
    <t xml:space="preserve">Canone locazione 2/07 </t>
  </si>
  <si>
    <t xml:space="preserve">Canone locazione 3/07 </t>
  </si>
  <si>
    <t xml:space="preserve">Canone locazione 4/07 </t>
  </si>
  <si>
    <t>ricevuta n. 1</t>
  </si>
  <si>
    <t xml:space="preserve">Canone locazione 5/07 </t>
  </si>
  <si>
    <t>ricevuta n. 2</t>
  </si>
  <si>
    <t xml:space="preserve">Canone locazione6/07 </t>
  </si>
  <si>
    <t>ricevuta n. 3</t>
  </si>
  <si>
    <t xml:space="preserve">Canone locazione 7/07 </t>
  </si>
  <si>
    <t>ricevuta n. 4</t>
  </si>
  <si>
    <t xml:space="preserve">Canone locazione 8/07 </t>
  </si>
  <si>
    <t>ricevuta n. 5</t>
  </si>
  <si>
    <t xml:space="preserve">Canone locazione 9/07 </t>
  </si>
  <si>
    <t>ricevuta n. 6</t>
  </si>
  <si>
    <t>74101001418057</t>
  </si>
  <si>
    <t>74101001418058</t>
  </si>
  <si>
    <t>74101001418059</t>
  </si>
  <si>
    <t>74101001418051</t>
  </si>
  <si>
    <t>Canone telefonico 2/2007</t>
  </si>
  <si>
    <t>N.8S00210062</t>
  </si>
  <si>
    <t>Canone telefonico 3/2007</t>
  </si>
  <si>
    <t>N.8S00421316</t>
  </si>
  <si>
    <t>Canone telefonico 4/2007</t>
  </si>
  <si>
    <t>N.8S00617862</t>
  </si>
  <si>
    <t>Canone telefonico 5/2007</t>
  </si>
  <si>
    <t>N.8S00760626</t>
  </si>
  <si>
    <t>Canone telefonico 6/2007</t>
  </si>
  <si>
    <t>Canone telefonico 7/2007</t>
  </si>
  <si>
    <t>Canone telefonico 8/2007</t>
  </si>
  <si>
    <t>Canone telefonico 9/2007</t>
  </si>
  <si>
    <t>Cartoleria</t>
  </si>
  <si>
    <t>personal computer</t>
  </si>
  <si>
    <t>Mero e Mariggio</t>
  </si>
  <si>
    <t>Bonofico bancario</t>
  </si>
  <si>
    <t xml:space="preserve">Schermo Tv </t>
  </si>
  <si>
    <t>Canone locazione 2/2007</t>
  </si>
  <si>
    <t>Canone locazione 3/2007</t>
  </si>
  <si>
    <t>Canone locazione 4/2007</t>
  </si>
  <si>
    <t>Canone locazione 5/2007</t>
  </si>
  <si>
    <t>Canone locazione 6/2007</t>
  </si>
  <si>
    <t>Canone locazione 7/2007</t>
  </si>
  <si>
    <t>Canone locazione 8/2007</t>
  </si>
  <si>
    <t>Canone locazione 9/2007</t>
  </si>
  <si>
    <t>Canone energia elettrica 3/2007</t>
  </si>
  <si>
    <t>1801705270</t>
  </si>
  <si>
    <t>Canone energia elettrica 4/2007</t>
  </si>
  <si>
    <t>1801785673</t>
  </si>
  <si>
    <t>Canone energia elettrica 5/2007</t>
  </si>
  <si>
    <t>1802199820</t>
  </si>
  <si>
    <t>Canone energia elettrica  6/2007</t>
  </si>
  <si>
    <t>1802741514</t>
  </si>
  <si>
    <t>Canone energia elettrica 7/2007</t>
  </si>
  <si>
    <t>1803303502</t>
  </si>
  <si>
    <t>387007055098</t>
  </si>
  <si>
    <t>Fastweb</t>
  </si>
  <si>
    <t>OR2 A2 incarico del 20.12.06 prot 586a</t>
  </si>
  <si>
    <t>Savino Anna</t>
  </si>
  <si>
    <t>34/06</t>
  </si>
  <si>
    <t>mandato bancario n.  206</t>
  </si>
  <si>
    <t>MS Rassel Option KIT 2003</t>
  </si>
  <si>
    <t>BRS</t>
  </si>
  <si>
    <t>Software SQL SVR Standard 2005 Win32 IT OPL NL +SW SQL CAL 2005 It OPL NL Device + SQL Disk SVR Standard Edition 2005 Win 32</t>
  </si>
  <si>
    <t>Canone  Noleggio piattafoma Pegasus LMS 5.0</t>
  </si>
  <si>
    <t>35/06</t>
  </si>
  <si>
    <t>Server HP Proilant DL 380 G5 X 5120 1 Gb  S.N. 470XTV</t>
  </si>
  <si>
    <t>VII</t>
  </si>
  <si>
    <t xml:space="preserve">conguaglio su liq. Provvisoria </t>
  </si>
  <si>
    <t>Conguaglio su liq. Provvisoria</t>
  </si>
  <si>
    <t>conguaglio</t>
  </si>
  <si>
    <t>Nicola Piccinno</t>
  </si>
  <si>
    <t>4</t>
  </si>
  <si>
    <t>Fabio D'Introno</t>
  </si>
  <si>
    <t>224</t>
  </si>
  <si>
    <t>Connessione</t>
  </si>
  <si>
    <t>eutelia</t>
  </si>
  <si>
    <t>ott.07-gen.08</t>
  </si>
  <si>
    <t>Assistenza</t>
  </si>
  <si>
    <t>Okia Communicator</t>
  </si>
  <si>
    <t>Moving Tel</t>
  </si>
  <si>
    <t>Patch Cord 3M</t>
  </si>
  <si>
    <t>Switch Linksys</t>
  </si>
  <si>
    <t>Conguaglio fornitura apparati server farm</t>
  </si>
  <si>
    <t>4718/01</t>
  </si>
  <si>
    <t>712/07</t>
  </si>
  <si>
    <t>802/07</t>
  </si>
  <si>
    <t>886/07</t>
  </si>
  <si>
    <t>Penta Marianna</t>
  </si>
  <si>
    <t>Studio Cretì Quartulli</t>
  </si>
  <si>
    <t xml:space="preserve">Canone locazione 10/07 </t>
  </si>
  <si>
    <t>ricevuta n. 72</t>
  </si>
  <si>
    <t xml:space="preserve">Canone locazione 11/07 </t>
  </si>
  <si>
    <t>ricevuta n. 8</t>
  </si>
  <si>
    <t xml:space="preserve">Canone locazione 12/07 </t>
  </si>
  <si>
    <t>ricevuta n. 9</t>
  </si>
  <si>
    <t>Canone locazione 1/08</t>
  </si>
  <si>
    <t>ricevuta n. 10</t>
  </si>
  <si>
    <t>Canone telefonico 1/2008</t>
  </si>
  <si>
    <t>N.8S51126092</t>
  </si>
  <si>
    <t>N.8S00975664</t>
  </si>
  <si>
    <t>Canone telefonico 10/2007</t>
  </si>
  <si>
    <t>Canone telefonico 11/2007</t>
  </si>
  <si>
    <t>Canone telefonico 12/2007</t>
  </si>
  <si>
    <t>Consulenza Professionale</t>
  </si>
  <si>
    <t>Arch. Davide Aimola</t>
  </si>
  <si>
    <t>Lavori di adeguamento rete LAN Acconto</t>
  </si>
  <si>
    <t>Lavori di adeguamento rete LAN Saldo</t>
  </si>
  <si>
    <t>Proiettore Sony e Telo</t>
  </si>
  <si>
    <t>PC Web Computer</t>
  </si>
  <si>
    <t>Computer e monitor</t>
  </si>
  <si>
    <t>infoemme</t>
  </si>
  <si>
    <t>10/F</t>
  </si>
  <si>
    <t>Pulizia mese ottobre</t>
  </si>
  <si>
    <t>Midas</t>
  </si>
  <si>
    <t>Pulizia mese novembre</t>
  </si>
  <si>
    <t>Pulizia mese dicembre</t>
  </si>
  <si>
    <t>Condominio</t>
  </si>
  <si>
    <t>Condominio Palazzo Rotundi</t>
  </si>
  <si>
    <t>Addebito Bancario</t>
  </si>
  <si>
    <t>8S00902918</t>
  </si>
  <si>
    <t>8S00902913</t>
  </si>
  <si>
    <t>8S01087500</t>
  </si>
  <si>
    <t>8S01087991</t>
  </si>
  <si>
    <t>Luce</t>
  </si>
  <si>
    <t>7102194010 14233</t>
  </si>
  <si>
    <t>Affitto</t>
  </si>
  <si>
    <t>Pizziccoli</t>
  </si>
  <si>
    <t>Presentazione progetto arch on line</t>
  </si>
  <si>
    <t>Azzurra</t>
  </si>
  <si>
    <t>Affissione manifesti</t>
  </si>
  <si>
    <t>spese viaggio R.Marabini da 02/10/2007 a 31/10/2007</t>
  </si>
  <si>
    <t>spese viaggio R.Marabini da20/11/2007 a 20/11/2007</t>
  </si>
  <si>
    <t>N.ro 7 dipendenti</t>
  </si>
  <si>
    <t>OR2 A2 incarico del 20.12.06 prot 586a saldo e acconto OR2A3 incarico del 20.12.06 prot. 586b</t>
  </si>
  <si>
    <t>Fatt 06/07</t>
  </si>
  <si>
    <t>OR2A3 incarico del 04.10.07 prot. 555</t>
  </si>
  <si>
    <t>Ruggiero Francesco</t>
  </si>
  <si>
    <t>Ricevuta</t>
  </si>
  <si>
    <t>Vitucci Michele</t>
  </si>
  <si>
    <t>Fatt 15/07</t>
  </si>
  <si>
    <t>consulenza progetto archonline</t>
  </si>
  <si>
    <t>IACP LECCE</t>
  </si>
  <si>
    <t>96255/B</t>
  </si>
  <si>
    <t>96256/B</t>
  </si>
  <si>
    <t>CC POSTALE</t>
  </si>
  <si>
    <t>Luca Pellegrino Battista</t>
  </si>
  <si>
    <t>scheda pc</t>
  </si>
  <si>
    <t xml:space="preserve">ripristino collegamenti scheda memoria disco rigido </t>
  </si>
  <si>
    <t>Canone locazione 10/2007</t>
  </si>
  <si>
    <t>Canone locazione 11/2007</t>
  </si>
  <si>
    <t>Canone locazione 12/2007</t>
  </si>
  <si>
    <t>Canone locazione 1/2008</t>
  </si>
  <si>
    <t>Canone energia elettrica 9/2007</t>
  </si>
  <si>
    <t>1805141158</t>
  </si>
  <si>
    <t>Canone energia elettrica 10/2007</t>
  </si>
  <si>
    <t>1805534563</t>
  </si>
  <si>
    <t>Canone energia elettrica 11/2007</t>
  </si>
  <si>
    <t>1806561015</t>
  </si>
  <si>
    <t>Canone energia elettrica 12/2007</t>
  </si>
  <si>
    <t>1900775244</t>
  </si>
  <si>
    <t>Sirio</t>
  </si>
  <si>
    <t>Presentazione progetto arch on line rinfresco</t>
  </si>
  <si>
    <t>Ristorante il gambero</t>
  </si>
  <si>
    <t>19396/07</t>
  </si>
  <si>
    <t>SAL 7</t>
  </si>
  <si>
    <t>progetto di 36 +12 +2 mesi</t>
  </si>
  <si>
    <t>SAL 7 - 01/10/07 - 31/07/08</t>
  </si>
  <si>
    <t>Consulenza II semestre 2007</t>
  </si>
  <si>
    <t>91</t>
  </si>
  <si>
    <t>Consulenza I semestre 2008</t>
  </si>
  <si>
    <t>146</t>
  </si>
  <si>
    <t>Claudio Certini</t>
  </si>
  <si>
    <t>affitto monitor al plasma per congresso architetti Torino</t>
  </si>
  <si>
    <t>Gerry Service</t>
  </si>
  <si>
    <t>Materiale promozione</t>
  </si>
  <si>
    <t>Graphic snc</t>
  </si>
  <si>
    <t>Pulizia stand</t>
  </si>
  <si>
    <t>Palmar</t>
  </si>
  <si>
    <t>noleggio stand e arredamento</t>
  </si>
  <si>
    <t>Jumbo grandi eventi</t>
  </si>
  <si>
    <t>Canone Connessione</t>
  </si>
  <si>
    <t>Canone assistenza implementazione dati aprile</t>
  </si>
  <si>
    <t>evolution city group</t>
  </si>
  <si>
    <t>Canone assistenza implementazione dati maggio</t>
  </si>
  <si>
    <t>Canone assistenza implementazione dati giugno</t>
  </si>
  <si>
    <t>feb-lug.08</t>
  </si>
  <si>
    <t>112-04-08</t>
  </si>
  <si>
    <t>720151050271715</t>
  </si>
  <si>
    <t>Pulizie</t>
  </si>
  <si>
    <t>Spese missione consiglieri (Certini, Sinisi, Margiotta)</t>
  </si>
  <si>
    <t>cablaggio e punto video conferenza</t>
  </si>
  <si>
    <t>Pulizia mese febbraio</t>
  </si>
  <si>
    <t>Pulizia mese marzo</t>
  </si>
  <si>
    <t>Pulizia mese aprile</t>
  </si>
  <si>
    <t>Pulizia mese maggio</t>
  </si>
  <si>
    <t>Pulizia mese giugno</t>
  </si>
  <si>
    <t>Pulizia mese luglio</t>
  </si>
  <si>
    <t>8S00024545</t>
  </si>
  <si>
    <t>8S00025116</t>
  </si>
  <si>
    <t>8S00236538</t>
  </si>
  <si>
    <t>8S00236462</t>
  </si>
  <si>
    <t>8S00388926</t>
  </si>
  <si>
    <t>8S00385473</t>
  </si>
  <si>
    <t>7102194010 14234</t>
  </si>
  <si>
    <t>7102194010 14235</t>
  </si>
  <si>
    <t>7102194010 14236</t>
  </si>
  <si>
    <t>computer</t>
  </si>
  <si>
    <t>tv e videocamera</t>
  </si>
  <si>
    <t>computer island</t>
  </si>
  <si>
    <t>Spese missione Foggia</t>
  </si>
  <si>
    <t>Lorusso Lorenzo, Violante Gianni</t>
  </si>
  <si>
    <t xml:space="preserve">spese viaggio Violante Giovanni </t>
  </si>
  <si>
    <t>spese viaggio Lorusso Lorenzo</t>
  </si>
  <si>
    <t>Fornitura pc</t>
  </si>
  <si>
    <t>Computer service</t>
  </si>
  <si>
    <t>Rete LAN</t>
  </si>
  <si>
    <t>Bocina</t>
  </si>
  <si>
    <t>TV sistema audio mobile rack</t>
  </si>
  <si>
    <t>Arredi e illuminotecnica</t>
  </si>
  <si>
    <t>arredo pc</t>
  </si>
  <si>
    <t>Centro ufficio</t>
  </si>
  <si>
    <t xml:space="preserve">Canone locazione 2/08 </t>
  </si>
  <si>
    <t>ricevuta n. 11</t>
  </si>
  <si>
    <t>Canone locazione 3/08</t>
  </si>
  <si>
    <t>ricevuta n. 12</t>
  </si>
  <si>
    <t>Canone locazione 4/08</t>
  </si>
  <si>
    <t>ricevuta n. 13</t>
  </si>
  <si>
    <t xml:space="preserve">Canone locazione 5/08 </t>
  </si>
  <si>
    <t>ricevuta n. 14</t>
  </si>
  <si>
    <t>Canone locazione6/08</t>
  </si>
  <si>
    <t>ricevuta n. 15</t>
  </si>
  <si>
    <t xml:space="preserve">Canone locazione 7/08 </t>
  </si>
  <si>
    <t>ricevuta n. 16</t>
  </si>
  <si>
    <t>74101001418054</t>
  </si>
  <si>
    <t>Canone telefonico 2/2008</t>
  </si>
  <si>
    <t>N.8S00096329</t>
  </si>
  <si>
    <t>Canone telefonico 3/2008</t>
  </si>
  <si>
    <t>N.8S00292339</t>
  </si>
  <si>
    <t>Canone telefonico 4/2008</t>
  </si>
  <si>
    <t>N.8S00466740</t>
  </si>
  <si>
    <t>Canone telefonico 5/2008</t>
  </si>
  <si>
    <t>Canone telefonico 6/2008</t>
  </si>
  <si>
    <t>Canone telefonico 7/2008</t>
  </si>
  <si>
    <t>Spese missione Brindisi</t>
  </si>
  <si>
    <t xml:space="preserve">Consulenza </t>
  </si>
  <si>
    <t>Gianluca Lomartire</t>
  </si>
  <si>
    <t>18/06/2008, 7/7/2008, 30/07/2008</t>
  </si>
  <si>
    <t xml:space="preserve">computer </t>
  </si>
  <si>
    <t>assistenza parco macchine</t>
  </si>
  <si>
    <t>mouse, cavi e prese</t>
  </si>
  <si>
    <t>fornitura e montaggio cavo di rete per cablaggio</t>
  </si>
  <si>
    <t>monitor lcd</t>
  </si>
  <si>
    <t>portacomputer</t>
  </si>
  <si>
    <t>Casa dello scaffale</t>
  </si>
  <si>
    <t>assistenza tecnica strumentazione</t>
  </si>
  <si>
    <t>Canone locazione 5/2008</t>
  </si>
  <si>
    <t>Canone locazione 6/2008</t>
  </si>
  <si>
    <t>Canone locazione 7/2008</t>
  </si>
  <si>
    <t>Canone energia elettrica 1/2008</t>
  </si>
  <si>
    <t>1902232181</t>
  </si>
  <si>
    <t>Canone energia elettrica 2/2008</t>
  </si>
  <si>
    <t>1903319854</t>
  </si>
  <si>
    <t>Canone energia elettrica 3/2008</t>
  </si>
  <si>
    <t>1904459703</t>
  </si>
  <si>
    <t>Canone energia elettrica 4/2008</t>
  </si>
  <si>
    <t>1905553988</t>
  </si>
  <si>
    <t>Canone energia elettrica 5/2008</t>
  </si>
  <si>
    <t>190843598</t>
  </si>
  <si>
    <t>Canone energia elettrica 6/2008</t>
  </si>
  <si>
    <t>1908380041</t>
  </si>
  <si>
    <t>8S01087884</t>
  </si>
  <si>
    <t>8S00024696</t>
  </si>
  <si>
    <t>8S00235913</t>
  </si>
  <si>
    <t>8S00388664</t>
  </si>
  <si>
    <t>8S00511679</t>
  </si>
  <si>
    <t>spese missione congresso Torino</t>
  </si>
  <si>
    <t>12 PC STAMPANTE PROIETTORE</t>
  </si>
  <si>
    <t>CC POSTA</t>
  </si>
  <si>
    <t>116239/B</t>
  </si>
  <si>
    <t>16032/B</t>
  </si>
  <si>
    <t>16033/B</t>
  </si>
  <si>
    <t>36052/B</t>
  </si>
  <si>
    <t>36053/B</t>
  </si>
  <si>
    <t>47946/B</t>
  </si>
  <si>
    <t>57773/B</t>
  </si>
  <si>
    <t>67538/B</t>
  </si>
  <si>
    <t>PULIZIE</t>
  </si>
  <si>
    <t>CPL</t>
  </si>
  <si>
    <t>Mandato bacario</t>
  </si>
  <si>
    <t>Consulenza OR3 A1</t>
  </si>
  <si>
    <t>Lattanzi V.</t>
  </si>
  <si>
    <t>Sistema Casa</t>
  </si>
  <si>
    <t>Poste Italiane</t>
  </si>
  <si>
    <t>Prete F.</t>
  </si>
  <si>
    <t>Leonetti F.</t>
  </si>
  <si>
    <t>D' ambruoso V.</t>
  </si>
  <si>
    <t xml:space="preserve">Costantino N. </t>
  </si>
  <si>
    <t>Bonata D.</t>
  </si>
  <si>
    <t>Consulenza OR3 A3</t>
  </si>
  <si>
    <t>Boleto C.</t>
  </si>
  <si>
    <t>Sorressa G.</t>
  </si>
  <si>
    <t>Software Windows Server 2003 R2 SP2  ITA OR2 A3</t>
  </si>
  <si>
    <t>Mandato Bancario</t>
  </si>
  <si>
    <t xml:space="preserve">Modulo integrativo Pegasus  OR2 A3 </t>
  </si>
  <si>
    <t>WBT</t>
  </si>
  <si>
    <t>Postale on line</t>
  </si>
  <si>
    <t>Nolo attrezzature OR1 A1</t>
  </si>
  <si>
    <t>M.engineering</t>
  </si>
  <si>
    <t>Mandato bancario</t>
  </si>
  <si>
    <t>Saldo canone di noleggio  OR2 A3</t>
  </si>
  <si>
    <t>W.B.T.</t>
  </si>
  <si>
    <t>OR2 A3 Pubblicizzazione</t>
  </si>
  <si>
    <t>RCS Pubblicità</t>
  </si>
  <si>
    <t>Manzoni Pubblicità</t>
  </si>
  <si>
    <t>Publikompass</t>
  </si>
  <si>
    <t xml:space="preserve"> Spese telefoniche OR3 A2</t>
  </si>
  <si>
    <t>Attestati OR3 A2</t>
  </si>
  <si>
    <t>Futurgrafica Italia</t>
  </si>
  <si>
    <t>347/08</t>
  </si>
  <si>
    <t>Acquisto toner fax  OR3 A2</t>
  </si>
  <si>
    <t>Sismet</t>
  </si>
  <si>
    <t>Assistenza LAN e PC OR1 A1</t>
  </si>
  <si>
    <t>Assistenza  PC  OR1 A1</t>
  </si>
  <si>
    <t>Rimborso spese Cavallo OR3 A2</t>
  </si>
  <si>
    <t>Cavallo A.R.</t>
  </si>
  <si>
    <t>Mod. rimb. Spese</t>
  </si>
  <si>
    <t>Rimborso Spese Savino  OR3 A2</t>
  </si>
  <si>
    <t>Savino A.</t>
  </si>
  <si>
    <t>Rimborso Spese Prete OR3 A2</t>
  </si>
  <si>
    <t>Rimborso Spese Ruggiero OR3 A2</t>
  </si>
  <si>
    <t>Ruggiero E.</t>
  </si>
  <si>
    <t>verificare</t>
  </si>
  <si>
    <t>verificare Conguaglio</t>
  </si>
  <si>
    <t xml:space="preserve">verificare  </t>
  </si>
  <si>
    <t>Di cui si ammette al 95%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</si>
</sst>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dd/mm/yy"/>
    <numFmt numFmtId="175" formatCode="&quot;€&quot;\ #,##0.00;[Red]&quot;€&quot;\ #,##0.00"/>
    <numFmt numFmtId="176" formatCode="#,##0.0000"/>
    <numFmt numFmtId="177" formatCode="[$-410]dddd\ d\ mmmm\ yyyy"/>
    <numFmt numFmtId="178" formatCode="#,##0.00;[Red]#,##0.00"/>
    <numFmt numFmtId="179" formatCode="#,##0.000"/>
    <numFmt numFmtId="180" formatCode="&quot;€&quot;\ #,##0.00"/>
    <numFmt numFmtId="181" formatCode="[$€-410]\ #,##0.00;[Red]\-[$€-410]\ #,##0.00"/>
    <numFmt numFmtId="182" formatCode="_-* #,##0.00\ &quot;€&quot;_-;\-* #,##0.00\ &quot;€&quot;_-;_-* &quot;-&quot;??\ &quot;€&quot;_-;_-@_-"/>
    <numFmt numFmtId="183" formatCode="[$€-2]\ #,##0.00"/>
    <numFmt numFmtId="184" formatCode="#,##0.00_ ;[Red]\-#,##0.00\ "/>
    <numFmt numFmtId="185" formatCode="_-* #,##0.00&quot; €&quot;_-;\-* #,##0.00&quot; €&quot;_-;_-* \-??&quot; €&quot;_-;_-@_-"/>
    <numFmt numFmtId="186" formatCode="_-* #,##0.00\ _€_-;\-* #,##0.00\ _€_-;_-* \-??\ _€_-;_-@_-"/>
  </numFmts>
  <fonts count="40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44" fontId="0" fillId="0" borderId="0" applyFon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14" fontId="3" fillId="24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1" fillId="25" borderId="13" xfId="0" applyNumberFormat="1" applyFont="1" applyFill="1" applyBorder="1" applyAlignment="1">
      <alignment horizontal="center"/>
    </xf>
    <xf numFmtId="4" fontId="1" fillId="25" borderId="1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/>
    </xf>
    <xf numFmtId="0" fontId="1" fillId="25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1" fillId="25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/>
    </xf>
    <xf numFmtId="4" fontId="4" fillId="0" borderId="23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4" fillId="0" borderId="11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1" fillId="25" borderId="13" xfId="0" applyFont="1" applyFill="1" applyBorder="1" applyAlignment="1">
      <alignment horizontal="left"/>
    </xf>
    <xf numFmtId="9" fontId="9" fillId="0" borderId="0" xfId="0" applyNumberFormat="1" applyFont="1" applyBorder="1" applyAlignment="1">
      <alignment/>
    </xf>
    <xf numFmtId="4" fontId="1" fillId="25" borderId="13" xfId="0" applyNumberFormat="1" applyFont="1" applyFill="1" applyBorder="1" applyAlignment="1">
      <alignment horizontal="center" wrapText="1"/>
    </xf>
    <xf numFmtId="4" fontId="1" fillId="25" borderId="14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6" fillId="0" borderId="11" xfId="0" applyNumberFormat="1" applyFont="1" applyBorder="1" applyAlignment="1">
      <alignment wrapText="1"/>
    </xf>
    <xf numFmtId="4" fontId="6" fillId="0" borderId="14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1" fillId="25" borderId="23" xfId="0" applyNumberFormat="1" applyFont="1" applyFill="1" applyBorder="1" applyAlignment="1">
      <alignment horizontal="center" wrapText="1"/>
    </xf>
    <xf numFmtId="4" fontId="1" fillId="25" borderId="24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25" borderId="11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 horizontal="left" wrapText="1"/>
    </xf>
    <xf numFmtId="4" fontId="9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 applyProtection="1">
      <alignment horizontal="right" wrapText="1"/>
      <protection/>
    </xf>
    <xf numFmtId="4" fontId="5" fillId="0" borderId="0" xfId="0" applyNumberFormat="1" applyFont="1" applyBorder="1" applyAlignment="1" applyProtection="1">
      <alignment horizontal="right" wrapText="1"/>
      <protection/>
    </xf>
    <xf numFmtId="4" fontId="7" fillId="0" borderId="19" xfId="0" applyNumberFormat="1" applyFont="1" applyBorder="1" applyAlignment="1" applyProtection="1">
      <alignment horizontal="right" wrapText="1"/>
      <protection/>
    </xf>
    <xf numFmtId="0" fontId="3" fillId="24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 applyProtection="1">
      <alignment horizontal="center" wrapText="1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4" fontId="7" fillId="0" borderId="19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4" fontId="4" fillId="0" borderId="11" xfId="0" applyNumberFormat="1" applyFont="1" applyFill="1" applyBorder="1" applyAlignment="1" applyProtection="1">
      <alignment vertical="top" wrapText="1"/>
      <protection locked="0"/>
    </xf>
    <xf numFmtId="9" fontId="2" fillId="0" borderId="23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14" fontId="1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49" fontId="13" fillId="0" borderId="26" xfId="0" applyNumberFormat="1" applyFont="1" applyBorder="1" applyAlignment="1">
      <alignment horizontal="right"/>
    </xf>
    <xf numFmtId="14" fontId="13" fillId="0" borderId="26" xfId="0" applyNumberFormat="1" applyFont="1" applyBorder="1" applyAlignment="1">
      <alignment/>
    </xf>
    <xf numFmtId="14" fontId="13" fillId="0" borderId="26" xfId="0" applyNumberFormat="1" applyFont="1" applyBorder="1" applyAlignment="1">
      <alignment/>
    </xf>
    <xf numFmtId="0" fontId="13" fillId="0" borderId="26" xfId="0" applyFont="1" applyBorder="1" applyAlignment="1">
      <alignment horizontal="right"/>
    </xf>
    <xf numFmtId="4" fontId="3" fillId="0" borderId="26" xfId="0" applyNumberFormat="1" applyFont="1" applyBorder="1" applyAlignment="1">
      <alignment/>
    </xf>
    <xf numFmtId="14" fontId="13" fillId="0" borderId="26" xfId="0" applyNumberFormat="1" applyFont="1" applyBorder="1" applyAlignment="1">
      <alignment wrapText="1"/>
    </xf>
    <xf numFmtId="0" fontId="13" fillId="0" borderId="11" xfId="0" applyFont="1" applyFill="1" applyBorder="1" applyAlignment="1">
      <alignment horizontal="left"/>
    </xf>
    <xf numFmtId="1" fontId="13" fillId="0" borderId="11" xfId="0" applyNumberFormat="1" applyFont="1" applyFill="1" applyBorder="1" applyAlignment="1">
      <alignment horizontal="right"/>
    </xf>
    <xf numFmtId="14" fontId="13" fillId="0" borderId="11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right"/>
    </xf>
    <xf numFmtId="14" fontId="13" fillId="0" borderId="11" xfId="0" applyNumberFormat="1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14" fontId="13" fillId="0" borderId="11" xfId="0" applyNumberFormat="1" applyFont="1" applyFill="1" applyBorder="1" applyAlignment="1">
      <alignment horizontal="center" vertical="center"/>
    </xf>
    <xf numFmtId="4" fontId="13" fillId="0" borderId="11" xfId="44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27" xfId="0" applyFont="1" applyFill="1" applyBorder="1" applyAlignment="1">
      <alignment horizontal="left" wrapText="1"/>
    </xf>
    <xf numFmtId="14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27" xfId="0" applyFont="1" applyFill="1" applyBorder="1" applyAlignment="1">
      <alignment wrapText="1"/>
    </xf>
    <xf numFmtId="0" fontId="13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1" fontId="13" fillId="0" borderId="11" xfId="0" applyNumberFormat="1" applyFont="1" applyFill="1" applyBorder="1" applyAlignment="1">
      <alignment wrapText="1"/>
    </xf>
    <xf numFmtId="14" fontId="13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4" fontId="13" fillId="0" borderId="12" xfId="0" applyNumberFormat="1" applyFont="1" applyFill="1" applyBorder="1" applyAlignment="1">
      <alignment horizontal="left" wrapText="1"/>
    </xf>
    <xf numFmtId="14" fontId="13" fillId="0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4" fontId="3" fillId="0" borderId="12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29" xfId="0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4" fontId="13" fillId="0" borderId="26" xfId="44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49" fontId="13" fillId="0" borderId="30" xfId="0" applyNumberFormat="1" applyFont="1" applyFill="1" applyBorder="1" applyAlignment="1">
      <alignment horizontal="right"/>
    </xf>
    <xf numFmtId="49" fontId="17" fillId="0" borderId="30" xfId="0" applyNumberFormat="1" applyFont="1" applyFill="1" applyBorder="1" applyAlignment="1">
      <alignment horizontal="right"/>
    </xf>
    <xf numFmtId="0" fontId="13" fillId="0" borderId="31" xfId="0" applyFont="1" applyFill="1" applyBorder="1" applyAlignment="1">
      <alignment wrapText="1"/>
    </xf>
    <xf numFmtId="0" fontId="13" fillId="0" borderId="25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14" fontId="13" fillId="0" borderId="11" xfId="0" applyNumberFormat="1" applyFont="1" applyFill="1" applyBorder="1" applyAlignment="1">
      <alignment horizontal="right" wrapText="1"/>
    </xf>
    <xf numFmtId="14" fontId="13" fillId="0" borderId="27" xfId="0" applyNumberFormat="1" applyFont="1" applyFill="1" applyBorder="1" applyAlignment="1">
      <alignment horizontal="right"/>
    </xf>
    <xf numFmtId="14" fontId="13" fillId="0" borderId="26" xfId="0" applyNumberFormat="1" applyFont="1" applyFill="1" applyBorder="1" applyAlignment="1">
      <alignment horizontal="right"/>
    </xf>
    <xf numFmtId="14" fontId="17" fillId="0" borderId="26" xfId="0" applyNumberFormat="1" applyFont="1" applyFill="1" applyBorder="1" applyAlignment="1">
      <alignment horizontal="right"/>
    </xf>
    <xf numFmtId="14" fontId="13" fillId="0" borderId="27" xfId="0" applyNumberFormat="1" applyFont="1" applyFill="1" applyBorder="1" applyAlignment="1">
      <alignment wrapText="1"/>
    </xf>
    <xf numFmtId="14" fontId="13" fillId="0" borderId="26" xfId="0" applyNumberFormat="1" applyFont="1" applyFill="1" applyBorder="1" applyAlignment="1">
      <alignment wrapText="1"/>
    </xf>
    <xf numFmtId="14" fontId="13" fillId="0" borderId="26" xfId="0" applyNumberFormat="1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right" wrapText="1"/>
    </xf>
    <xf numFmtId="4" fontId="13" fillId="0" borderId="27" xfId="44" applyNumberFormat="1" applyFont="1" applyFill="1" applyBorder="1" applyAlignment="1">
      <alignment horizontal="right"/>
    </xf>
    <xf numFmtId="4" fontId="13" fillId="0" borderId="26" xfId="44" applyNumberFormat="1" applyFont="1" applyFill="1" applyBorder="1" applyAlignment="1">
      <alignment horizontal="right"/>
    </xf>
    <xf numFmtId="4" fontId="13" fillId="0" borderId="26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left"/>
    </xf>
    <xf numFmtId="16" fontId="13" fillId="0" borderId="26" xfId="0" applyNumberFormat="1" applyFont="1" applyFill="1" applyBorder="1" applyAlignment="1">
      <alignment horizontal="right"/>
    </xf>
    <xf numFmtId="14" fontId="13" fillId="0" borderId="26" xfId="0" applyNumberFormat="1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 wrapText="1"/>
    </xf>
    <xf numFmtId="14" fontId="13" fillId="0" borderId="25" xfId="0" applyNumberFormat="1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0" fontId="13" fillId="0" borderId="34" xfId="0" applyFont="1" applyBorder="1" applyAlignment="1">
      <alignment horizontal="right"/>
    </xf>
    <xf numFmtId="14" fontId="13" fillId="0" borderId="34" xfId="0" applyNumberFormat="1" applyFont="1" applyBorder="1" applyAlignment="1">
      <alignment/>
    </xf>
    <xf numFmtId="14" fontId="13" fillId="0" borderId="34" xfId="0" applyNumberFormat="1" applyFont="1" applyBorder="1" applyAlignment="1">
      <alignment/>
    </xf>
    <xf numFmtId="14" fontId="13" fillId="0" borderId="34" xfId="0" applyNumberFormat="1" applyFont="1" applyBorder="1" applyAlignment="1">
      <alignment wrapText="1"/>
    </xf>
    <xf numFmtId="4" fontId="3" fillId="0" borderId="34" xfId="0" applyNumberFormat="1" applyFont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1" fontId="13" fillId="0" borderId="26" xfId="0" applyNumberFormat="1" applyFont="1" applyBorder="1" applyAlignment="1">
      <alignment horizontal="right"/>
    </xf>
    <xf numFmtId="14" fontId="13" fillId="0" borderId="26" xfId="0" applyNumberFormat="1" applyFont="1" applyBorder="1" applyAlignment="1">
      <alignment horizontal="right"/>
    </xf>
    <xf numFmtId="4" fontId="13" fillId="0" borderId="26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1" fontId="13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/>
    </xf>
    <xf numFmtId="14" fontId="13" fillId="0" borderId="26" xfId="0" applyNumberFormat="1" applyFont="1" applyBorder="1" applyAlignment="1">
      <alignment horizontal="right" wrapText="1"/>
    </xf>
    <xf numFmtId="0" fontId="13" fillId="0" borderId="26" xfId="0" applyFont="1" applyBorder="1" applyAlignment="1">
      <alignment horizontal="center" wrapText="1"/>
    </xf>
    <xf numFmtId="4" fontId="13" fillId="0" borderId="26" xfId="0" applyNumberFormat="1" applyFont="1" applyBorder="1" applyAlignment="1">
      <alignment horizontal="center"/>
    </xf>
    <xf numFmtId="21" fontId="13" fillId="0" borderId="26" xfId="0" applyNumberFormat="1" applyFont="1" applyBorder="1" applyAlignment="1">
      <alignment horizontal="right"/>
    </xf>
    <xf numFmtId="21" fontId="13" fillId="0" borderId="26" xfId="0" applyNumberFormat="1" applyFont="1" applyBorder="1" applyAlignment="1">
      <alignment horizontal="center" wrapText="1"/>
    </xf>
    <xf numFmtId="14" fontId="13" fillId="0" borderId="26" xfId="0" applyNumberFormat="1" applyFont="1" applyBorder="1" applyAlignment="1">
      <alignment horizontal="left" wrapText="1"/>
    </xf>
    <xf numFmtId="4" fontId="3" fillId="0" borderId="26" xfId="0" applyNumberFormat="1" applyFont="1" applyBorder="1" applyAlignment="1">
      <alignment horizontal="right" wrapText="1"/>
    </xf>
    <xf numFmtId="46" fontId="13" fillId="0" borderId="26" xfId="0" applyNumberFormat="1" applyFont="1" applyBorder="1" applyAlignment="1">
      <alignment horizontal="center" wrapText="1"/>
    </xf>
    <xf numFmtId="14" fontId="13" fillId="0" borderId="26" xfId="0" applyNumberFormat="1" applyFont="1" applyBorder="1" applyAlignment="1" quotePrefix="1">
      <alignment horizontal="center" wrapText="1"/>
    </xf>
    <xf numFmtId="4" fontId="18" fillId="0" borderId="11" xfId="0" applyNumberFormat="1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/>
    </xf>
    <xf numFmtId="21" fontId="3" fillId="0" borderId="11" xfId="0" applyNumberFormat="1" applyFont="1" applyBorder="1" applyAlignment="1">
      <alignment/>
    </xf>
    <xf numFmtId="0" fontId="13" fillId="0" borderId="31" xfId="0" applyFont="1" applyBorder="1" applyAlignment="1">
      <alignment wrapText="1"/>
    </xf>
    <xf numFmtId="0" fontId="13" fillId="0" borderId="27" xfId="0" applyFont="1" applyBorder="1" applyAlignment="1">
      <alignment horizontal="center" wrapText="1"/>
    </xf>
    <xf numFmtId="0" fontId="13" fillId="0" borderId="27" xfId="0" applyFont="1" applyBorder="1" applyAlignment="1">
      <alignment horizontal="center"/>
    </xf>
    <xf numFmtId="14" fontId="13" fillId="0" borderId="27" xfId="0" applyNumberFormat="1" applyFont="1" applyBorder="1" applyAlignment="1">
      <alignment horizontal="center"/>
    </xf>
    <xf numFmtId="14" fontId="13" fillId="0" borderId="27" xfId="0" applyNumberFormat="1" applyFont="1" applyBorder="1" applyAlignment="1">
      <alignment/>
    </xf>
    <xf numFmtId="4" fontId="13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14" fontId="13" fillId="0" borderId="26" xfId="0" applyNumberFormat="1" applyFont="1" applyBorder="1" applyAlignment="1">
      <alignment horizontal="center" wrapText="1"/>
    </xf>
    <xf numFmtId="4" fontId="13" fillId="0" borderId="26" xfId="0" applyNumberFormat="1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wrapText="1"/>
    </xf>
    <xf numFmtId="4" fontId="3" fillId="22" borderId="11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4" fontId="13" fillId="0" borderId="26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21" fontId="13" fillId="0" borderId="26" xfId="0" applyNumberFormat="1" applyFont="1" applyBorder="1" applyAlignment="1">
      <alignment horizontal="center"/>
    </xf>
    <xf numFmtId="14" fontId="13" fillId="0" borderId="26" xfId="0" applyNumberFormat="1" applyFont="1" applyBorder="1" applyAlignment="1">
      <alignment horizontal="left"/>
    </xf>
    <xf numFmtId="14" fontId="13" fillId="0" borderId="11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4" fontId="3" fillId="0" borderId="0" xfId="0" applyNumberFormat="1" applyFont="1" applyBorder="1" applyAlignment="1">
      <alignment/>
    </xf>
    <xf numFmtId="4" fontId="9" fillId="26" borderId="11" xfId="0" applyNumberFormat="1" applyFont="1" applyFill="1" applyBorder="1" applyAlignment="1">
      <alignment/>
    </xf>
    <xf numFmtId="0" fontId="1" fillId="26" borderId="13" xfId="0" applyFont="1" applyFill="1" applyBorder="1" applyAlignment="1">
      <alignment horizontal="left"/>
    </xf>
    <xf numFmtId="4" fontId="4" fillId="26" borderId="11" xfId="0" applyNumberFormat="1" applyFont="1" applyFill="1" applyBorder="1" applyAlignment="1" applyProtection="1">
      <alignment vertical="top" wrapText="1"/>
      <protection locked="0"/>
    </xf>
    <xf numFmtId="4" fontId="5" fillId="26" borderId="11" xfId="0" applyNumberFormat="1" applyFont="1" applyFill="1" applyBorder="1" applyAlignment="1">
      <alignment/>
    </xf>
    <xf numFmtId="4" fontId="7" fillId="26" borderId="11" xfId="0" applyNumberFormat="1" applyFont="1" applyFill="1" applyBorder="1" applyAlignment="1">
      <alignment/>
    </xf>
    <xf numFmtId="0" fontId="8" fillId="26" borderId="12" xfId="0" applyFont="1" applyFill="1" applyBorder="1" applyAlignment="1">
      <alignment horizontal="center" vertical="center" wrapText="1"/>
    </xf>
    <xf numFmtId="4" fontId="3" fillId="26" borderId="11" xfId="0" applyNumberFormat="1" applyFont="1" applyFill="1" applyBorder="1" applyAlignment="1">
      <alignment/>
    </xf>
    <xf numFmtId="4" fontId="3" fillId="26" borderId="10" xfId="0" applyNumberFormat="1" applyFont="1" applyFill="1" applyBorder="1" applyAlignment="1">
      <alignment/>
    </xf>
    <xf numFmtId="4" fontId="3" fillId="26" borderId="10" xfId="0" applyNumberFormat="1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1" fillId="26" borderId="13" xfId="0" applyFont="1" applyFill="1" applyBorder="1" applyAlignment="1">
      <alignment horizontal="center"/>
    </xf>
    <xf numFmtId="4" fontId="3" fillId="26" borderId="12" xfId="0" applyNumberFormat="1" applyFont="1" applyFill="1" applyBorder="1" applyAlignment="1">
      <alignment/>
    </xf>
    <xf numFmtId="0" fontId="8" fillId="26" borderId="11" xfId="0" applyFont="1" applyFill="1" applyBorder="1" applyAlignment="1">
      <alignment horizontal="center" vertical="center" wrapText="1"/>
    </xf>
    <xf numFmtId="4" fontId="5" fillId="26" borderId="14" xfId="0" applyNumberFormat="1" applyFont="1" applyFill="1" applyBorder="1" applyAlignment="1">
      <alignment/>
    </xf>
    <xf numFmtId="4" fontId="3" fillId="26" borderId="11" xfId="0" applyNumberFormat="1" applyFont="1" applyFill="1" applyBorder="1" applyAlignment="1">
      <alignment/>
    </xf>
    <xf numFmtId="0" fontId="3" fillId="26" borderId="11" xfId="0" applyFont="1" applyFill="1" applyBorder="1" applyAlignment="1">
      <alignment/>
    </xf>
    <xf numFmtId="4" fontId="4" fillId="26" borderId="10" xfId="0" applyNumberFormat="1" applyFont="1" applyFill="1" applyBorder="1" applyAlignment="1" applyProtection="1">
      <alignment horizontal="right"/>
      <protection/>
    </xf>
    <xf numFmtId="4" fontId="5" fillId="26" borderId="13" xfId="0" applyNumberFormat="1" applyFont="1" applyFill="1" applyBorder="1" applyAlignment="1" applyProtection="1">
      <alignment horizontal="right"/>
      <protection/>
    </xf>
    <xf numFmtId="4" fontId="7" fillId="26" borderId="13" xfId="0" applyNumberFormat="1" applyFont="1" applyFill="1" applyBorder="1" applyAlignment="1" applyProtection="1">
      <alignment horizontal="right"/>
      <protection/>
    </xf>
    <xf numFmtId="4" fontId="4" fillId="26" borderId="11" xfId="0" applyNumberFormat="1" applyFont="1" applyFill="1" applyBorder="1" applyAlignment="1" applyProtection="1">
      <alignment horizontal="right"/>
      <protection/>
    </xf>
    <xf numFmtId="4" fontId="5" fillId="26" borderId="11" xfId="0" applyNumberFormat="1" applyFont="1" applyFill="1" applyBorder="1" applyAlignment="1" applyProtection="1">
      <alignment horizontal="right"/>
      <protection/>
    </xf>
    <xf numFmtId="4" fontId="7" fillId="26" borderId="11" xfId="0" applyNumberFormat="1" applyFont="1" applyFill="1" applyBorder="1" applyAlignment="1" applyProtection="1">
      <alignment horizontal="right"/>
      <protection/>
    </xf>
    <xf numFmtId="4" fontId="3" fillId="26" borderId="26" xfId="46" applyNumberFormat="1" applyFont="1" applyFill="1" applyBorder="1" applyAlignment="1">
      <alignment horizontal="right"/>
    </xf>
    <xf numFmtId="4" fontId="3" fillId="26" borderId="34" xfId="46" applyNumberFormat="1" applyFont="1" applyFill="1" applyBorder="1" applyAlignment="1">
      <alignment/>
    </xf>
    <xf numFmtId="4" fontId="13" fillId="26" borderId="26" xfId="0" applyNumberFormat="1" applyFont="1" applyFill="1" applyBorder="1" applyAlignment="1">
      <alignment horizontal="right"/>
    </xf>
    <xf numFmtId="4" fontId="4" fillId="26" borderId="19" xfId="0" applyNumberFormat="1" applyFont="1" applyFill="1" applyBorder="1" applyAlignment="1" applyProtection="1">
      <alignment horizontal="right"/>
      <protection/>
    </xf>
    <xf numFmtId="4" fontId="13" fillId="26" borderId="11" xfId="0" applyNumberFormat="1" applyFont="1" applyFill="1" applyBorder="1" applyAlignment="1">
      <alignment horizontal="right"/>
    </xf>
    <xf numFmtId="4" fontId="13" fillId="26" borderId="10" xfId="0" applyNumberFormat="1" applyFont="1" applyFill="1" applyBorder="1" applyAlignment="1">
      <alignment horizontal="right"/>
    </xf>
    <xf numFmtId="4" fontId="3" fillId="26" borderId="25" xfId="0" applyNumberFormat="1" applyFont="1" applyFill="1" applyBorder="1" applyAlignment="1">
      <alignment horizontal="right" wrapText="1"/>
    </xf>
    <xf numFmtId="4" fontId="13" fillId="26" borderId="16" xfId="0" applyNumberFormat="1" applyFont="1" applyFill="1" applyBorder="1" applyAlignment="1">
      <alignment/>
    </xf>
    <xf numFmtId="4" fontId="13" fillId="26" borderId="31" xfId="0" applyNumberFormat="1" applyFont="1" applyFill="1" applyBorder="1" applyAlignment="1">
      <alignment/>
    </xf>
    <xf numFmtId="4" fontId="13" fillId="26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right"/>
    </xf>
    <xf numFmtId="14" fontId="3" fillId="0" borderId="26" xfId="0" applyNumberFormat="1" applyFont="1" applyFill="1" applyBorder="1" applyAlignment="1">
      <alignment horizontal="right"/>
    </xf>
    <xf numFmtId="14" fontId="3" fillId="0" borderId="25" xfId="0" applyNumberFormat="1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right"/>
    </xf>
    <xf numFmtId="14" fontId="3" fillId="0" borderId="34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right"/>
    </xf>
    <xf numFmtId="14" fontId="3" fillId="0" borderId="2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/>
    </xf>
    <xf numFmtId="14" fontId="3" fillId="0" borderId="26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left" wrapText="1"/>
    </xf>
    <xf numFmtId="0" fontId="3" fillId="0" borderId="34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/>
    </xf>
    <xf numFmtId="14" fontId="3" fillId="0" borderId="25" xfId="0" applyNumberFormat="1" applyFont="1" applyFill="1" applyBorder="1" applyAlignment="1">
      <alignment horizontal="left" wrapText="1"/>
    </xf>
    <xf numFmtId="14" fontId="3" fillId="0" borderId="33" xfId="0" applyNumberFormat="1" applyFont="1" applyFill="1" applyBorder="1" applyAlignment="1">
      <alignment horizontal="left" wrapText="1"/>
    </xf>
    <xf numFmtId="14" fontId="3" fillId="0" borderId="11" xfId="0" applyNumberFormat="1" applyFont="1" applyFill="1" applyBorder="1" applyAlignment="1">
      <alignment horizontal="left" wrapText="1"/>
    </xf>
    <xf numFmtId="14" fontId="3" fillId="0" borderId="31" xfId="0" applyNumberFormat="1" applyFont="1" applyFill="1" applyBorder="1" applyAlignment="1">
      <alignment horizontal="left" wrapText="1"/>
    </xf>
    <xf numFmtId="4" fontId="3" fillId="26" borderId="10" xfId="0" applyNumberFormat="1" applyFont="1" applyFill="1" applyBorder="1" applyAlignment="1">
      <alignment horizontal="right"/>
    </xf>
    <xf numFmtId="4" fontId="3" fillId="26" borderId="1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4" fontId="3" fillId="0" borderId="26" xfId="0" applyNumberFormat="1" applyFont="1" applyBorder="1" applyAlignment="1">
      <alignment/>
    </xf>
    <xf numFmtId="14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6" xfId="0" applyFont="1" applyFill="1" applyBorder="1" applyAlignment="1">
      <alignment/>
    </xf>
    <xf numFmtId="2" fontId="3" fillId="26" borderId="26" xfId="0" applyNumberFormat="1" applyFont="1" applyFill="1" applyBorder="1" applyAlignment="1">
      <alignment/>
    </xf>
    <xf numFmtId="4" fontId="3" fillId="26" borderId="26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4" fontId="3" fillId="0" borderId="34" xfId="0" applyNumberFormat="1" applyFont="1" applyBorder="1" applyAlignment="1">
      <alignment/>
    </xf>
    <xf numFmtId="14" fontId="3" fillId="0" borderId="34" xfId="0" applyNumberFormat="1" applyFont="1" applyBorder="1" applyAlignment="1">
      <alignment/>
    </xf>
    <xf numFmtId="0" fontId="3" fillId="0" borderId="25" xfId="0" applyFont="1" applyFill="1" applyBorder="1" applyAlignment="1">
      <alignment horizontal="left"/>
    </xf>
    <xf numFmtId="14" fontId="3" fillId="0" borderId="30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1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wrapText="1"/>
    </xf>
    <xf numFmtId="4" fontId="3" fillId="26" borderId="11" xfId="0" applyNumberFormat="1" applyFont="1" applyFill="1" applyBorder="1" applyAlignment="1">
      <alignment horizontal="center" wrapText="1"/>
    </xf>
    <xf numFmtId="14" fontId="3" fillId="0" borderId="11" xfId="0" applyNumberFormat="1" applyFont="1" applyBorder="1" applyAlignment="1">
      <alignment wrapText="1"/>
    </xf>
    <xf numFmtId="14" fontId="3" fillId="0" borderId="11" xfId="0" applyNumberFormat="1" applyFont="1" applyBorder="1" applyAlignment="1">
      <alignment horizontal="left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wrapText="1"/>
    </xf>
    <xf numFmtId="4" fontId="9" fillId="26" borderId="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26" borderId="11" xfId="0" applyNumberFormat="1" applyFont="1" applyFill="1" applyBorder="1" applyAlignment="1">
      <alignment horizontal="center" vertical="center" wrapText="1"/>
    </xf>
    <xf numFmtId="4" fontId="3" fillId="26" borderId="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3" fillId="24" borderId="11" xfId="47" applyNumberFormat="1" applyFont="1" applyFill="1" applyBorder="1" applyAlignment="1">
      <alignment horizontal="right"/>
    </xf>
    <xf numFmtId="4" fontId="3" fillId="0" borderId="11" xfId="47" applyNumberFormat="1" applyFont="1" applyBorder="1" applyAlignment="1">
      <alignment horizontal="right"/>
    </xf>
    <xf numFmtId="4" fontId="3" fillId="26" borderId="11" xfId="47" applyNumberFormat="1" applyFont="1" applyFill="1" applyBorder="1" applyAlignment="1">
      <alignment horizontal="right"/>
    </xf>
    <xf numFmtId="4" fontId="3" fillId="26" borderId="14" xfId="0" applyNumberFormat="1" applyFont="1" applyFill="1" applyBorder="1" applyAlignment="1">
      <alignment/>
    </xf>
    <xf numFmtId="4" fontId="3" fillId="26" borderId="13" xfId="0" applyNumberFormat="1" applyFont="1" applyFill="1" applyBorder="1" applyAlignment="1">
      <alignment/>
    </xf>
    <xf numFmtId="4" fontId="8" fillId="26" borderId="12" xfId="0" applyNumberFormat="1" applyFont="1" applyFill="1" applyBorder="1" applyAlignment="1">
      <alignment horizontal="center" vertical="center" wrapText="1"/>
    </xf>
    <xf numFmtId="4" fontId="3" fillId="26" borderId="12" xfId="0" applyNumberFormat="1" applyFont="1" applyFill="1" applyBorder="1" applyAlignment="1">
      <alignment horizontal="right"/>
    </xf>
    <xf numFmtId="4" fontId="3" fillId="0" borderId="11" xfId="44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 wrapText="1"/>
    </xf>
    <xf numFmtId="4" fontId="3" fillId="0" borderId="11" xfId="44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3" fillId="26" borderId="11" xfId="0" applyNumberFormat="1" applyFont="1" applyFill="1" applyBorder="1" applyAlignment="1">
      <alignment horizontal="right"/>
    </xf>
    <xf numFmtId="4" fontId="13" fillId="0" borderId="26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3" fillId="26" borderId="11" xfId="0" applyNumberFormat="1" applyFont="1" applyFill="1" applyBorder="1" applyAlignment="1">
      <alignment horizontal="right" wrapText="1"/>
    </xf>
    <xf numFmtId="0" fontId="3" fillId="22" borderId="11" xfId="0" applyFont="1" applyFill="1" applyBorder="1" applyAlignment="1">
      <alignment wrapText="1"/>
    </xf>
    <xf numFmtId="14" fontId="3" fillId="22" borderId="11" xfId="0" applyNumberFormat="1" applyFont="1" applyFill="1" applyBorder="1" applyAlignment="1">
      <alignment horizontal="center" wrapText="1"/>
    </xf>
    <xf numFmtId="0" fontId="3" fillId="0" borderId="25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30" xfId="0" applyNumberFormat="1" applyFont="1" applyBorder="1" applyAlignment="1">
      <alignment horizontal="right" wrapText="1"/>
    </xf>
    <xf numFmtId="0" fontId="3" fillId="0" borderId="26" xfId="0" applyNumberFormat="1" applyFont="1" applyBorder="1" applyAlignment="1">
      <alignment wrapText="1"/>
    </xf>
    <xf numFmtId="0" fontId="3" fillId="0" borderId="26" xfId="44" applyNumberFormat="1" applyFont="1" applyBorder="1" applyAlignment="1">
      <alignment wrapText="1"/>
    </xf>
    <xf numFmtId="0" fontId="3" fillId="0" borderId="11" xfId="0" applyNumberFormat="1" applyFont="1" applyFill="1" applyBorder="1" applyAlignment="1">
      <alignment horizontal="right" wrapText="1"/>
    </xf>
    <xf numFmtId="0" fontId="3" fillId="0" borderId="25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30" xfId="0" applyNumberFormat="1" applyFont="1" applyFill="1" applyBorder="1" applyAlignment="1">
      <alignment horizontal="right" wrapText="1"/>
    </xf>
    <xf numFmtId="0" fontId="3" fillId="0" borderId="26" xfId="0" applyNumberFormat="1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wrapText="1"/>
    </xf>
    <xf numFmtId="0" fontId="3" fillId="0" borderId="32" xfId="0" applyNumberFormat="1" applyFont="1" applyBorder="1" applyAlignment="1">
      <alignment wrapText="1"/>
    </xf>
    <xf numFmtId="0" fontId="3" fillId="0" borderId="26" xfId="44" applyNumberFormat="1" applyFont="1" applyFill="1" applyBorder="1" applyAlignment="1">
      <alignment wrapText="1"/>
    </xf>
    <xf numFmtId="0" fontId="3" fillId="0" borderId="35" xfId="0" applyNumberFormat="1" applyFont="1" applyBorder="1" applyAlignment="1">
      <alignment wrapText="1"/>
    </xf>
    <xf numFmtId="0" fontId="3" fillId="26" borderId="11" xfId="0" applyNumberFormat="1" applyFont="1" applyFill="1" applyBorder="1" applyAlignment="1">
      <alignment horizontal="right" wrapText="1"/>
    </xf>
    <xf numFmtId="14" fontId="3" fillId="0" borderId="26" xfId="0" applyNumberFormat="1" applyFont="1" applyBorder="1" applyAlignment="1">
      <alignment horizontal="right" wrapText="1"/>
    </xf>
    <xf numFmtId="14" fontId="3" fillId="0" borderId="26" xfId="0" applyNumberFormat="1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1" fillId="22" borderId="11" xfId="0" applyFont="1" applyFill="1" applyBorder="1" applyAlignment="1">
      <alignment horizontal="center"/>
    </xf>
    <xf numFmtId="14" fontId="13" fillId="22" borderId="26" xfId="0" applyNumberFormat="1" applyFont="1" applyFill="1" applyBorder="1" applyAlignment="1">
      <alignment/>
    </xf>
    <xf numFmtId="0" fontId="3" fillId="22" borderId="11" xfId="0" applyFont="1" applyFill="1" applyBorder="1" applyAlignment="1">
      <alignment horizontal="center"/>
    </xf>
    <xf numFmtId="0" fontId="3" fillId="22" borderId="0" xfId="0" applyFont="1" applyFill="1" applyBorder="1" applyAlignment="1">
      <alignment/>
    </xf>
    <xf numFmtId="4" fontId="3" fillId="26" borderId="11" xfId="0" applyNumberFormat="1" applyFont="1" applyFill="1" applyBorder="1" applyAlignment="1">
      <alignment wrapText="1"/>
    </xf>
    <xf numFmtId="0" fontId="13" fillId="22" borderId="25" xfId="0" applyFont="1" applyFill="1" applyBorder="1" applyAlignment="1">
      <alignment/>
    </xf>
    <xf numFmtId="0" fontId="13" fillId="22" borderId="26" xfId="0" applyFont="1" applyFill="1" applyBorder="1" applyAlignment="1">
      <alignment horizontal="center" wrapText="1"/>
    </xf>
    <xf numFmtId="4" fontId="3" fillId="22" borderId="26" xfId="0" applyNumberFormat="1" applyFont="1" applyFill="1" applyBorder="1" applyAlignment="1">
      <alignment horizontal="right" wrapText="1"/>
    </xf>
    <xf numFmtId="0" fontId="8" fillId="16" borderId="11" xfId="0" applyFont="1" applyFill="1" applyBorder="1" applyAlignment="1">
      <alignment horizontal="center" wrapText="1"/>
    </xf>
    <xf numFmtId="0" fontId="8" fillId="16" borderId="11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left" wrapText="1"/>
    </xf>
    <xf numFmtId="0" fontId="8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4" fontId="3" fillId="16" borderId="11" xfId="0" applyNumberFormat="1" applyFont="1" applyFill="1" applyBorder="1" applyAlignment="1">
      <alignment/>
    </xf>
    <xf numFmtId="0" fontId="3" fillId="16" borderId="0" xfId="0" applyFont="1" applyFill="1" applyBorder="1" applyAlignment="1">
      <alignment/>
    </xf>
    <xf numFmtId="14" fontId="3" fillId="22" borderId="11" xfId="0" applyNumberFormat="1" applyFont="1" applyFill="1" applyBorder="1" applyAlignment="1">
      <alignment/>
    </xf>
    <xf numFmtId="4" fontId="3" fillId="16" borderId="0" xfId="0" applyNumberFormat="1" applyFont="1" applyFill="1" applyBorder="1" applyAlignment="1">
      <alignment/>
    </xf>
    <xf numFmtId="14" fontId="13" fillId="22" borderId="26" xfId="0" applyNumberFormat="1" applyFont="1" applyFill="1" applyBorder="1" applyAlignment="1">
      <alignment horizontal="center" wrapText="1"/>
    </xf>
    <xf numFmtId="4" fontId="13" fillId="22" borderId="26" xfId="0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 horizontal="center" wrapText="1"/>
    </xf>
    <xf numFmtId="14" fontId="13" fillId="0" borderId="26" xfId="0" applyNumberFormat="1" applyFont="1" applyFill="1" applyBorder="1" applyAlignment="1">
      <alignment horizontal="center" wrapText="1"/>
    </xf>
    <xf numFmtId="14" fontId="13" fillId="0" borderId="26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 horizontal="right" wrapText="1"/>
    </xf>
    <xf numFmtId="4" fontId="3" fillId="0" borderId="26" xfId="0" applyNumberFormat="1" applyFont="1" applyFill="1" applyBorder="1" applyAlignment="1">
      <alignment horizontal="right" wrapText="1"/>
    </xf>
    <xf numFmtId="179" fontId="3" fillId="0" borderId="1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4" fontId="21" fillId="0" borderId="36" xfId="0" applyNumberFormat="1" applyFont="1" applyBorder="1" applyAlignment="1">
      <alignment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/>
    </xf>
    <xf numFmtId="0" fontId="21" fillId="0" borderId="24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0" fontId="16" fillId="0" borderId="17" xfId="0" applyNumberFormat="1" applyFont="1" applyBorder="1" applyAlignment="1">
      <alignment/>
    </xf>
    <xf numFmtId="0" fontId="16" fillId="0" borderId="0" xfId="0" applyFont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4" fontId="16" fillId="0" borderId="19" xfId="0" applyNumberFormat="1" applyFont="1" applyBorder="1" applyAlignment="1">
      <alignment/>
    </xf>
    <xf numFmtId="10" fontId="16" fillId="0" borderId="20" xfId="0" applyNumberFormat="1" applyFont="1" applyBorder="1" applyAlignment="1">
      <alignment/>
    </xf>
    <xf numFmtId="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36" xfId="0" applyFont="1" applyBorder="1" applyAlignment="1">
      <alignment/>
    </xf>
    <xf numFmtId="4" fontId="16" fillId="0" borderId="23" xfId="0" applyNumberFormat="1" applyFont="1" applyBorder="1" applyAlignment="1">
      <alignment/>
    </xf>
    <xf numFmtId="4" fontId="16" fillId="0" borderId="24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3" fillId="0" borderId="26" xfId="0" applyNumberFormat="1" applyFont="1" applyBorder="1" applyAlignment="1">
      <alignment horizontal="right"/>
    </xf>
    <xf numFmtId="4" fontId="2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wrapText="1"/>
    </xf>
    <xf numFmtId="0" fontId="15" fillId="26" borderId="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1" xfId="0" applyFont="1" applyFill="1" applyBorder="1" applyAlignment="1">
      <alignment/>
    </xf>
    <xf numFmtId="0" fontId="3" fillId="16" borderId="11" xfId="0" applyFont="1" applyFill="1" applyBorder="1" applyAlignment="1">
      <alignment wrapText="1"/>
    </xf>
    <xf numFmtId="14" fontId="3" fillId="16" borderId="11" xfId="0" applyNumberFormat="1" applyFont="1" applyFill="1" applyBorder="1" applyAlignment="1">
      <alignment/>
    </xf>
    <xf numFmtId="14" fontId="3" fillId="16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46" fontId="3" fillId="0" borderId="11" xfId="0" applyNumberFormat="1" applyFont="1" applyFill="1" applyBorder="1" applyAlignment="1" quotePrefix="1">
      <alignment wrapText="1"/>
    </xf>
    <xf numFmtId="0" fontId="2" fillId="0" borderId="10" xfId="0" applyFont="1" applyFill="1" applyBorder="1" applyAlignment="1">
      <alignment horizontal="left" wrapText="1"/>
    </xf>
    <xf numFmtId="46" fontId="3" fillId="0" borderId="11" xfId="0" applyNumberFormat="1" applyFont="1" applyFill="1" applyBorder="1" applyAlignment="1">
      <alignment wrapText="1"/>
    </xf>
    <xf numFmtId="4" fontId="19" fillId="0" borderId="0" xfId="0" applyNumberFormat="1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1" fillId="27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14" fillId="27" borderId="10" xfId="0" applyFont="1" applyFill="1" applyBorder="1" applyAlignment="1">
      <alignment horizontal="left" wrapText="1"/>
    </xf>
    <xf numFmtId="0" fontId="3" fillId="27" borderId="11" xfId="0" applyFont="1" applyFill="1" applyBorder="1" applyAlignment="1">
      <alignment wrapText="1"/>
    </xf>
    <xf numFmtId="0" fontId="3" fillId="27" borderId="11" xfId="0" applyFont="1" applyFill="1" applyBorder="1" applyAlignment="1">
      <alignment/>
    </xf>
    <xf numFmtId="14" fontId="3" fillId="27" borderId="11" xfId="0" applyNumberFormat="1" applyFont="1" applyFill="1" applyBorder="1" applyAlignment="1">
      <alignment/>
    </xf>
    <xf numFmtId="14" fontId="3" fillId="27" borderId="11" xfId="0" applyNumberFormat="1" applyFont="1" applyFill="1" applyBorder="1" applyAlignment="1">
      <alignment horizontal="center" wrapText="1"/>
    </xf>
    <xf numFmtId="4" fontId="3" fillId="27" borderId="11" xfId="0" applyNumberFormat="1" applyFont="1" applyFill="1" applyBorder="1" applyAlignment="1">
      <alignment/>
    </xf>
    <xf numFmtId="4" fontId="3" fillId="27" borderId="12" xfId="0" applyNumberFormat="1" applyFont="1" applyFill="1" applyBorder="1" applyAlignment="1">
      <alignment/>
    </xf>
    <xf numFmtId="0" fontId="3" fillId="27" borderId="11" xfId="0" applyFont="1" applyFill="1" applyBorder="1" applyAlignment="1">
      <alignment horizontal="left" wrapText="1"/>
    </xf>
    <xf numFmtId="46" fontId="3" fillId="27" borderId="11" xfId="0" applyNumberFormat="1" applyFont="1" applyFill="1" applyBorder="1" applyAlignment="1" quotePrefix="1">
      <alignment wrapText="1"/>
    </xf>
    <xf numFmtId="4" fontId="3" fillId="27" borderId="10" xfId="0" applyNumberFormat="1" applyFont="1" applyFill="1" applyBorder="1" applyAlignment="1">
      <alignment/>
    </xf>
    <xf numFmtId="0" fontId="13" fillId="27" borderId="25" xfId="0" applyFont="1" applyFill="1" applyBorder="1" applyAlignment="1">
      <alignment/>
    </xf>
    <xf numFmtId="0" fontId="13" fillId="27" borderId="26" xfId="0" applyFont="1" applyFill="1" applyBorder="1" applyAlignment="1">
      <alignment horizontal="center" wrapText="1"/>
    </xf>
    <xf numFmtId="14" fontId="13" fillId="27" borderId="26" xfId="0" applyNumberFormat="1" applyFont="1" applyFill="1" applyBorder="1" applyAlignment="1">
      <alignment horizontal="center" wrapText="1"/>
    </xf>
    <xf numFmtId="14" fontId="13" fillId="27" borderId="26" xfId="0" applyNumberFormat="1" applyFont="1" applyFill="1" applyBorder="1" applyAlignment="1">
      <alignment/>
    </xf>
    <xf numFmtId="4" fontId="13" fillId="27" borderId="26" xfId="0" applyNumberFormat="1" applyFont="1" applyFill="1" applyBorder="1" applyAlignment="1">
      <alignment horizontal="right" wrapText="1"/>
    </xf>
    <xf numFmtId="4" fontId="3" fillId="27" borderId="26" xfId="0" applyNumberFormat="1" applyFont="1" applyFill="1" applyBorder="1" applyAlignment="1">
      <alignment horizontal="right" wrapText="1"/>
    </xf>
    <xf numFmtId="4" fontId="13" fillId="27" borderId="25" xfId="0" applyNumberFormat="1" applyFont="1" applyFill="1" applyBorder="1" applyAlignment="1">
      <alignment/>
    </xf>
    <xf numFmtId="14" fontId="3" fillId="27" borderId="11" xfId="0" applyNumberFormat="1" applyFont="1" applyFill="1" applyBorder="1" applyAlignment="1">
      <alignment/>
    </xf>
    <xf numFmtId="4" fontId="3" fillId="27" borderId="11" xfId="0" applyNumberFormat="1" applyFont="1" applyFill="1" applyBorder="1" applyAlignment="1">
      <alignment/>
    </xf>
    <xf numFmtId="0" fontId="3" fillId="27" borderId="10" xfId="0" applyFont="1" applyFill="1" applyBorder="1" applyAlignment="1">
      <alignment/>
    </xf>
    <xf numFmtId="0" fontId="8" fillId="27" borderId="11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left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/>
    </xf>
    <xf numFmtId="0" fontId="2" fillId="27" borderId="16" xfId="0" applyFont="1" applyFill="1" applyBorder="1" applyAlignment="1">
      <alignment horizontal="left" wrapText="1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0" fontId="15" fillId="0" borderId="16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>
      <alignment horizontal="center"/>
    </xf>
    <xf numFmtId="14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4" fontId="21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/>
    </xf>
    <xf numFmtId="4" fontId="4" fillId="25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17" xfId="0" applyNumberFormat="1" applyFont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16" borderId="11" xfId="0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wrapText="1"/>
    </xf>
    <xf numFmtId="0" fontId="3" fillId="22" borderId="14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2" borderId="11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2" fillId="27" borderId="16" xfId="0" applyFont="1" applyFill="1" applyBorder="1" applyAlignment="1">
      <alignment horizontal="left" wrapText="1"/>
    </xf>
    <xf numFmtId="0" fontId="2" fillId="27" borderId="14" xfId="0" applyFont="1" applyFill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4"/>
  <sheetViews>
    <sheetView tabSelected="1" zoomScalePageLayoutView="0" workbookViewId="0" topLeftCell="A13">
      <selection activeCell="E28" sqref="E28"/>
    </sheetView>
  </sheetViews>
  <sheetFormatPr defaultColWidth="9.140625" defaultRowHeight="12.75"/>
  <cols>
    <col min="1" max="1" width="9.140625" style="411" customWidth="1"/>
    <col min="2" max="2" width="9.7109375" style="411" customWidth="1"/>
    <col min="3" max="3" width="9.421875" style="411" customWidth="1"/>
    <col min="4" max="4" width="11.140625" style="411" customWidth="1"/>
    <col min="5" max="5" width="10.8515625" style="411" customWidth="1"/>
    <col min="6" max="6" width="10.57421875" style="411" customWidth="1"/>
    <col min="7" max="7" width="10.8515625" style="411" customWidth="1"/>
    <col min="8" max="8" width="12.57421875" style="411" customWidth="1"/>
    <col min="9" max="9" width="11.28125" style="411" customWidth="1"/>
    <col min="10" max="10" width="10.140625" style="411" customWidth="1"/>
    <col min="11" max="11" width="10.00390625" style="411" customWidth="1"/>
    <col min="12" max="16384" width="9.140625" style="411" customWidth="1"/>
  </cols>
  <sheetData>
    <row r="2" spans="1:11" ht="12.75">
      <c r="A2" s="531" t="s">
        <v>624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</row>
    <row r="6" spans="1:10" ht="12.75">
      <c r="A6" s="412" t="s">
        <v>0</v>
      </c>
      <c r="B6" s="413"/>
      <c r="C6" s="413"/>
      <c r="D6" s="414" t="s">
        <v>50</v>
      </c>
      <c r="E6" s="415"/>
      <c r="I6" s="411" t="s">
        <v>604</v>
      </c>
      <c r="J6" s="416">
        <v>38139</v>
      </c>
    </row>
    <row r="7" spans="1:10" ht="12.75">
      <c r="A7" s="417" t="s">
        <v>34</v>
      </c>
      <c r="B7" s="418"/>
      <c r="C7" s="418"/>
      <c r="D7" s="419">
        <f>+Complessivo!G3</f>
        <v>2074479</v>
      </c>
      <c r="E7" s="420">
        <f>+Complessivo!H3</f>
        <v>1.0357220882532916</v>
      </c>
      <c r="I7" s="411" t="s">
        <v>605</v>
      </c>
      <c r="J7" s="416">
        <v>39659</v>
      </c>
    </row>
    <row r="8" spans="1:9" ht="12.75">
      <c r="A8" s="417" t="s">
        <v>35</v>
      </c>
      <c r="B8" s="418"/>
      <c r="C8" s="418"/>
      <c r="D8" s="419">
        <f>+Complessivo!G4</f>
        <v>1348411.35</v>
      </c>
      <c r="E8" s="420">
        <f>+Complessivo!H4</f>
        <v>0.9846636185017702</v>
      </c>
      <c r="I8" s="421" t="s">
        <v>1076</v>
      </c>
    </row>
    <row r="9" spans="1:5" ht="12.75">
      <c r="A9" s="417" t="s">
        <v>36</v>
      </c>
      <c r="B9" s="418"/>
      <c r="C9" s="418"/>
      <c r="D9" s="419">
        <f>+Complessivo!G5</f>
        <v>121420</v>
      </c>
      <c r="E9" s="420">
        <f>+Complessivo!H5</f>
        <v>0.5670227155870807</v>
      </c>
    </row>
    <row r="10" spans="1:10" ht="12.75">
      <c r="A10" s="422" t="s">
        <v>37</v>
      </c>
      <c r="B10" s="423"/>
      <c r="C10" s="423"/>
      <c r="D10" s="424">
        <f>+Complessivo!G6</f>
        <v>1469831.35</v>
      </c>
      <c r="E10" s="425">
        <f>+Complessivo!H6</f>
        <v>0.9501630368997368</v>
      </c>
      <c r="I10" s="421" t="s">
        <v>606</v>
      </c>
      <c r="J10" s="426">
        <v>0.65</v>
      </c>
    </row>
    <row r="12" spans="4:6" ht="12.75">
      <c r="D12" s="427" t="s">
        <v>607</v>
      </c>
      <c r="E12" s="427" t="s">
        <v>608</v>
      </c>
      <c r="F12" s="427" t="s">
        <v>609</v>
      </c>
    </row>
    <row r="13" spans="1:6" ht="12.75">
      <c r="A13" s="428" t="s">
        <v>6</v>
      </c>
      <c r="B13" s="413"/>
      <c r="C13" s="413"/>
      <c r="D13" s="429">
        <f>+Complessivo!M14</f>
        <v>1220829</v>
      </c>
      <c r="E13" s="430">
        <f>+Complessivo!M22</f>
        <v>-96400.49999999991</v>
      </c>
      <c r="F13" s="419">
        <f>+D13-E13</f>
        <v>1317229.5</v>
      </c>
    </row>
    <row r="14" spans="1:7" ht="12.75">
      <c r="A14" s="417" t="s">
        <v>7</v>
      </c>
      <c r="B14" s="418"/>
      <c r="C14" s="418"/>
      <c r="D14" s="419">
        <f>+Complessivo!M103</f>
        <v>280000</v>
      </c>
      <c r="E14" s="431">
        <f>+Complessivo!M111</f>
        <v>-14904.539999999979</v>
      </c>
      <c r="F14" s="419">
        <f aca="true" t="shared" si="0" ref="F14:F19">+D14-E14</f>
        <v>294904.54</v>
      </c>
      <c r="G14" s="421"/>
    </row>
    <row r="15" spans="1:7" ht="12.75">
      <c r="A15" s="417" t="s">
        <v>1</v>
      </c>
      <c r="B15" s="418"/>
      <c r="C15" s="418"/>
      <c r="D15" s="419">
        <f>+Complessivo!M220</f>
        <v>85350</v>
      </c>
      <c r="E15" s="431">
        <f>+Complessivo!M228</f>
        <v>57406.5</v>
      </c>
      <c r="F15" s="419">
        <f t="shared" si="0"/>
        <v>27943.5</v>
      </c>
      <c r="G15" s="421"/>
    </row>
    <row r="16" spans="1:7" ht="12.75">
      <c r="A16" s="417" t="s">
        <v>8</v>
      </c>
      <c r="B16" s="418"/>
      <c r="C16" s="418"/>
      <c r="D16" s="419">
        <f>+Complessivo!M247</f>
        <v>0</v>
      </c>
      <c r="E16" s="431">
        <f>+Complessivo!M255</f>
        <v>0</v>
      </c>
      <c r="F16" s="419">
        <f t="shared" si="0"/>
        <v>0</v>
      </c>
      <c r="G16" s="421"/>
    </row>
    <row r="17" spans="1:9" ht="12.75">
      <c r="A17" s="417" t="s">
        <v>23</v>
      </c>
      <c r="B17" s="418"/>
      <c r="C17" s="418"/>
      <c r="D17" s="419">
        <f>+Complessivo!M261</f>
        <v>75300</v>
      </c>
      <c r="E17" s="431">
        <f>+Complessivo!M269</f>
        <v>2400</v>
      </c>
      <c r="F17" s="419">
        <f t="shared" si="0"/>
        <v>72900</v>
      </c>
      <c r="G17" s="421"/>
      <c r="H17" s="435"/>
      <c r="I17" s="435"/>
    </row>
    <row r="18" spans="1:7" ht="12.75">
      <c r="A18" s="417" t="s">
        <v>9</v>
      </c>
      <c r="B18" s="418"/>
      <c r="C18" s="418"/>
      <c r="D18" s="419">
        <f>+Complessivo!M313</f>
        <v>311000</v>
      </c>
      <c r="E18" s="431">
        <f>+Complessivo!M321</f>
        <v>137970.94000000006</v>
      </c>
      <c r="F18" s="419">
        <f t="shared" si="0"/>
        <v>173029.05999999994</v>
      </c>
      <c r="G18" s="421"/>
    </row>
    <row r="19" spans="1:7" ht="12.75">
      <c r="A19" s="422" t="s">
        <v>10</v>
      </c>
      <c r="B19" s="423"/>
      <c r="C19" s="423"/>
      <c r="D19" s="424">
        <f>+Complessivo!M381</f>
        <v>102000</v>
      </c>
      <c r="E19" s="432">
        <f>+Complessivo!M389</f>
        <v>-54657.398645933295</v>
      </c>
      <c r="F19" s="419">
        <f t="shared" si="0"/>
        <v>156657.3986459333</v>
      </c>
      <c r="G19" s="421"/>
    </row>
    <row r="20" spans="4:7" ht="12.75">
      <c r="D20" s="433">
        <f>SUM(D13:D19)</f>
        <v>2074479</v>
      </c>
      <c r="E20" s="433">
        <f>SUM(E13:E19)</f>
        <v>31815.001354066873</v>
      </c>
      <c r="F20" s="433">
        <f>SUM(F13:F19)</f>
        <v>2042663.9986459333</v>
      </c>
      <c r="G20" s="433"/>
    </row>
    <row r="22" spans="4:11" ht="21">
      <c r="D22" s="434" t="s">
        <v>21</v>
      </c>
      <c r="E22" s="434" t="s">
        <v>610</v>
      </c>
      <c r="F22" s="473" t="s">
        <v>611</v>
      </c>
      <c r="G22" s="434" t="s">
        <v>22</v>
      </c>
      <c r="H22" s="434" t="s">
        <v>612</v>
      </c>
      <c r="I22" s="473" t="s">
        <v>613</v>
      </c>
      <c r="J22" s="434" t="s">
        <v>614</v>
      </c>
      <c r="K22" s="434" t="s">
        <v>615</v>
      </c>
    </row>
    <row r="23" spans="1:11" ht="12.75">
      <c r="A23" s="411" t="s">
        <v>616</v>
      </c>
      <c r="D23" s="433">
        <f>+Complessivo!M3</f>
        <v>2042663.998645933</v>
      </c>
      <c r="E23" s="433">
        <f>+Complessivo!N3</f>
        <v>105919.84327166667</v>
      </c>
      <c r="F23" s="433">
        <f>+Complessivo!O3</f>
        <v>2148583.7219176</v>
      </c>
      <c r="G23" s="433">
        <f>+Complessivo!P3</f>
        <v>1327731.599119857</v>
      </c>
      <c r="H23" s="433">
        <f>+Complessivo!Q3</f>
        <v>68847.89812658334</v>
      </c>
      <c r="I23" s="433">
        <f>+Complessivo!R3</f>
        <v>1396579.41924644</v>
      </c>
      <c r="J23" s="433">
        <f>+Complessivo!S3</f>
        <v>440949.41</v>
      </c>
      <c r="K23" s="433">
        <f>+Complessivo!T3</f>
        <v>955630.0092464401</v>
      </c>
    </row>
    <row r="24" spans="1:12" ht="12.75">
      <c r="A24" s="435" t="s">
        <v>51</v>
      </c>
      <c r="B24" s="435"/>
      <c r="D24" s="433">
        <f>+Complessivo!M4</f>
        <v>230215.48368759998</v>
      </c>
      <c r="E24" s="433">
        <f>+Complessivo!N4</f>
        <v>2090.9501</v>
      </c>
      <c r="F24" s="433">
        <f>+Complessivo!O4</f>
        <v>232306.4337876</v>
      </c>
      <c r="G24" s="433">
        <f>+Complessivo!P4</f>
        <v>149640.06439694</v>
      </c>
      <c r="H24" s="433">
        <f>+Complessivo!Q4</f>
        <v>1359.117565</v>
      </c>
      <c r="I24" s="433">
        <f>+Complessivo!R4</f>
        <v>150999.18196194</v>
      </c>
      <c r="J24" s="433">
        <f>+Complessivo!S4</f>
        <v>56624.69323572749</v>
      </c>
      <c r="K24" s="433">
        <f>+Complessivo!T4</f>
        <v>94374.4887262125</v>
      </c>
      <c r="L24" s="435"/>
    </row>
    <row r="25" spans="1:12" ht="12.75">
      <c r="A25" s="435" t="s">
        <v>253</v>
      </c>
      <c r="B25" s="433"/>
      <c r="D25" s="433">
        <f>+Complessivo!M5</f>
        <v>83347.87049999999</v>
      </c>
      <c r="E25" s="433">
        <f>+Complessivo!N5</f>
        <v>7789.151</v>
      </c>
      <c r="F25" s="433">
        <f>+Complessivo!O5</f>
        <v>91136.90149999999</v>
      </c>
      <c r="G25" s="433">
        <f>+Complessivo!P5</f>
        <v>54176.115825</v>
      </c>
      <c r="H25" s="433">
        <f>+Complessivo!Q5</f>
        <v>5062.94815</v>
      </c>
      <c r="I25" s="433">
        <f>+Complessivo!R5</f>
        <v>59238.985975</v>
      </c>
      <c r="J25" s="433">
        <f>+Complessivo!S5</f>
        <v>22214.619740625</v>
      </c>
      <c r="K25" s="433">
        <f>+Complessivo!T5</f>
        <v>37024.366234375004</v>
      </c>
      <c r="L25" s="435"/>
    </row>
    <row r="26" spans="1:12" ht="12.75">
      <c r="A26" s="435" t="s">
        <v>592</v>
      </c>
      <c r="B26" s="433"/>
      <c r="D26" s="433">
        <f>+Complessivo!M6</f>
        <v>315230.7844583334</v>
      </c>
      <c r="E26" s="433">
        <f>+Complessivo!N6</f>
        <v>1405.4432916666676</v>
      </c>
      <c r="F26" s="433">
        <f>+Complessivo!O6</f>
        <v>316636.2277500001</v>
      </c>
      <c r="G26" s="433">
        <f>+Complessivo!P6</f>
        <v>204900.00989791672</v>
      </c>
      <c r="H26" s="433">
        <f>+Complessivo!Q6</f>
        <v>913.5381395833322</v>
      </c>
      <c r="I26" s="433">
        <f>+Complessivo!R6</f>
        <v>205813.54803750006</v>
      </c>
      <c r="J26" s="433">
        <f>+Complessivo!S6</f>
        <v>77180.08051406252</v>
      </c>
      <c r="K26" s="433">
        <f>+Complessivo!T6</f>
        <v>128633.46752343753</v>
      </c>
      <c r="L26" s="435"/>
    </row>
    <row r="27" spans="1:12" ht="12.75">
      <c r="A27" s="435" t="s">
        <v>634</v>
      </c>
      <c r="B27" s="433"/>
      <c r="D27" s="433">
        <f>+Complessivo!M7</f>
        <v>252059.71249999997</v>
      </c>
      <c r="E27" s="433">
        <f>+Complessivo!N7</f>
        <v>7275.14098</v>
      </c>
      <c r="F27" s="433">
        <f>+Complessivo!O7</f>
        <v>259334.85347999996</v>
      </c>
      <c r="G27" s="433">
        <f>+Complessivo!P7</f>
        <v>163838.81312500002</v>
      </c>
      <c r="H27" s="433">
        <f>+Complessivo!Q7</f>
        <v>4728.841637000001</v>
      </c>
      <c r="I27" s="433">
        <f>+Complessivo!R7</f>
        <v>168567.65476200002</v>
      </c>
      <c r="J27" s="433">
        <f>+Complessivo!S7</f>
        <v>63212.87053575</v>
      </c>
      <c r="K27" s="433">
        <f>+Complessivo!T7</f>
        <v>105354.78422625</v>
      </c>
      <c r="L27" s="435"/>
    </row>
    <row r="28" spans="1:12" ht="12.75">
      <c r="A28" s="435" t="s">
        <v>825</v>
      </c>
      <c r="B28" s="433"/>
      <c r="D28" s="433">
        <f>+Complessivo!M8</f>
        <v>148376.063</v>
      </c>
      <c r="E28" s="433">
        <f>+Complessivo!N8</f>
        <v>3420.68</v>
      </c>
      <c r="F28" s="433">
        <f>+Complessivo!O8</f>
        <v>151796.743</v>
      </c>
      <c r="G28" s="433">
        <f>+Complessivo!P8</f>
        <v>96444.44095000002</v>
      </c>
      <c r="H28" s="433">
        <f>+Complessivo!Q8</f>
        <v>2223.442</v>
      </c>
      <c r="I28" s="433">
        <f>+Complessivo!R8</f>
        <v>98667.88295000001</v>
      </c>
      <c r="J28" s="433">
        <f>+Complessivo!S8</f>
        <v>37000.45610625001</v>
      </c>
      <c r="K28" s="433">
        <f>+Complessivo!T8</f>
        <v>61667.426843750014</v>
      </c>
      <c r="L28" s="435"/>
    </row>
    <row r="29" spans="1:12" ht="12.75">
      <c r="A29" s="435" t="s">
        <v>837</v>
      </c>
      <c r="B29" s="433"/>
      <c r="D29" s="433">
        <f>+Complessivo!M9</f>
        <v>378788.12</v>
      </c>
      <c r="E29" s="433">
        <f>+Complessivo!N9</f>
        <v>32330.920000000002</v>
      </c>
      <c r="F29" s="433">
        <f>+Complessivo!O9</f>
        <v>411119.04</v>
      </c>
      <c r="G29" s="433">
        <f>+Complessivo!P9</f>
        <v>246212.27800000002</v>
      </c>
      <c r="H29" s="433">
        <f>+Complessivo!Q9</f>
        <v>21015.098</v>
      </c>
      <c r="I29" s="433">
        <f>+Complessivo!R9</f>
        <v>267227.37600000005</v>
      </c>
      <c r="J29" s="433">
        <f>+Complessivo!S9</f>
        <v>100210.26600000002</v>
      </c>
      <c r="K29" s="433">
        <f>+Complessivo!T9</f>
        <v>167017.11000000002</v>
      </c>
      <c r="L29" s="435"/>
    </row>
    <row r="30" spans="1:12" ht="12.75">
      <c r="A30" s="435"/>
      <c r="B30" s="433"/>
      <c r="D30" s="433"/>
      <c r="E30" s="433"/>
      <c r="F30" s="433"/>
      <c r="G30" s="433"/>
      <c r="H30" s="433"/>
      <c r="I30" s="433"/>
      <c r="J30" s="433"/>
      <c r="K30" s="433"/>
      <c r="L30" s="435"/>
    </row>
    <row r="31" spans="1:12" ht="12.75">
      <c r="A31" s="435" t="s">
        <v>1077</v>
      </c>
      <c r="B31" s="433"/>
      <c r="D31" s="433">
        <f>+Complessivo!M10</f>
        <v>634645.9644999998</v>
      </c>
      <c r="E31" s="433">
        <f>+Complessivo!N10</f>
        <v>51607.5579</v>
      </c>
      <c r="F31" s="433">
        <f>+Complessivo!O10</f>
        <v>686253.5223999998</v>
      </c>
      <c r="G31" s="433">
        <f>+Complessivo!P10</f>
        <v>412519.876925</v>
      </c>
      <c r="H31" s="433">
        <f>+Complessivo!Q10</f>
        <v>33544.912635</v>
      </c>
      <c r="I31" s="433">
        <f>+Complessivo!R10</f>
        <v>446064.78956</v>
      </c>
      <c r="J31" s="433">
        <f>+Complessivo!S10</f>
        <v>84506.42386758496</v>
      </c>
      <c r="K31" s="433">
        <f>+Complessivo!T10</f>
        <v>361558.36569241504</v>
      </c>
      <c r="L31" s="435"/>
    </row>
    <row r="32" spans="1:12" ht="12.75">
      <c r="A32" s="539" t="s">
        <v>1245</v>
      </c>
      <c r="B32" s="539"/>
      <c r="C32" s="539"/>
      <c r="D32" s="433">
        <f aca="true" t="shared" si="1" ref="D32:I32">+D23*95%-D24-D25-D26-D27-D28-D29</f>
        <v>532512.7645677032</v>
      </c>
      <c r="E32" s="433">
        <f t="shared" si="1"/>
        <v>46311.56573641667</v>
      </c>
      <c r="F32" s="433">
        <f t="shared" si="1"/>
        <v>578824.3363041198</v>
      </c>
      <c r="G32" s="433">
        <f t="shared" si="1"/>
        <v>346133.29696900735</v>
      </c>
      <c r="H32" s="433">
        <f t="shared" si="1"/>
        <v>30102.51772867084</v>
      </c>
      <c r="I32" s="433">
        <f t="shared" si="1"/>
        <v>376235.81859767775</v>
      </c>
      <c r="J32" s="433">
        <v>84506.423867585</v>
      </c>
      <c r="K32" s="472">
        <f>+I32-J32</f>
        <v>291729.3947300927</v>
      </c>
      <c r="L32" s="435"/>
    </row>
    <row r="33" ht="12.75">
      <c r="E33" s="436"/>
    </row>
    <row r="34" ht="12.75">
      <c r="E34" s="436"/>
    </row>
    <row r="35" spans="1:11" ht="12.75">
      <c r="A35" s="532" t="s">
        <v>477</v>
      </c>
      <c r="B35" s="533"/>
      <c r="C35" s="533"/>
      <c r="D35" s="533"/>
      <c r="E35" s="533"/>
      <c r="F35" s="533"/>
      <c r="G35" s="533"/>
      <c r="H35" s="534"/>
      <c r="I35" s="437"/>
      <c r="J35" s="437"/>
      <c r="K35" s="438"/>
    </row>
    <row r="36" spans="1:11" ht="12.75">
      <c r="A36" s="418" t="s">
        <v>626</v>
      </c>
      <c r="B36" s="418"/>
      <c r="C36" s="418"/>
      <c r="D36" s="418"/>
      <c r="E36" s="418"/>
      <c r="F36" s="418"/>
      <c r="G36" s="418"/>
      <c r="H36" s="418"/>
      <c r="I36" s="410"/>
      <c r="J36" s="508"/>
      <c r="K36" s="418"/>
    </row>
    <row r="37" spans="1:11" ht="12.75">
      <c r="A37" s="418" t="s">
        <v>627</v>
      </c>
      <c r="B37" s="418"/>
      <c r="C37" s="418"/>
      <c r="D37" s="418"/>
      <c r="E37" s="418"/>
      <c r="F37" s="418"/>
      <c r="G37" s="418"/>
      <c r="H37" s="418"/>
      <c r="I37" s="410"/>
      <c r="J37" s="509"/>
      <c r="K37" s="418"/>
    </row>
    <row r="38" spans="1:11" ht="12.75">
      <c r="A38" s="418" t="s">
        <v>628</v>
      </c>
      <c r="B38" s="418"/>
      <c r="C38" s="418"/>
      <c r="D38" s="418"/>
      <c r="E38" s="418"/>
      <c r="F38" s="418"/>
      <c r="G38" s="418"/>
      <c r="H38" s="418"/>
      <c r="I38" s="410"/>
      <c r="J38" s="509"/>
      <c r="K38" s="418"/>
    </row>
    <row r="39" spans="1:11" ht="12.75">
      <c r="A39" s="418" t="s">
        <v>629</v>
      </c>
      <c r="B39" s="418"/>
      <c r="C39" s="418"/>
      <c r="D39" s="418"/>
      <c r="E39" s="418"/>
      <c r="F39" s="418"/>
      <c r="G39" s="418"/>
      <c r="H39" s="418"/>
      <c r="I39" s="410"/>
      <c r="J39" s="509"/>
      <c r="K39" s="418"/>
    </row>
    <row r="40" spans="1:11" ht="12.75">
      <c r="A40" s="418" t="s">
        <v>630</v>
      </c>
      <c r="B40" s="418"/>
      <c r="C40" s="418"/>
      <c r="D40" s="418"/>
      <c r="E40" s="418"/>
      <c r="F40" s="418"/>
      <c r="G40" s="418"/>
      <c r="H40" s="418"/>
      <c r="I40" s="410"/>
      <c r="J40" s="509"/>
      <c r="K40" s="418"/>
    </row>
    <row r="41" spans="1:11" ht="12.75">
      <c r="A41" s="418" t="s">
        <v>631</v>
      </c>
      <c r="B41" s="418"/>
      <c r="C41" s="418"/>
      <c r="D41" s="418"/>
      <c r="E41" s="418"/>
      <c r="F41" s="418"/>
      <c r="G41" s="418"/>
      <c r="H41" s="418"/>
      <c r="I41" s="410"/>
      <c r="J41" s="509"/>
      <c r="K41" s="418"/>
    </row>
    <row r="42" spans="1:11" ht="12.75">
      <c r="A42" s="418" t="s">
        <v>737</v>
      </c>
      <c r="B42" s="418"/>
      <c r="C42" s="418"/>
      <c r="D42" s="418"/>
      <c r="E42" s="418"/>
      <c r="F42" s="418"/>
      <c r="G42" s="418"/>
      <c r="H42" s="418"/>
      <c r="I42" s="410"/>
      <c r="J42" s="509"/>
      <c r="K42" s="418"/>
    </row>
    <row r="43" spans="1:11" ht="12.75">
      <c r="A43" s="418" t="s">
        <v>632</v>
      </c>
      <c r="B43" s="418"/>
      <c r="C43" s="418"/>
      <c r="D43" s="418"/>
      <c r="E43" s="418"/>
      <c r="F43" s="418"/>
      <c r="G43" s="418"/>
      <c r="H43" s="418"/>
      <c r="I43" s="410"/>
      <c r="J43" s="509"/>
      <c r="K43" s="418"/>
    </row>
    <row r="44" ht="12.75">
      <c r="E44" s="436"/>
    </row>
    <row r="45" spans="1:11" ht="12.75">
      <c r="A45" s="535" t="s">
        <v>617</v>
      </c>
      <c r="B45" s="535"/>
      <c r="C45" s="535"/>
      <c r="D45" s="535"/>
      <c r="E45" s="535"/>
      <c r="F45" s="535"/>
      <c r="G45" s="535"/>
      <c r="H45" s="535"/>
      <c r="I45" s="535"/>
      <c r="J45" s="535"/>
      <c r="K45" s="535"/>
    </row>
    <row r="48" spans="1:11" ht="53.25" customHeight="1">
      <c r="A48" s="530" t="s">
        <v>618</v>
      </c>
      <c r="B48" s="530"/>
      <c r="C48" s="530"/>
      <c r="D48" s="530"/>
      <c r="E48" s="530"/>
      <c r="F48" s="530"/>
      <c r="G48" s="536" t="s">
        <v>843</v>
      </c>
      <c r="H48" s="537"/>
      <c r="I48" s="537"/>
      <c r="J48" s="537"/>
      <c r="K48" s="538"/>
    </row>
    <row r="49" spans="1:11" ht="25.5" customHeight="1">
      <c r="A49" s="530" t="s">
        <v>619</v>
      </c>
      <c r="B49" s="530"/>
      <c r="C49" s="530"/>
      <c r="D49" s="530"/>
      <c r="E49" s="530"/>
      <c r="F49" s="530"/>
      <c r="G49" s="528"/>
      <c r="H49" s="528"/>
      <c r="I49" s="528"/>
      <c r="J49" s="528"/>
      <c r="K49" s="528"/>
    </row>
    <row r="50" spans="1:11" ht="23.25" customHeight="1">
      <c r="A50" s="439"/>
      <c r="B50" s="440"/>
      <c r="C50" s="440"/>
      <c r="D50" s="440"/>
      <c r="E50" s="440"/>
      <c r="F50" s="441"/>
      <c r="G50" s="442"/>
      <c r="H50" s="443"/>
      <c r="I50" s="443"/>
      <c r="J50" s="443"/>
      <c r="K50" s="444"/>
    </row>
    <row r="51" ht="26.25" customHeight="1">
      <c r="A51" s="411" t="s">
        <v>620</v>
      </c>
    </row>
    <row r="52" spans="1:11" ht="12.75">
      <c r="A52" s="423"/>
      <c r="B52" s="423"/>
      <c r="C52" s="423"/>
      <c r="D52" s="423"/>
      <c r="E52" s="423"/>
      <c r="F52" s="423"/>
      <c r="G52" s="423"/>
      <c r="H52" s="423"/>
      <c r="I52" s="423"/>
      <c r="J52" s="423"/>
      <c r="K52" s="423"/>
    </row>
    <row r="53" spans="1:11" ht="12.75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K53" s="423"/>
    </row>
    <row r="54" spans="1:11" ht="12.75">
      <c r="A54" s="423"/>
      <c r="B54" s="423"/>
      <c r="C54" s="423"/>
      <c r="D54" s="423"/>
      <c r="E54" s="423"/>
      <c r="F54" s="423"/>
      <c r="G54" s="423"/>
      <c r="H54" s="423"/>
      <c r="I54" s="423"/>
      <c r="J54" s="423"/>
      <c r="K54" s="423"/>
    </row>
    <row r="55" spans="1:11" ht="12.75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</row>
    <row r="56" spans="1:11" ht="24.75" customHeight="1">
      <c r="A56" s="423"/>
      <c r="B56" s="423"/>
      <c r="C56" s="423"/>
      <c r="D56" s="423"/>
      <c r="E56" s="423"/>
      <c r="F56" s="423"/>
      <c r="G56" s="423"/>
      <c r="H56" s="423"/>
      <c r="I56" s="423"/>
      <c r="J56" s="423"/>
      <c r="K56" s="423"/>
    </row>
    <row r="57" spans="1:11" ht="12.75">
      <c r="A57" s="418"/>
      <c r="B57" s="418"/>
      <c r="C57" s="418"/>
      <c r="D57" s="418"/>
      <c r="E57" s="418"/>
      <c r="F57" s="418"/>
      <c r="G57" s="418"/>
      <c r="H57" s="418"/>
      <c r="I57" s="418"/>
      <c r="J57" s="418"/>
      <c r="K57" s="418"/>
    </row>
    <row r="58" spans="1:11" ht="12.75">
      <c r="A58" s="418"/>
      <c r="B58" s="418"/>
      <c r="C58" s="418"/>
      <c r="D58" s="418"/>
      <c r="E58" s="418"/>
      <c r="F58" s="418"/>
      <c r="G58" s="418"/>
      <c r="H58" s="418"/>
      <c r="I58" s="418"/>
      <c r="J58" s="418"/>
      <c r="K58" s="418"/>
    </row>
    <row r="59" spans="1:11" ht="12.75">
      <c r="A59" s="418"/>
      <c r="B59" s="418"/>
      <c r="C59" s="418"/>
      <c r="D59" s="418"/>
      <c r="E59" s="418"/>
      <c r="F59" s="418"/>
      <c r="G59" s="418"/>
      <c r="H59" s="418"/>
      <c r="I59" s="418"/>
      <c r="J59" s="418"/>
      <c r="K59" s="418"/>
    </row>
    <row r="61" spans="1:9" ht="12.75">
      <c r="A61" s="528" t="s">
        <v>621</v>
      </c>
      <c r="B61" s="528"/>
      <c r="C61" s="528"/>
      <c r="D61" s="528" t="s">
        <v>622</v>
      </c>
      <c r="E61" s="528"/>
      <c r="F61" s="528"/>
      <c r="G61" s="528" t="s">
        <v>623</v>
      </c>
      <c r="H61" s="528"/>
      <c r="I61" s="528"/>
    </row>
    <row r="62" spans="1:9" ht="23.25" customHeight="1">
      <c r="A62" s="529">
        <v>39161</v>
      </c>
      <c r="B62" s="528"/>
      <c r="C62" s="528"/>
      <c r="D62" s="528" t="s">
        <v>787</v>
      </c>
      <c r="E62" s="528"/>
      <c r="F62" s="528"/>
      <c r="G62" s="528"/>
      <c r="H62" s="528"/>
      <c r="I62" s="528"/>
    </row>
    <row r="63" spans="1:9" ht="23.25" customHeight="1">
      <c r="A63" s="528"/>
      <c r="B63" s="528"/>
      <c r="C63" s="528"/>
      <c r="D63" s="528"/>
      <c r="E63" s="528"/>
      <c r="F63" s="528"/>
      <c r="G63" s="528"/>
      <c r="H63" s="528"/>
      <c r="I63" s="528"/>
    </row>
    <row r="64" spans="1:9" ht="23.25" customHeight="1">
      <c r="A64" s="528"/>
      <c r="B64" s="528"/>
      <c r="C64" s="528"/>
      <c r="D64" s="528"/>
      <c r="E64" s="528"/>
      <c r="F64" s="528"/>
      <c r="G64" s="528"/>
      <c r="H64" s="528"/>
      <c r="I64" s="528"/>
    </row>
  </sheetData>
  <sheetProtection/>
  <mergeCells count="20">
    <mergeCell ref="A49:F49"/>
    <mergeCell ref="G49:K49"/>
    <mergeCell ref="A2:K2"/>
    <mergeCell ref="A35:H35"/>
    <mergeCell ref="A45:K45"/>
    <mergeCell ref="A48:F48"/>
    <mergeCell ref="G48:K48"/>
    <mergeCell ref="A32:C32"/>
    <mergeCell ref="A61:C61"/>
    <mergeCell ref="D61:F61"/>
    <mergeCell ref="G61:I61"/>
    <mergeCell ref="A62:C62"/>
    <mergeCell ref="D62:F62"/>
    <mergeCell ref="G62:I62"/>
    <mergeCell ref="A63:C63"/>
    <mergeCell ref="D63:F63"/>
    <mergeCell ref="G63:I63"/>
    <mergeCell ref="A64:C64"/>
    <mergeCell ref="D64:F64"/>
    <mergeCell ref="G64:I64"/>
  </mergeCells>
  <printOptions/>
  <pageMargins left="0.56" right="0.75" top="1" bottom="1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46"/>
  <sheetViews>
    <sheetView showGridLines="0" showZeros="0" zoomScale="85" zoomScaleNormal="85" zoomScalePageLayoutView="0" workbookViewId="0" topLeftCell="A1">
      <pane xSplit="2" ySplit="10" topLeftCell="K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66" sqref="S66:T66"/>
    </sheetView>
  </sheetViews>
  <sheetFormatPr defaultColWidth="9.140625" defaultRowHeight="12.75"/>
  <cols>
    <col min="1" max="1" width="3.140625" style="1" bestFit="1" customWidth="1"/>
    <col min="2" max="2" width="2.7109375" style="47" customWidth="1"/>
    <col min="3" max="3" width="20.140625" style="2" customWidth="1"/>
    <col min="4" max="4" width="17.8515625" style="21" customWidth="1"/>
    <col min="5" max="5" width="13.57421875" style="21" customWidth="1"/>
    <col min="6" max="6" width="13.57421875" style="2" customWidth="1"/>
    <col min="7" max="7" width="13.140625" style="2" customWidth="1"/>
    <col min="8" max="8" width="11.00390625" style="2" customWidth="1"/>
    <col min="9" max="9" width="9.28125" style="94" customWidth="1"/>
    <col min="10" max="10" width="11.140625" style="248" customWidth="1"/>
    <col min="11" max="11" width="11.421875" style="248" customWidth="1"/>
    <col min="12" max="12" width="10.7109375" style="338" customWidth="1"/>
    <col min="13" max="13" width="12.7109375" style="2" customWidth="1"/>
    <col min="14" max="14" width="11.421875" style="2" customWidth="1"/>
    <col min="15" max="15" width="13.57421875" style="258" customWidth="1"/>
    <col min="16" max="16" width="11.57421875" style="2" customWidth="1"/>
    <col min="17" max="17" width="11.140625" style="2" customWidth="1"/>
    <col min="18" max="18" width="12.140625" style="258" customWidth="1"/>
    <col min="19" max="19" width="11.140625" style="2" customWidth="1"/>
    <col min="20" max="20" width="12.28125" style="21" customWidth="1"/>
    <col min="21" max="21" width="13.140625" style="2" customWidth="1"/>
    <col min="22" max="16384" width="9.140625" style="2" customWidth="1"/>
  </cols>
  <sheetData>
    <row r="1" spans="1:20" s="1" customFormat="1" ht="15.75">
      <c r="A1" s="517" t="s">
        <v>49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48"/>
    </row>
    <row r="2" spans="1:20" s="1" customFormat="1" ht="22.5">
      <c r="A2" s="445"/>
      <c r="B2" s="446"/>
      <c r="C2" s="446"/>
      <c r="D2" s="446"/>
      <c r="E2" s="446"/>
      <c r="F2" s="446"/>
      <c r="G2" s="447"/>
      <c r="H2" s="447"/>
      <c r="I2" s="446"/>
      <c r="J2" s="446"/>
      <c r="K2" s="446"/>
      <c r="L2" s="459"/>
      <c r="M2" s="7" t="s">
        <v>21</v>
      </c>
      <c r="N2" s="7" t="s">
        <v>40</v>
      </c>
      <c r="O2" s="261" t="s">
        <v>43</v>
      </c>
      <c r="P2" s="7" t="s">
        <v>22</v>
      </c>
      <c r="Q2" s="19" t="s">
        <v>41</v>
      </c>
      <c r="R2" s="254" t="s">
        <v>42</v>
      </c>
      <c r="S2" s="23" t="s">
        <v>633</v>
      </c>
      <c r="T2" s="24" t="s">
        <v>26</v>
      </c>
    </row>
    <row r="3" spans="1:21" ht="11.25">
      <c r="A3" s="58"/>
      <c r="B3" s="52"/>
      <c r="C3" s="53" t="s">
        <v>0</v>
      </c>
      <c r="D3" s="83" t="s">
        <v>50</v>
      </c>
      <c r="E3" s="50" t="s">
        <v>34</v>
      </c>
      <c r="F3" s="50"/>
      <c r="G3" s="54">
        <v>2074479</v>
      </c>
      <c r="H3" s="98">
        <f>O3/G3</f>
        <v>1.0357220882532916</v>
      </c>
      <c r="I3" s="89" t="s">
        <v>33</v>
      </c>
      <c r="J3" s="51">
        <v>38139</v>
      </c>
      <c r="K3" s="60">
        <f>+N14+N103+N220+N261+N313+N381</f>
        <v>0</v>
      </c>
      <c r="L3" s="335" t="s">
        <v>30</v>
      </c>
      <c r="M3" s="45">
        <f>SUM(M4:M11)</f>
        <v>2042663.998645933</v>
      </c>
      <c r="N3" s="45">
        <f aca="true" t="shared" si="0" ref="N3:T3">SUM(N4:N11)</f>
        <v>105919.84327166667</v>
      </c>
      <c r="O3" s="249">
        <f t="shared" si="0"/>
        <v>2148583.7219176</v>
      </c>
      <c r="P3" s="45">
        <f t="shared" si="0"/>
        <v>1327731.599119857</v>
      </c>
      <c r="Q3" s="45">
        <f t="shared" si="0"/>
        <v>68847.89812658334</v>
      </c>
      <c r="R3" s="249">
        <f t="shared" si="0"/>
        <v>1396579.41924644</v>
      </c>
      <c r="S3" s="45">
        <f t="shared" si="0"/>
        <v>440949.41</v>
      </c>
      <c r="T3" s="45">
        <f t="shared" si="0"/>
        <v>955630.0092464401</v>
      </c>
      <c r="U3" s="248">
        <v>440949.405</v>
      </c>
    </row>
    <row r="4" spans="1:22" s="22" customFormat="1" ht="11.25">
      <c r="A4" s="41"/>
      <c r="B4" s="52"/>
      <c r="C4" s="27" t="s">
        <v>51</v>
      </c>
      <c r="D4" s="84"/>
      <c r="E4" s="56" t="s">
        <v>35</v>
      </c>
      <c r="F4" s="28"/>
      <c r="G4" s="55">
        <v>1348411.35</v>
      </c>
      <c r="H4" s="70">
        <f>P3/G4</f>
        <v>0.9846636185017702</v>
      </c>
      <c r="I4" s="90"/>
      <c r="J4" s="55" t="s">
        <v>38</v>
      </c>
      <c r="K4" s="45">
        <f>Q3</f>
        <v>68847.89812658334</v>
      </c>
      <c r="L4" s="335" t="s">
        <v>31</v>
      </c>
      <c r="M4" s="45">
        <f aca="true" t="shared" si="1" ref="M4:T6">M15+M104+M221+M248+M262+M314+M382</f>
        <v>230215.48368759998</v>
      </c>
      <c r="N4" s="45">
        <f t="shared" si="1"/>
        <v>2090.9501</v>
      </c>
      <c r="O4" s="249">
        <f t="shared" si="1"/>
        <v>232306.4337876</v>
      </c>
      <c r="P4" s="45">
        <f t="shared" si="1"/>
        <v>149640.06439694</v>
      </c>
      <c r="Q4" s="45">
        <f t="shared" si="1"/>
        <v>1359.117565</v>
      </c>
      <c r="R4" s="249">
        <f t="shared" si="1"/>
        <v>150999.18196194</v>
      </c>
      <c r="S4" s="45">
        <f t="shared" si="1"/>
        <v>56624.69323572749</v>
      </c>
      <c r="T4" s="45">
        <f t="shared" si="1"/>
        <v>94374.4887262125</v>
      </c>
      <c r="U4" s="57">
        <v>94374.31</v>
      </c>
      <c r="V4" s="57">
        <f>+U4-T4</f>
        <v>-0.17872621249989606</v>
      </c>
    </row>
    <row r="5" spans="1:22" s="22" customFormat="1" ht="11.25">
      <c r="A5" s="41"/>
      <c r="B5" s="52"/>
      <c r="C5" s="27" t="s">
        <v>253</v>
      </c>
      <c r="D5" s="84"/>
      <c r="E5" s="56" t="s">
        <v>36</v>
      </c>
      <c r="F5" s="28"/>
      <c r="G5" s="55">
        <v>121420</v>
      </c>
      <c r="H5" s="70">
        <f>Q3/G5</f>
        <v>0.5670227155870807</v>
      </c>
      <c r="I5" s="90"/>
      <c r="J5" s="55" t="s">
        <v>39</v>
      </c>
      <c r="K5" s="57">
        <f>K3-K4</f>
        <v>-68847.89812658334</v>
      </c>
      <c r="L5" s="335" t="s">
        <v>32</v>
      </c>
      <c r="M5" s="45">
        <f t="shared" si="1"/>
        <v>83347.87049999999</v>
      </c>
      <c r="N5" s="45">
        <f t="shared" si="1"/>
        <v>7789.151</v>
      </c>
      <c r="O5" s="249">
        <f t="shared" si="1"/>
        <v>91136.90149999999</v>
      </c>
      <c r="P5" s="45">
        <f t="shared" si="1"/>
        <v>54176.115825</v>
      </c>
      <c r="Q5" s="45">
        <f t="shared" si="1"/>
        <v>5062.94815</v>
      </c>
      <c r="R5" s="249">
        <f t="shared" si="1"/>
        <v>59238.985975</v>
      </c>
      <c r="S5" s="45">
        <f t="shared" si="1"/>
        <v>22214.619740625</v>
      </c>
      <c r="T5" s="45">
        <f t="shared" si="1"/>
        <v>37024.366234375004</v>
      </c>
      <c r="U5" s="57">
        <v>37024.37</v>
      </c>
      <c r="V5" s="57">
        <f>+U5-T5</f>
        <v>0.003765624998777639</v>
      </c>
    </row>
    <row r="6" spans="1:21" s="22" customFormat="1" ht="11.25">
      <c r="A6" s="41"/>
      <c r="B6" s="52"/>
      <c r="C6" s="27" t="s">
        <v>592</v>
      </c>
      <c r="D6" s="84"/>
      <c r="E6" s="56" t="s">
        <v>37</v>
      </c>
      <c r="F6" s="28"/>
      <c r="G6" s="55">
        <f>SUM(G4:G5)</f>
        <v>1469831.35</v>
      </c>
      <c r="H6" s="70">
        <f>R3/G6</f>
        <v>0.9501630368997368</v>
      </c>
      <c r="I6" s="90"/>
      <c r="J6" s="57"/>
      <c r="K6" s="57"/>
      <c r="L6" s="335" t="s">
        <v>473</v>
      </c>
      <c r="M6" s="45">
        <f t="shared" si="1"/>
        <v>315230.7844583334</v>
      </c>
      <c r="N6" s="45">
        <f t="shared" si="1"/>
        <v>1405.4432916666676</v>
      </c>
      <c r="O6" s="249">
        <f t="shared" si="1"/>
        <v>316636.2277500001</v>
      </c>
      <c r="P6" s="45">
        <f t="shared" si="1"/>
        <v>204900.00989791672</v>
      </c>
      <c r="Q6" s="45">
        <f t="shared" si="1"/>
        <v>913.5381395833322</v>
      </c>
      <c r="R6" s="249">
        <f t="shared" si="1"/>
        <v>205813.54803750006</v>
      </c>
      <c r="S6" s="45">
        <f t="shared" si="1"/>
        <v>77180.08051406252</v>
      </c>
      <c r="T6" s="45">
        <f t="shared" si="1"/>
        <v>128633.46752343753</v>
      </c>
      <c r="U6" s="57">
        <v>128633.47</v>
      </c>
    </row>
    <row r="7" spans="1:21" s="22" customFormat="1" ht="11.25">
      <c r="A7" s="41"/>
      <c r="B7" s="52"/>
      <c r="C7" s="27" t="s">
        <v>634</v>
      </c>
      <c r="D7" s="84"/>
      <c r="E7" s="56"/>
      <c r="F7" s="28"/>
      <c r="G7" s="55"/>
      <c r="H7" s="70"/>
      <c r="I7" s="90"/>
      <c r="J7" s="57"/>
      <c r="K7" s="57"/>
      <c r="L7" s="335" t="s">
        <v>743</v>
      </c>
      <c r="M7" s="45">
        <f aca="true" t="shared" si="2" ref="M7:N10">M18+M107+M224+M251+M265+M317+M385</f>
        <v>252059.71249999997</v>
      </c>
      <c r="N7" s="45">
        <f t="shared" si="2"/>
        <v>7275.14098</v>
      </c>
      <c r="O7" s="249">
        <f>+N7+M7</f>
        <v>259334.85347999996</v>
      </c>
      <c r="P7" s="45">
        <f aca="true" t="shared" si="3" ref="P7:Q10">P18+P107+P224+P251+P265+P317+P385</f>
        <v>163838.81312500002</v>
      </c>
      <c r="Q7" s="45">
        <f t="shared" si="3"/>
        <v>4728.841637000001</v>
      </c>
      <c r="R7" s="249">
        <f>+Q7+P7</f>
        <v>168567.65476200002</v>
      </c>
      <c r="S7" s="45">
        <f aca="true" t="shared" si="4" ref="S7:T9">S18+S107+S224+S251+S265+S317+S385</f>
        <v>63212.87053575</v>
      </c>
      <c r="T7" s="45">
        <f t="shared" si="4"/>
        <v>105354.78422625</v>
      </c>
      <c r="U7" s="57">
        <v>105354.78</v>
      </c>
    </row>
    <row r="8" spans="1:21" s="22" customFormat="1" ht="11.25">
      <c r="A8" s="41"/>
      <c r="B8" s="52"/>
      <c r="C8" s="27" t="s">
        <v>825</v>
      </c>
      <c r="D8" s="84"/>
      <c r="E8" s="56"/>
      <c r="F8" s="28"/>
      <c r="G8" s="55"/>
      <c r="H8" s="70"/>
      <c r="I8" s="90"/>
      <c r="J8" s="57"/>
      <c r="K8" s="57"/>
      <c r="L8" s="335" t="s">
        <v>833</v>
      </c>
      <c r="M8" s="45">
        <f t="shared" si="2"/>
        <v>148376.063</v>
      </c>
      <c r="N8" s="45">
        <f t="shared" si="2"/>
        <v>3420.68</v>
      </c>
      <c r="O8" s="249">
        <f>+N8+M8</f>
        <v>151796.743</v>
      </c>
      <c r="P8" s="45">
        <f t="shared" si="3"/>
        <v>96444.44095000002</v>
      </c>
      <c r="Q8" s="45">
        <f t="shared" si="3"/>
        <v>2223.442</v>
      </c>
      <c r="R8" s="249">
        <f>+Q8+P8</f>
        <v>98667.88295000001</v>
      </c>
      <c r="S8" s="45">
        <f t="shared" si="4"/>
        <v>37000.45610625001</v>
      </c>
      <c r="T8" s="45">
        <f t="shared" si="4"/>
        <v>61667.426843750014</v>
      </c>
      <c r="U8" s="57">
        <v>61667.42684375</v>
      </c>
    </row>
    <row r="9" spans="1:21" s="22" customFormat="1" ht="11.25">
      <c r="A9" s="41"/>
      <c r="B9" s="52"/>
      <c r="C9" s="27" t="s">
        <v>837</v>
      </c>
      <c r="D9" s="84"/>
      <c r="E9" s="56"/>
      <c r="F9" s="28"/>
      <c r="G9" s="55"/>
      <c r="H9" s="70"/>
      <c r="I9" s="90"/>
      <c r="J9" s="57"/>
      <c r="K9" s="57"/>
      <c r="L9" s="335" t="s">
        <v>838</v>
      </c>
      <c r="M9" s="45">
        <f t="shared" si="2"/>
        <v>378788.12</v>
      </c>
      <c r="N9" s="45">
        <f t="shared" si="2"/>
        <v>32330.920000000002</v>
      </c>
      <c r="O9" s="249">
        <f>+N9+M9</f>
        <v>411119.04</v>
      </c>
      <c r="P9" s="45">
        <f t="shared" si="3"/>
        <v>246212.27800000002</v>
      </c>
      <c r="Q9" s="45">
        <f t="shared" si="3"/>
        <v>21015.098</v>
      </c>
      <c r="R9" s="249">
        <f>+Q9+P9</f>
        <v>267227.37600000005</v>
      </c>
      <c r="S9" s="45">
        <f t="shared" si="4"/>
        <v>100210.26600000002</v>
      </c>
      <c r="T9" s="45">
        <f t="shared" si="4"/>
        <v>167017.11000000002</v>
      </c>
      <c r="U9" s="57">
        <v>167017.11</v>
      </c>
    </row>
    <row r="10" spans="1:21" s="22" customFormat="1" ht="11.25">
      <c r="A10" s="41"/>
      <c r="B10" s="52"/>
      <c r="C10" s="27" t="s">
        <v>1077</v>
      </c>
      <c r="D10" s="84"/>
      <c r="E10" s="56"/>
      <c r="F10" s="28"/>
      <c r="G10" s="55"/>
      <c r="H10" s="70"/>
      <c r="I10" s="90"/>
      <c r="J10" s="57"/>
      <c r="K10" s="57"/>
      <c r="L10" s="335" t="s">
        <v>844</v>
      </c>
      <c r="M10" s="45">
        <f t="shared" si="2"/>
        <v>634645.9644999998</v>
      </c>
      <c r="N10" s="45">
        <f t="shared" si="2"/>
        <v>51607.5579</v>
      </c>
      <c r="O10" s="249">
        <f>+N10+M10</f>
        <v>686253.5223999998</v>
      </c>
      <c r="P10" s="45">
        <f t="shared" si="3"/>
        <v>412519.876925</v>
      </c>
      <c r="Q10" s="45">
        <f t="shared" si="3"/>
        <v>33544.912635</v>
      </c>
      <c r="R10" s="249">
        <f>+Q10+P10</f>
        <v>446064.78956</v>
      </c>
      <c r="S10" s="45">
        <f>440949.41-S9-S8-S7-S6-S5-S4</f>
        <v>84506.42386758496</v>
      </c>
      <c r="T10" s="45">
        <f>+R10-S10</f>
        <v>361558.36569241504</v>
      </c>
      <c r="U10" s="57"/>
    </row>
    <row r="11" spans="1:20" s="22" customFormat="1" ht="11.25">
      <c r="A11" s="41"/>
      <c r="B11" s="52"/>
      <c r="C11" s="27"/>
      <c r="D11" s="84"/>
      <c r="E11" s="95"/>
      <c r="F11" s="28"/>
      <c r="G11" s="55"/>
      <c r="H11" s="29"/>
      <c r="I11" s="90"/>
      <c r="J11" s="57"/>
      <c r="K11" s="57"/>
      <c r="L11" s="335"/>
      <c r="M11" s="45"/>
      <c r="N11" s="45"/>
      <c r="O11" s="249"/>
      <c r="P11" s="45"/>
      <c r="Q11" s="45"/>
      <c r="R11" s="249"/>
      <c r="S11" s="45"/>
      <c r="T11" s="45"/>
    </row>
    <row r="12" spans="1:20" s="22" customFormat="1" ht="11.25">
      <c r="A12" s="41"/>
      <c r="B12" s="59"/>
      <c r="D12" s="84"/>
      <c r="E12" s="95"/>
      <c r="F12" s="28"/>
      <c r="G12" s="28"/>
      <c r="H12" s="29"/>
      <c r="I12" s="90"/>
      <c r="J12" s="57"/>
      <c r="K12" s="57"/>
      <c r="L12" s="335"/>
      <c r="M12" s="45"/>
      <c r="N12" s="45"/>
      <c r="O12" s="249"/>
      <c r="P12" s="45"/>
      <c r="Q12" s="45"/>
      <c r="R12" s="249"/>
      <c r="S12" s="45"/>
      <c r="T12" s="45"/>
    </row>
    <row r="13" spans="1:20" ht="11.25">
      <c r="A13" s="30"/>
      <c r="B13" s="46"/>
      <c r="C13" s="549" t="s">
        <v>6</v>
      </c>
      <c r="D13" s="550"/>
      <c r="E13" s="550"/>
      <c r="F13" s="550"/>
      <c r="G13" s="550"/>
      <c r="H13" s="550"/>
      <c r="I13" s="550"/>
      <c r="J13" s="550"/>
      <c r="K13" s="550"/>
      <c r="L13" s="551"/>
      <c r="M13" s="69" t="s">
        <v>45</v>
      </c>
      <c r="N13" s="69" t="s">
        <v>40</v>
      </c>
      <c r="O13" s="250" t="s">
        <v>46</v>
      </c>
      <c r="P13" s="69" t="s">
        <v>47</v>
      </c>
      <c r="Q13" s="69" t="s">
        <v>48</v>
      </c>
      <c r="R13" s="250" t="s">
        <v>42</v>
      </c>
      <c r="S13" s="23" t="s">
        <v>25</v>
      </c>
      <c r="T13" s="24" t="s">
        <v>26</v>
      </c>
    </row>
    <row r="14" spans="1:18" s="1" customFormat="1" ht="11.25">
      <c r="A14" s="525"/>
      <c r="B14" s="526"/>
      <c r="C14" s="39"/>
      <c r="D14" s="85"/>
      <c r="E14" s="85"/>
      <c r="F14" s="32"/>
      <c r="G14" s="32"/>
      <c r="H14" s="32"/>
      <c r="I14" s="91"/>
      <c r="J14" s="32"/>
      <c r="K14" s="40"/>
      <c r="L14" s="265" t="s">
        <v>12</v>
      </c>
      <c r="M14" s="61">
        <v>1220829</v>
      </c>
      <c r="N14" s="97"/>
      <c r="O14" s="251"/>
      <c r="P14" s="3"/>
      <c r="Q14" s="3">
        <f>N14*0.65</f>
        <v>0</v>
      </c>
      <c r="R14" s="251"/>
    </row>
    <row r="15" spans="1:20" s="1" customFormat="1" ht="11.25">
      <c r="A15" s="525"/>
      <c r="B15" s="526"/>
      <c r="C15" s="34"/>
      <c r="D15" s="86"/>
      <c r="E15" s="86"/>
      <c r="F15" s="33"/>
      <c r="G15" s="33"/>
      <c r="H15" s="33"/>
      <c r="I15" s="92"/>
      <c r="J15" s="33"/>
      <c r="K15" s="4">
        <f>SUM(K34:K35)</f>
        <v>0</v>
      </c>
      <c r="L15" s="266" t="s">
        <v>28</v>
      </c>
      <c r="M15" s="4">
        <f aca="true" t="shared" si="5" ref="M15:R15">+M24</f>
        <v>193331.08</v>
      </c>
      <c r="N15" s="4">
        <f t="shared" si="5"/>
        <v>0</v>
      </c>
      <c r="O15" s="252">
        <f t="shared" si="5"/>
        <v>193331.08</v>
      </c>
      <c r="P15" s="4">
        <f t="shared" si="5"/>
        <v>125665.20199999999</v>
      </c>
      <c r="Q15" s="4">
        <f t="shared" si="5"/>
        <v>0</v>
      </c>
      <c r="R15" s="252">
        <f t="shared" si="5"/>
        <v>125665.20199999999</v>
      </c>
      <c r="S15" s="5">
        <f aca="true" t="shared" si="6" ref="S15:S21">R15*0.375</f>
        <v>47124.450749999996</v>
      </c>
      <c r="T15" s="5">
        <f aca="true" t="shared" si="7" ref="T15:T20">R15-S15</f>
        <v>78540.75125</v>
      </c>
    </row>
    <row r="16" spans="1:20" s="1" customFormat="1" ht="11.25">
      <c r="A16" s="525"/>
      <c r="B16" s="526"/>
      <c r="C16" s="34"/>
      <c r="D16" s="86"/>
      <c r="E16" s="86"/>
      <c r="F16" s="33"/>
      <c r="G16" s="33"/>
      <c r="H16" s="33"/>
      <c r="I16" s="92"/>
      <c r="J16" s="33"/>
      <c r="K16" s="35"/>
      <c r="L16" s="266" t="s">
        <v>29</v>
      </c>
      <c r="M16" s="4">
        <f aca="true" t="shared" si="8" ref="M16:R16">+M33</f>
        <v>31160.18</v>
      </c>
      <c r="N16" s="4">
        <f t="shared" si="8"/>
        <v>0</v>
      </c>
      <c r="O16" s="252">
        <f t="shared" si="8"/>
        <v>31160.18</v>
      </c>
      <c r="P16" s="4">
        <f t="shared" si="8"/>
        <v>20254.117000000002</v>
      </c>
      <c r="Q16" s="4">
        <f t="shared" si="8"/>
        <v>0</v>
      </c>
      <c r="R16" s="252">
        <f t="shared" si="8"/>
        <v>20254.117000000002</v>
      </c>
      <c r="S16" s="5">
        <f t="shared" si="6"/>
        <v>7595.293875000001</v>
      </c>
      <c r="T16" s="5">
        <f t="shared" si="7"/>
        <v>12658.823125</v>
      </c>
    </row>
    <row r="17" spans="1:20" s="1" customFormat="1" ht="11.25">
      <c r="A17" s="525"/>
      <c r="B17" s="526"/>
      <c r="C17" s="34"/>
      <c r="D17" s="86"/>
      <c r="E17" s="86"/>
      <c r="F17" s="33"/>
      <c r="G17" s="33"/>
      <c r="H17" s="33"/>
      <c r="I17" s="92"/>
      <c r="J17" s="33"/>
      <c r="K17" s="35"/>
      <c r="L17" s="266" t="s">
        <v>474</v>
      </c>
      <c r="M17" s="4">
        <f>SUM(M42:M49)</f>
        <v>308029.55000000005</v>
      </c>
      <c r="N17" s="4">
        <f>SUM(N42:N49)</f>
        <v>0</v>
      </c>
      <c r="O17" s="252">
        <f>+N17+M17</f>
        <v>308029.55000000005</v>
      </c>
      <c r="P17" s="4">
        <f>SUM(P42:P49)</f>
        <v>200219.20750000002</v>
      </c>
      <c r="Q17" s="4">
        <f>SUM(Q42:Q49)</f>
        <v>0</v>
      </c>
      <c r="R17" s="252">
        <f>+Q17+P17</f>
        <v>200219.20750000002</v>
      </c>
      <c r="S17" s="5">
        <f t="shared" si="6"/>
        <v>75082.2028125</v>
      </c>
      <c r="T17" s="5">
        <f t="shared" si="7"/>
        <v>125137.00468750001</v>
      </c>
    </row>
    <row r="18" spans="1:20" s="1" customFormat="1" ht="11.25">
      <c r="A18" s="525"/>
      <c r="B18" s="526"/>
      <c r="C18" s="34"/>
      <c r="D18" s="86"/>
      <c r="E18" s="86"/>
      <c r="F18" s="33"/>
      <c r="G18" s="33"/>
      <c r="H18" s="33"/>
      <c r="I18" s="92"/>
      <c r="J18" s="33"/>
      <c r="K18" s="35"/>
      <c r="L18" s="266" t="s">
        <v>742</v>
      </c>
      <c r="M18" s="4">
        <f>SUM(M50:M59)</f>
        <v>194631.47</v>
      </c>
      <c r="N18" s="4">
        <f>SUM(N50:N59)</f>
        <v>0</v>
      </c>
      <c r="O18" s="252">
        <f>+N18+M18</f>
        <v>194631.47</v>
      </c>
      <c r="P18" s="4">
        <f>SUM(P50:P59)</f>
        <v>126510.45550000001</v>
      </c>
      <c r="Q18" s="4">
        <f>SUM(Q50:Q56)</f>
        <v>0</v>
      </c>
      <c r="R18" s="252">
        <f>+Q18+P18</f>
        <v>126510.45550000001</v>
      </c>
      <c r="S18" s="5">
        <f t="shared" si="6"/>
        <v>47441.4208125</v>
      </c>
      <c r="T18" s="5">
        <f t="shared" si="7"/>
        <v>79069.03468750001</v>
      </c>
    </row>
    <row r="19" spans="1:20" s="1" customFormat="1" ht="11.25">
      <c r="A19" s="525"/>
      <c r="B19" s="526"/>
      <c r="C19" s="34"/>
      <c r="D19" s="86"/>
      <c r="E19" s="86"/>
      <c r="F19" s="33"/>
      <c r="G19" s="33"/>
      <c r="H19" s="33"/>
      <c r="I19" s="92"/>
      <c r="J19" s="33"/>
      <c r="K19" s="35"/>
      <c r="L19" s="266" t="s">
        <v>834</v>
      </c>
      <c r="M19" s="4">
        <f>SUM(M60:M68)</f>
        <v>121299.45999999999</v>
      </c>
      <c r="N19" s="4"/>
      <c r="O19" s="252">
        <f>+N19+M19</f>
        <v>121299.45999999999</v>
      </c>
      <c r="P19" s="4">
        <f>SUM(P60:P68)</f>
        <v>78844.64900000002</v>
      </c>
      <c r="Q19" s="4"/>
      <c r="R19" s="252">
        <f>+Q19+P19</f>
        <v>78844.64900000002</v>
      </c>
      <c r="S19" s="5">
        <f t="shared" si="6"/>
        <v>29566.743375000005</v>
      </c>
      <c r="T19" s="5">
        <f t="shared" si="7"/>
        <v>49277.905625000014</v>
      </c>
    </row>
    <row r="20" spans="1:20" s="1" customFormat="1" ht="11.25">
      <c r="A20" s="525"/>
      <c r="B20" s="526"/>
      <c r="C20" s="34"/>
      <c r="D20" s="86"/>
      <c r="E20" s="86"/>
      <c r="F20" s="33"/>
      <c r="G20" s="33"/>
      <c r="H20" s="33"/>
      <c r="I20" s="92"/>
      <c r="J20" s="33"/>
      <c r="K20" s="35"/>
      <c r="L20" s="266" t="s">
        <v>839</v>
      </c>
      <c r="M20" s="4">
        <f>+M69</f>
        <v>212349.79</v>
      </c>
      <c r="N20" s="4">
        <f>+N69</f>
        <v>0</v>
      </c>
      <c r="O20" s="252">
        <f>+N20+M20</f>
        <v>212349.79</v>
      </c>
      <c r="P20" s="4">
        <f>+P69</f>
        <v>138027.3635</v>
      </c>
      <c r="Q20" s="4">
        <f>+Q69</f>
        <v>0</v>
      </c>
      <c r="R20" s="252">
        <f>+Q20+P20</f>
        <v>138027.3635</v>
      </c>
      <c r="S20" s="5">
        <f t="shared" si="6"/>
        <v>51760.261312500006</v>
      </c>
      <c r="T20" s="5">
        <f t="shared" si="7"/>
        <v>86267.1021875</v>
      </c>
    </row>
    <row r="21" spans="1:20" s="1" customFormat="1" ht="11.25">
      <c r="A21" s="525"/>
      <c r="B21" s="526"/>
      <c r="C21" s="34"/>
      <c r="D21" s="86"/>
      <c r="E21" s="86"/>
      <c r="F21" s="33"/>
      <c r="G21" s="33"/>
      <c r="H21" s="33"/>
      <c r="I21" s="92"/>
      <c r="J21" s="33"/>
      <c r="K21" s="35"/>
      <c r="L21" s="266" t="s">
        <v>1075</v>
      </c>
      <c r="M21" s="4">
        <f>SUM(M77:M98)</f>
        <v>256427.9699999999</v>
      </c>
      <c r="N21" s="4">
        <f>SUM(N77:N98)</f>
        <v>0</v>
      </c>
      <c r="O21" s="252">
        <f>+N21+M21</f>
        <v>256427.9699999999</v>
      </c>
      <c r="P21" s="4">
        <f>SUM(P77:P98)</f>
        <v>166678.1805</v>
      </c>
      <c r="Q21" s="4">
        <f>SUM(Q77:Q98)</f>
        <v>0</v>
      </c>
      <c r="R21" s="252">
        <f>+Q21+P21</f>
        <v>166678.1805</v>
      </c>
      <c r="S21" s="5">
        <f t="shared" si="6"/>
        <v>62504.31768749999</v>
      </c>
      <c r="T21" s="5">
        <f>R21-S21</f>
        <v>104173.8628125</v>
      </c>
    </row>
    <row r="22" spans="1:20" s="1" customFormat="1" ht="11.25">
      <c r="A22" s="527"/>
      <c r="B22" s="510"/>
      <c r="C22" s="36"/>
      <c r="D22" s="87"/>
      <c r="E22" s="87"/>
      <c r="F22" s="37"/>
      <c r="G22" s="37"/>
      <c r="H22" s="37"/>
      <c r="I22" s="93"/>
      <c r="J22" s="37"/>
      <c r="K22" s="38"/>
      <c r="L22" s="267" t="s">
        <v>13</v>
      </c>
      <c r="M22" s="6">
        <f>M14-M15-M16-M17-M18-M19-M20-M21</f>
        <v>-96400.49999999991</v>
      </c>
      <c r="N22" s="6">
        <f>N14-N15-N16-N17</f>
        <v>0</v>
      </c>
      <c r="O22" s="253"/>
      <c r="P22" s="6"/>
      <c r="Q22" s="6">
        <f>Q14-Q15-Q16-Q17</f>
        <v>0</v>
      </c>
      <c r="R22" s="253"/>
      <c r="S22" s="26"/>
      <c r="T22" s="26"/>
    </row>
    <row r="23" spans="1:20" ht="30.75" customHeight="1">
      <c r="A23" s="7" t="s">
        <v>14</v>
      </c>
      <c r="B23" s="7" t="s">
        <v>11</v>
      </c>
      <c r="C23" s="25" t="s">
        <v>24</v>
      </c>
      <c r="D23" s="25" t="s">
        <v>20</v>
      </c>
      <c r="E23" s="31" t="s">
        <v>2</v>
      </c>
      <c r="F23" s="25" t="s">
        <v>19</v>
      </c>
      <c r="G23" s="25" t="s">
        <v>18</v>
      </c>
      <c r="H23" s="31" t="s">
        <v>17</v>
      </c>
      <c r="I23" s="31" t="s">
        <v>16</v>
      </c>
      <c r="J23" s="336" t="s">
        <v>3</v>
      </c>
      <c r="K23" s="336" t="s">
        <v>4</v>
      </c>
      <c r="L23" s="337" t="s">
        <v>5</v>
      </c>
      <c r="M23" s="7" t="s">
        <v>21</v>
      </c>
      <c r="N23" s="7" t="s">
        <v>40</v>
      </c>
      <c r="O23" s="261" t="s">
        <v>43</v>
      </c>
      <c r="P23" s="7" t="s">
        <v>22</v>
      </c>
      <c r="Q23" s="19" t="s">
        <v>41</v>
      </c>
      <c r="R23" s="254" t="s">
        <v>42</v>
      </c>
      <c r="S23" s="524" t="s">
        <v>27</v>
      </c>
      <c r="T23" s="524"/>
    </row>
    <row r="24" spans="1:20" s="466" customFormat="1" ht="11.25">
      <c r="A24" s="387" t="s">
        <v>15</v>
      </c>
      <c r="B24" s="388"/>
      <c r="C24" s="389" t="s">
        <v>477</v>
      </c>
      <c r="D24" s="390"/>
      <c r="E24" s="391"/>
      <c r="F24" s="390"/>
      <c r="G24" s="390"/>
      <c r="H24" s="391"/>
      <c r="I24" s="391"/>
      <c r="J24" s="392">
        <v>193331.08</v>
      </c>
      <c r="K24" s="392">
        <f>SUM(K25:K32)</f>
        <v>0</v>
      </c>
      <c r="L24" s="255">
        <f>+K24+J24</f>
        <v>193331.08</v>
      </c>
      <c r="M24" s="392">
        <v>193331.08</v>
      </c>
      <c r="N24" s="392">
        <v>0</v>
      </c>
      <c r="O24" s="255">
        <f>+N24+M24</f>
        <v>193331.08</v>
      </c>
      <c r="P24" s="392">
        <f>M24*0.65</f>
        <v>125665.20199999999</v>
      </c>
      <c r="Q24" s="392"/>
      <c r="R24" s="255">
        <f>O24*0.65</f>
        <v>125665.20199999999</v>
      </c>
      <c r="S24" s="571" t="s">
        <v>478</v>
      </c>
      <c r="T24" s="571"/>
    </row>
    <row r="25" spans="1:20" ht="22.5">
      <c r="A25" s="233" t="s">
        <v>15</v>
      </c>
      <c r="B25" s="7"/>
      <c r="C25" s="232" t="s">
        <v>254</v>
      </c>
      <c r="D25" s="234" t="s">
        <v>255</v>
      </c>
      <c r="E25" s="202"/>
      <c r="F25" s="25"/>
      <c r="G25" s="25"/>
      <c r="H25" s="31"/>
      <c r="I25" s="31"/>
      <c r="J25" s="68">
        <f>18.9*220+9.72*520</f>
        <v>9212.400000000001</v>
      </c>
      <c r="K25" s="336"/>
      <c r="L25" s="255">
        <f aca="true" t="shared" si="9" ref="L25:L32">+K25+J25</f>
        <v>9212.400000000001</v>
      </c>
      <c r="M25" s="68">
        <v>9212.4</v>
      </c>
      <c r="N25" s="7"/>
      <c r="O25" s="255">
        <f>+M25</f>
        <v>9212.4</v>
      </c>
      <c r="P25" s="68">
        <f aca="true" t="shared" si="10" ref="P25:P35">M25*0.65</f>
        <v>5988.06</v>
      </c>
      <c r="Q25" s="68"/>
      <c r="R25" s="255">
        <f aca="true" t="shared" si="11" ref="R25:R35">O25*0.65</f>
        <v>5988.06</v>
      </c>
      <c r="S25" s="547"/>
      <c r="T25" s="547"/>
    </row>
    <row r="26" spans="1:20" ht="22.5">
      <c r="A26" s="233" t="s">
        <v>15</v>
      </c>
      <c r="B26" s="7"/>
      <c r="C26" s="232" t="s">
        <v>256</v>
      </c>
      <c r="D26" s="234" t="s">
        <v>257</v>
      </c>
      <c r="E26" s="202"/>
      <c r="F26" s="25"/>
      <c r="G26" s="25"/>
      <c r="H26" s="31"/>
      <c r="I26" s="31"/>
      <c r="J26" s="68">
        <v>8027.35</v>
      </c>
      <c r="K26" s="336"/>
      <c r="L26" s="255">
        <f t="shared" si="9"/>
        <v>8027.35</v>
      </c>
      <c r="M26" s="68">
        <v>8027.35</v>
      </c>
      <c r="N26" s="7"/>
      <c r="O26" s="255">
        <f aca="true" t="shared" si="12" ref="O26:O32">+N26+M26</f>
        <v>8027.35</v>
      </c>
      <c r="P26" s="68">
        <f t="shared" si="10"/>
        <v>5217.7775</v>
      </c>
      <c r="Q26" s="68"/>
      <c r="R26" s="255">
        <f t="shared" si="11"/>
        <v>5217.7775</v>
      </c>
      <c r="S26" s="541" t="s">
        <v>258</v>
      </c>
      <c r="T26" s="541"/>
    </row>
    <row r="27" spans="1:20" ht="22.5">
      <c r="A27" s="233" t="s">
        <v>15</v>
      </c>
      <c r="B27" s="7"/>
      <c r="C27" s="232" t="s">
        <v>260</v>
      </c>
      <c r="D27" s="234" t="s">
        <v>259</v>
      </c>
      <c r="E27" s="202"/>
      <c r="F27" s="25"/>
      <c r="G27" s="25"/>
      <c r="H27" s="31"/>
      <c r="I27" s="31"/>
      <c r="J27" s="68">
        <v>7798.05</v>
      </c>
      <c r="K27" s="336"/>
      <c r="L27" s="255">
        <f t="shared" si="9"/>
        <v>7798.05</v>
      </c>
      <c r="M27" s="68">
        <f>144*19.35+259*19.35</f>
        <v>7798.050000000001</v>
      </c>
      <c r="N27" s="7"/>
      <c r="O27" s="255">
        <f t="shared" si="12"/>
        <v>7798.050000000001</v>
      </c>
      <c r="P27" s="68">
        <f t="shared" si="10"/>
        <v>5068.732500000001</v>
      </c>
      <c r="Q27" s="68"/>
      <c r="R27" s="255">
        <f t="shared" si="11"/>
        <v>5068.732500000001</v>
      </c>
      <c r="S27" s="547"/>
      <c r="T27" s="547"/>
    </row>
    <row r="28" spans="1:20" ht="22.5">
      <c r="A28" s="233" t="s">
        <v>15</v>
      </c>
      <c r="B28" s="7"/>
      <c r="C28" s="232" t="s">
        <v>261</v>
      </c>
      <c r="D28" s="234" t="s">
        <v>262</v>
      </c>
      <c r="E28" s="202"/>
      <c r="F28" s="25"/>
      <c r="G28" s="25"/>
      <c r="H28" s="31"/>
      <c r="I28" s="31"/>
      <c r="J28" s="68">
        <v>5441.12</v>
      </c>
      <c r="K28" s="336"/>
      <c r="L28" s="255">
        <f t="shared" si="9"/>
        <v>5441.12</v>
      </c>
      <c r="M28" s="68">
        <f>19.53*144+21.2*124</f>
        <v>5441.12</v>
      </c>
      <c r="N28" s="7"/>
      <c r="O28" s="255">
        <f t="shared" si="12"/>
        <v>5441.12</v>
      </c>
      <c r="P28" s="68">
        <f t="shared" si="10"/>
        <v>3536.728</v>
      </c>
      <c r="Q28" s="68"/>
      <c r="R28" s="255">
        <f t="shared" si="11"/>
        <v>3536.728</v>
      </c>
      <c r="S28" s="541" t="s">
        <v>263</v>
      </c>
      <c r="T28" s="541"/>
    </row>
    <row r="29" spans="1:20" ht="22.5">
      <c r="A29" s="233" t="s">
        <v>15</v>
      </c>
      <c r="B29" s="7"/>
      <c r="C29" s="232" t="s">
        <v>264</v>
      </c>
      <c r="D29" s="234" t="s">
        <v>265</v>
      </c>
      <c r="E29" s="202"/>
      <c r="F29" s="25"/>
      <c r="G29" s="25"/>
      <c r="H29" s="31"/>
      <c r="I29" s="31"/>
      <c r="J29" s="68">
        <v>5174.78</v>
      </c>
      <c r="K29" s="336"/>
      <c r="L29" s="255">
        <f t="shared" si="9"/>
        <v>5174.78</v>
      </c>
      <c r="M29" s="68">
        <f>15.31*144+15.31*194</f>
        <v>5174.78</v>
      </c>
      <c r="N29" s="7"/>
      <c r="O29" s="255">
        <f t="shared" si="12"/>
        <v>5174.78</v>
      </c>
      <c r="P29" s="68">
        <f t="shared" si="10"/>
        <v>3363.607</v>
      </c>
      <c r="Q29" s="68"/>
      <c r="R29" s="255">
        <f t="shared" si="11"/>
        <v>3363.607</v>
      </c>
      <c r="S29" s="541" t="s">
        <v>266</v>
      </c>
      <c r="T29" s="541"/>
    </row>
    <row r="30" spans="1:20" ht="22.5">
      <c r="A30" s="233" t="s">
        <v>15</v>
      </c>
      <c r="B30" s="7"/>
      <c r="C30" s="232" t="s">
        <v>267</v>
      </c>
      <c r="D30" s="234" t="s">
        <v>268</v>
      </c>
      <c r="E30" s="202"/>
      <c r="F30" s="25"/>
      <c r="G30" s="25"/>
      <c r="H30" s="31"/>
      <c r="I30" s="31"/>
      <c r="J30" s="68">
        <v>6510.29</v>
      </c>
      <c r="K30" s="336"/>
      <c r="L30" s="255">
        <f t="shared" si="9"/>
        <v>6510.29</v>
      </c>
      <c r="M30" s="68">
        <f>17.57*144+18.01*221</f>
        <v>6510.290000000001</v>
      </c>
      <c r="N30" s="7"/>
      <c r="O30" s="255">
        <f t="shared" si="12"/>
        <v>6510.290000000001</v>
      </c>
      <c r="P30" s="68">
        <f t="shared" si="10"/>
        <v>4231.688500000001</v>
      </c>
      <c r="Q30" s="68"/>
      <c r="R30" s="255">
        <f t="shared" si="11"/>
        <v>4231.688500000001</v>
      </c>
      <c r="S30" s="541" t="s">
        <v>269</v>
      </c>
      <c r="T30" s="541"/>
    </row>
    <row r="31" spans="1:20" ht="45">
      <c r="A31" s="233" t="s">
        <v>15</v>
      </c>
      <c r="B31" s="7"/>
      <c r="C31" s="232" t="s">
        <v>270</v>
      </c>
      <c r="D31" s="235" t="s">
        <v>271</v>
      </c>
      <c r="E31" s="202"/>
      <c r="F31" s="25"/>
      <c r="G31" s="25"/>
      <c r="H31" s="31"/>
      <c r="I31" s="31"/>
      <c r="J31" s="68">
        <v>137514.88</v>
      </c>
      <c r="K31" s="336"/>
      <c r="L31" s="255">
        <f t="shared" si="9"/>
        <v>137514.88</v>
      </c>
      <c r="M31" s="68">
        <f>27.42*164+29.1*1022+24.06*120+27.08*984+70.88*200+25.01*1076+36.96*672+19.55*400</f>
        <v>137514.88</v>
      </c>
      <c r="N31" s="7"/>
      <c r="O31" s="255">
        <f t="shared" si="12"/>
        <v>137514.88</v>
      </c>
      <c r="P31" s="68">
        <f t="shared" si="10"/>
        <v>89384.672</v>
      </c>
      <c r="Q31" s="68"/>
      <c r="R31" s="255">
        <f t="shared" si="11"/>
        <v>89384.672</v>
      </c>
      <c r="S31" s="547"/>
      <c r="T31" s="547"/>
    </row>
    <row r="32" spans="1:20" ht="33.75">
      <c r="A32" s="233" t="s">
        <v>15</v>
      </c>
      <c r="B32" s="7"/>
      <c r="C32" s="232" t="s">
        <v>205</v>
      </c>
      <c r="D32" s="232" t="s">
        <v>272</v>
      </c>
      <c r="E32" s="202"/>
      <c r="F32" s="25"/>
      <c r="G32" s="25"/>
      <c r="H32" s="31"/>
      <c r="I32" s="31"/>
      <c r="J32" s="68">
        <f>9460.21+4192</f>
        <v>13652.21</v>
      </c>
      <c r="K32" s="336"/>
      <c r="L32" s="255">
        <f t="shared" si="9"/>
        <v>13652.21</v>
      </c>
      <c r="M32" s="68">
        <f>27.14*5+23.95*29+23.55*60+18.5*20+18.15*35+62.9*15+59.8*5+61.16*40+62.9*22+26.67*5+27.25*56+23.09*20+23.07*48+23.55*50+18.5*50</f>
        <v>13652.21</v>
      </c>
      <c r="N32" s="7"/>
      <c r="O32" s="255">
        <f t="shared" si="12"/>
        <v>13652.21</v>
      </c>
      <c r="P32" s="68">
        <f t="shared" si="10"/>
        <v>8873.9365</v>
      </c>
      <c r="Q32" s="68"/>
      <c r="R32" s="255">
        <f t="shared" si="11"/>
        <v>8873.9365</v>
      </c>
      <c r="S32" s="547"/>
      <c r="T32" s="547"/>
    </row>
    <row r="33" spans="1:20" s="466" customFormat="1" ht="11.25">
      <c r="A33" s="387" t="s">
        <v>252</v>
      </c>
      <c r="B33" s="388"/>
      <c r="C33" s="389" t="s">
        <v>477</v>
      </c>
      <c r="D33" s="390"/>
      <c r="E33" s="391"/>
      <c r="F33" s="390"/>
      <c r="G33" s="390"/>
      <c r="H33" s="391"/>
      <c r="I33" s="391"/>
      <c r="J33" s="392">
        <v>99089.26</v>
      </c>
      <c r="K33" s="392">
        <f>SUM(K34:K41)</f>
        <v>0</v>
      </c>
      <c r="L33" s="255">
        <f>+K33+J33</f>
        <v>99089.26</v>
      </c>
      <c r="M33" s="392">
        <v>31160.18</v>
      </c>
      <c r="N33" s="392">
        <v>0</v>
      </c>
      <c r="O33" s="255">
        <f>+N33+M33</f>
        <v>31160.18</v>
      </c>
      <c r="P33" s="392">
        <f t="shared" si="10"/>
        <v>20254.117000000002</v>
      </c>
      <c r="Q33" s="392"/>
      <c r="R33" s="255">
        <f t="shared" si="11"/>
        <v>20254.117000000002</v>
      </c>
      <c r="S33" s="571" t="s">
        <v>478</v>
      </c>
      <c r="T33" s="571"/>
    </row>
    <row r="34" spans="1:20" s="64" customFormat="1" ht="48.75" customHeight="1">
      <c r="A34" s="99" t="s">
        <v>252</v>
      </c>
      <c r="B34" s="100"/>
      <c r="C34" s="232" t="s">
        <v>256</v>
      </c>
      <c r="D34" s="247" t="s">
        <v>66</v>
      </c>
      <c r="E34" s="9"/>
      <c r="F34" s="101"/>
      <c r="G34" s="103"/>
      <c r="H34" s="103"/>
      <c r="I34" s="104"/>
      <c r="J34" s="68">
        <v>6849.27</v>
      </c>
      <c r="K34" s="68"/>
      <c r="L34" s="255">
        <f aca="true" t="shared" si="13" ref="L34:L49">SUM(J34:K34)</f>
        <v>6849.27</v>
      </c>
      <c r="M34" s="68">
        <v>6849.27</v>
      </c>
      <c r="N34" s="68"/>
      <c r="O34" s="255">
        <f aca="true" t="shared" si="14" ref="O34:O48">SUM(M34:N34)</f>
        <v>6849.27</v>
      </c>
      <c r="P34" s="68">
        <f t="shared" si="10"/>
        <v>4452.025500000001</v>
      </c>
      <c r="Q34" s="68">
        <f>N34*0.65</f>
        <v>0</v>
      </c>
      <c r="R34" s="255">
        <f t="shared" si="11"/>
        <v>4452.025500000001</v>
      </c>
      <c r="S34" s="541" t="s">
        <v>483</v>
      </c>
      <c r="T34" s="541"/>
    </row>
    <row r="35" spans="1:20" s="64" customFormat="1" ht="11.25">
      <c r="A35" s="99" t="s">
        <v>252</v>
      </c>
      <c r="B35" s="8"/>
      <c r="C35" s="9" t="s">
        <v>65</v>
      </c>
      <c r="D35" s="102" t="s">
        <v>67</v>
      </c>
      <c r="E35" s="13" t="s">
        <v>44</v>
      </c>
      <c r="F35" s="9"/>
      <c r="G35" s="11"/>
      <c r="H35" s="11"/>
      <c r="I35" s="16"/>
      <c r="J35" s="63">
        <v>3256.2</v>
      </c>
      <c r="K35" s="63"/>
      <c r="L35" s="255">
        <f t="shared" si="13"/>
        <v>3256.2</v>
      </c>
      <c r="M35" s="68">
        <v>3256.2</v>
      </c>
      <c r="N35" s="68"/>
      <c r="O35" s="255">
        <f t="shared" si="14"/>
        <v>3256.2</v>
      </c>
      <c r="P35" s="68">
        <f t="shared" si="10"/>
        <v>2116.5299999999997</v>
      </c>
      <c r="Q35" s="68">
        <f>N35*0.65</f>
        <v>0</v>
      </c>
      <c r="R35" s="255">
        <f t="shared" si="11"/>
        <v>2116.5299999999997</v>
      </c>
      <c r="S35" s="547"/>
      <c r="T35" s="547"/>
    </row>
    <row r="36" spans="1:20" s="64" customFormat="1" ht="11.25">
      <c r="A36" s="99" t="s">
        <v>252</v>
      </c>
      <c r="B36" s="8"/>
      <c r="C36" s="9" t="s">
        <v>83</v>
      </c>
      <c r="D36" s="102" t="s">
        <v>84</v>
      </c>
      <c r="E36" s="13"/>
      <c r="F36" s="9"/>
      <c r="G36" s="11"/>
      <c r="H36" s="11"/>
      <c r="I36" s="16"/>
      <c r="J36" s="63">
        <v>1908</v>
      </c>
      <c r="K36" s="63"/>
      <c r="L36" s="255">
        <f t="shared" si="13"/>
        <v>1908</v>
      </c>
      <c r="M36" s="63">
        <v>1908</v>
      </c>
      <c r="N36" s="68"/>
      <c r="O36" s="255">
        <f t="shared" si="14"/>
        <v>1908</v>
      </c>
      <c r="P36" s="68">
        <f aca="true" t="shared" si="15" ref="P36:R37">M36*0.65</f>
        <v>1240.2</v>
      </c>
      <c r="Q36" s="68">
        <f t="shared" si="15"/>
        <v>0</v>
      </c>
      <c r="R36" s="255">
        <f t="shared" si="15"/>
        <v>1240.2</v>
      </c>
      <c r="S36" s="541" t="s">
        <v>266</v>
      </c>
      <c r="T36" s="541"/>
    </row>
    <row r="37" spans="1:20" s="64" customFormat="1" ht="11.25">
      <c r="A37" s="99" t="s">
        <v>252</v>
      </c>
      <c r="B37" s="8"/>
      <c r="C37" s="9" t="s">
        <v>123</v>
      </c>
      <c r="D37" s="102" t="s">
        <v>124</v>
      </c>
      <c r="E37" s="13"/>
      <c r="F37" s="9"/>
      <c r="G37" s="11"/>
      <c r="H37" s="11"/>
      <c r="I37" s="16"/>
      <c r="J37" s="63">
        <v>2979.9</v>
      </c>
      <c r="K37" s="63"/>
      <c r="L37" s="255">
        <f t="shared" si="13"/>
        <v>2979.9</v>
      </c>
      <c r="M37" s="63">
        <v>2979.9</v>
      </c>
      <c r="N37" s="68"/>
      <c r="O37" s="255">
        <f t="shared" si="14"/>
        <v>2979.9</v>
      </c>
      <c r="P37" s="68">
        <f t="shared" si="15"/>
        <v>1936.9350000000002</v>
      </c>
      <c r="Q37" s="68">
        <f t="shared" si="15"/>
        <v>0</v>
      </c>
      <c r="R37" s="255">
        <f t="shared" si="15"/>
        <v>1936.9350000000002</v>
      </c>
      <c r="S37" s="547"/>
      <c r="T37" s="547"/>
    </row>
    <row r="38" spans="1:20" s="64" customFormat="1" ht="11.25">
      <c r="A38" s="99" t="s">
        <v>252</v>
      </c>
      <c r="B38" s="8"/>
      <c r="C38" s="9" t="s">
        <v>152</v>
      </c>
      <c r="D38" s="102" t="s">
        <v>153</v>
      </c>
      <c r="E38" s="13"/>
      <c r="F38" s="9"/>
      <c r="G38" s="11"/>
      <c r="H38" s="11"/>
      <c r="I38" s="16"/>
      <c r="J38" s="63">
        <v>2899.61</v>
      </c>
      <c r="K38" s="63"/>
      <c r="L38" s="255">
        <f t="shared" si="13"/>
        <v>2899.61</v>
      </c>
      <c r="M38" s="63">
        <f>18.01*161</f>
        <v>2899.61</v>
      </c>
      <c r="N38" s="68"/>
      <c r="O38" s="255">
        <f t="shared" si="14"/>
        <v>2899.61</v>
      </c>
      <c r="P38" s="63">
        <f>M38*0.65</f>
        <v>1884.7465000000002</v>
      </c>
      <c r="Q38" s="125"/>
      <c r="R38" s="256">
        <f>O38*0.65</f>
        <v>1884.7465000000002</v>
      </c>
      <c r="S38" s="547"/>
      <c r="T38" s="547"/>
    </row>
    <row r="39" spans="1:20" s="64" customFormat="1" ht="11.25">
      <c r="A39" s="99" t="s">
        <v>252</v>
      </c>
      <c r="B39" s="8"/>
      <c r="C39" s="9" t="s">
        <v>184</v>
      </c>
      <c r="D39" s="102" t="s">
        <v>185</v>
      </c>
      <c r="E39" s="13"/>
      <c r="F39" s="9"/>
      <c r="G39" s="11"/>
      <c r="H39" s="11"/>
      <c r="I39" s="16"/>
      <c r="J39" s="63">
        <v>1377.9</v>
      </c>
      <c r="K39" s="63"/>
      <c r="L39" s="255">
        <f t="shared" si="13"/>
        <v>1377.9</v>
      </c>
      <c r="M39" s="63">
        <f>15.31*90</f>
        <v>1377.9</v>
      </c>
      <c r="N39" s="68"/>
      <c r="O39" s="255">
        <f t="shared" si="14"/>
        <v>1377.9</v>
      </c>
      <c r="P39" s="63">
        <f>M39*0.65</f>
        <v>895.6350000000001</v>
      </c>
      <c r="Q39" s="125"/>
      <c r="R39" s="256">
        <f>O39*0.65</f>
        <v>895.6350000000001</v>
      </c>
      <c r="S39" s="541" t="s">
        <v>266</v>
      </c>
      <c r="T39" s="541"/>
    </row>
    <row r="40" spans="1:20" s="64" customFormat="1" ht="11.25">
      <c r="A40" s="99" t="s">
        <v>252</v>
      </c>
      <c r="B40" s="8"/>
      <c r="C40" s="9" t="s">
        <v>201</v>
      </c>
      <c r="D40" s="102"/>
      <c r="E40" s="13"/>
      <c r="F40" s="9"/>
      <c r="G40" s="11"/>
      <c r="H40" s="11"/>
      <c r="I40" s="16"/>
      <c r="J40" s="63">
        <v>67929.08</v>
      </c>
      <c r="K40" s="63"/>
      <c r="L40" s="255">
        <f t="shared" si="13"/>
        <v>67929.08</v>
      </c>
      <c r="M40" s="63">
        <f>24.99*272+27.42*104+29.1*584+27.08*488+70.88*16+25.01*516+36.96*136+36.31*248</f>
        <v>67929.08</v>
      </c>
      <c r="N40" s="68"/>
      <c r="O40" s="255">
        <f t="shared" si="14"/>
        <v>67929.08</v>
      </c>
      <c r="P40" s="63">
        <f>M40*0.65</f>
        <v>44153.902</v>
      </c>
      <c r="Q40" s="125"/>
      <c r="R40" s="256">
        <f>O40*0.65</f>
        <v>44153.902</v>
      </c>
      <c r="S40" s="545"/>
      <c r="T40" s="546"/>
    </row>
    <row r="41" spans="1:20" s="64" customFormat="1" ht="33.75">
      <c r="A41" s="99" t="s">
        <v>252</v>
      </c>
      <c r="B41" s="8"/>
      <c r="C41" s="9" t="s">
        <v>205</v>
      </c>
      <c r="D41" s="102" t="s">
        <v>206</v>
      </c>
      <c r="E41" s="13"/>
      <c r="F41" s="9"/>
      <c r="G41" s="11"/>
      <c r="H41" s="11"/>
      <c r="I41" s="16"/>
      <c r="J41" s="63">
        <v>11889.3</v>
      </c>
      <c r="K41" s="63"/>
      <c r="L41" s="255">
        <f t="shared" si="13"/>
        <v>11889.3</v>
      </c>
      <c r="M41" s="63">
        <f>62.9*125+23.55*116+18.5*70</f>
        <v>11889.3</v>
      </c>
      <c r="N41" s="68"/>
      <c r="O41" s="255">
        <f t="shared" si="14"/>
        <v>11889.3</v>
      </c>
      <c r="P41" s="63">
        <f>M41*0.65</f>
        <v>7728.045</v>
      </c>
      <c r="Q41" s="125"/>
      <c r="R41" s="256">
        <f>O41*0.65</f>
        <v>7728.045</v>
      </c>
      <c r="S41" s="547"/>
      <c r="T41" s="547"/>
    </row>
    <row r="42" spans="1:20" s="401" customFormat="1" ht="11.25">
      <c r="A42" s="460" t="s">
        <v>273</v>
      </c>
      <c r="B42" s="461"/>
      <c r="C42" s="462" t="s">
        <v>479</v>
      </c>
      <c r="D42" s="463"/>
      <c r="E42" s="463"/>
      <c r="F42" s="462"/>
      <c r="G42" s="464"/>
      <c r="H42" s="464"/>
      <c r="I42" s="465"/>
      <c r="J42" s="392"/>
      <c r="K42" s="392"/>
      <c r="L42" s="255"/>
      <c r="M42" s="392">
        <f>SUM(M34:M41)-M33+SUM(M25:M32)-M24</f>
        <v>67929.08000000002</v>
      </c>
      <c r="N42" s="392">
        <f>SUM(N34:N41)-N33+SUM(N25:N32)-N24</f>
        <v>0</v>
      </c>
      <c r="O42" s="255">
        <f>+N42+M42</f>
        <v>67929.08000000002</v>
      </c>
      <c r="P42" s="392">
        <f>SUM(P34:P41)-P33+SUM(P25:P32)-P24</f>
        <v>44153.902</v>
      </c>
      <c r="Q42" s="392">
        <f>SUM(Q34:Q41)-Q33+SUM(Q25:Q32)-Q24</f>
        <v>0</v>
      </c>
      <c r="R42" s="256">
        <f>+Q42+P42</f>
        <v>44153.902</v>
      </c>
      <c r="S42" s="571" t="s">
        <v>746</v>
      </c>
      <c r="T42" s="571"/>
    </row>
    <row r="43" spans="1:20" s="401" customFormat="1" ht="11.25">
      <c r="A43" s="99" t="s">
        <v>273</v>
      </c>
      <c r="B43" s="100"/>
      <c r="C43" s="9" t="s">
        <v>201</v>
      </c>
      <c r="D43" s="102" t="s">
        <v>593</v>
      </c>
      <c r="E43" s="102"/>
      <c r="F43" s="101"/>
      <c r="G43" s="103"/>
      <c r="H43" s="103"/>
      <c r="I43" s="104"/>
      <c r="J43" s="68">
        <v>202859.32</v>
      </c>
      <c r="K43" s="68"/>
      <c r="L43" s="255">
        <f t="shared" si="13"/>
        <v>202859.32</v>
      </c>
      <c r="M43" s="68">
        <f>24.99*200+27.42*84+29.1*932+23.95*676+27.46*1016+28.64*160+27.08*912+70.88*88+25.01*784+36.96*824+36.31*960+19.55*200</f>
        <v>202859.32</v>
      </c>
      <c r="N43" s="68"/>
      <c r="O43" s="255">
        <f t="shared" si="14"/>
        <v>202859.32</v>
      </c>
      <c r="P43" s="68">
        <f>+M43*0.65</f>
        <v>131858.55800000002</v>
      </c>
      <c r="Q43" s="409"/>
      <c r="R43" s="256">
        <f>+Q43+P43</f>
        <v>131858.55800000002</v>
      </c>
      <c r="S43" s="547"/>
      <c r="T43" s="547"/>
    </row>
    <row r="44" spans="1:20" s="401" customFormat="1" ht="11.25">
      <c r="A44" s="99" t="s">
        <v>273</v>
      </c>
      <c r="B44" s="100"/>
      <c r="C44" s="9" t="s">
        <v>123</v>
      </c>
      <c r="D44" s="102" t="s">
        <v>124</v>
      </c>
      <c r="E44" s="102"/>
      <c r="F44" s="101"/>
      <c r="G44" s="103"/>
      <c r="H44" s="103"/>
      <c r="I44" s="104"/>
      <c r="J44" s="68">
        <v>9802.78</v>
      </c>
      <c r="K44" s="68"/>
      <c r="L44" s="255">
        <f t="shared" si="13"/>
        <v>9802.78</v>
      </c>
      <c r="M44" s="68">
        <f>481*20.38</f>
        <v>9802.779999999999</v>
      </c>
      <c r="N44" s="68"/>
      <c r="O44" s="255">
        <f t="shared" si="14"/>
        <v>9802.779999999999</v>
      </c>
      <c r="P44" s="68">
        <f>+M44*0.65</f>
        <v>6371.807</v>
      </c>
      <c r="Q44" s="409"/>
      <c r="R44" s="256">
        <f>+Q44+P44</f>
        <v>6371.807</v>
      </c>
      <c r="S44" s="547"/>
      <c r="T44" s="547"/>
    </row>
    <row r="45" spans="1:20" s="401" customFormat="1" ht="22.5">
      <c r="A45" s="99" t="s">
        <v>273</v>
      </c>
      <c r="B45" s="100"/>
      <c r="C45" s="232" t="s">
        <v>256</v>
      </c>
      <c r="D45" s="247" t="s">
        <v>66</v>
      </c>
      <c r="E45" s="102"/>
      <c r="F45" s="101"/>
      <c r="G45" s="103"/>
      <c r="H45" s="103"/>
      <c r="I45" s="104"/>
      <c r="J45" s="68">
        <v>10717.23</v>
      </c>
      <c r="K45" s="68"/>
      <c r="L45" s="255">
        <f t="shared" si="13"/>
        <v>10717.23</v>
      </c>
      <c r="M45" s="68"/>
      <c r="N45" s="68"/>
      <c r="O45" s="255"/>
      <c r="P45" s="68"/>
      <c r="Q45" s="409"/>
      <c r="R45" s="256"/>
      <c r="S45" s="541" t="s">
        <v>821</v>
      </c>
      <c r="T45" s="541"/>
    </row>
    <row r="46" spans="1:20" s="401" customFormat="1" ht="11.25">
      <c r="A46" s="99" t="s">
        <v>273</v>
      </c>
      <c r="B46" s="100"/>
      <c r="C46" s="9" t="s">
        <v>65</v>
      </c>
      <c r="D46" s="102" t="s">
        <v>67</v>
      </c>
      <c r="E46" s="102"/>
      <c r="F46" s="101"/>
      <c r="G46" s="103"/>
      <c r="H46" s="103"/>
      <c r="I46" s="104"/>
      <c r="J46" s="68">
        <v>6949.8</v>
      </c>
      <c r="K46" s="68"/>
      <c r="L46" s="255">
        <f t="shared" si="13"/>
        <v>6949.8</v>
      </c>
      <c r="M46" s="68">
        <f>715*9.72</f>
        <v>6949.8</v>
      </c>
      <c r="N46" s="68"/>
      <c r="O46" s="255">
        <f>+N46+M46</f>
        <v>6949.8</v>
      </c>
      <c r="P46" s="68">
        <f aca="true" t="shared" si="16" ref="P46:P57">+M46*0.65</f>
        <v>4517.37</v>
      </c>
      <c r="Q46" s="409"/>
      <c r="R46" s="256">
        <f aca="true" t="shared" si="17" ref="R46:R57">+Q46+P46</f>
        <v>4517.37</v>
      </c>
      <c r="S46" s="567"/>
      <c r="T46" s="568"/>
    </row>
    <row r="47" spans="1:20" s="401" customFormat="1" ht="11.25">
      <c r="A47" s="99" t="s">
        <v>273</v>
      </c>
      <c r="B47" s="100"/>
      <c r="C47" s="9" t="s">
        <v>83</v>
      </c>
      <c r="D47" s="102" t="s">
        <v>84</v>
      </c>
      <c r="E47" s="102"/>
      <c r="F47" s="101"/>
      <c r="G47" s="103"/>
      <c r="H47" s="103"/>
      <c r="I47" s="104"/>
      <c r="J47" s="68">
        <v>4444.34</v>
      </c>
      <c r="K47" s="68"/>
      <c r="L47" s="255">
        <f t="shared" si="13"/>
        <v>4444.34</v>
      </c>
      <c r="M47" s="68">
        <f>22.98*141+22.72*53</f>
        <v>4444.34</v>
      </c>
      <c r="N47" s="68"/>
      <c r="O47" s="255">
        <f>+N47+M47</f>
        <v>4444.34</v>
      </c>
      <c r="P47" s="68">
        <f t="shared" si="16"/>
        <v>2888.8210000000004</v>
      </c>
      <c r="Q47" s="409"/>
      <c r="R47" s="256">
        <f t="shared" si="17"/>
        <v>2888.8210000000004</v>
      </c>
      <c r="S47" s="567"/>
      <c r="T47" s="568"/>
    </row>
    <row r="48" spans="1:20" s="401" customFormat="1" ht="11.25">
      <c r="A48" s="99" t="s">
        <v>273</v>
      </c>
      <c r="B48" s="100"/>
      <c r="C48" s="9" t="s">
        <v>152</v>
      </c>
      <c r="D48" s="102" t="s">
        <v>153</v>
      </c>
      <c r="E48" s="102"/>
      <c r="F48" s="101"/>
      <c r="G48" s="103"/>
      <c r="H48" s="103"/>
      <c r="I48" s="104"/>
      <c r="J48" s="68">
        <v>10119.26</v>
      </c>
      <c r="K48" s="68"/>
      <c r="L48" s="255">
        <f t="shared" si="13"/>
        <v>10119.26</v>
      </c>
      <c r="M48" s="68">
        <f>18.01*150+20.72*(70+65+72+75+76)</f>
        <v>10119.26</v>
      </c>
      <c r="N48" s="68"/>
      <c r="O48" s="255">
        <f t="shared" si="14"/>
        <v>10119.26</v>
      </c>
      <c r="P48" s="68">
        <f t="shared" si="16"/>
        <v>6577.519</v>
      </c>
      <c r="Q48" s="409"/>
      <c r="R48" s="256">
        <f t="shared" si="17"/>
        <v>6577.519</v>
      </c>
      <c r="S48" s="547"/>
      <c r="T48" s="547"/>
    </row>
    <row r="49" spans="1:20" s="401" customFormat="1" ht="11.25">
      <c r="A49" s="99" t="s">
        <v>273</v>
      </c>
      <c r="B49" s="100"/>
      <c r="C49" s="9" t="s">
        <v>184</v>
      </c>
      <c r="D49" s="102" t="s">
        <v>185</v>
      </c>
      <c r="E49" s="102"/>
      <c r="F49" s="101"/>
      <c r="G49" s="103"/>
      <c r="H49" s="103"/>
      <c r="I49" s="104"/>
      <c r="J49" s="68">
        <v>5924.97</v>
      </c>
      <c r="K49" s="68"/>
      <c r="L49" s="255">
        <f t="shared" si="13"/>
        <v>5924.97</v>
      </c>
      <c r="M49" s="68">
        <f>109*15.31+278*15.31</f>
        <v>5924.97</v>
      </c>
      <c r="N49" s="68"/>
      <c r="O49" s="255">
        <f>SUM(M49:N49)</f>
        <v>5924.97</v>
      </c>
      <c r="P49" s="68">
        <f t="shared" si="16"/>
        <v>3851.2305</v>
      </c>
      <c r="Q49" s="409"/>
      <c r="R49" s="256">
        <f t="shared" si="17"/>
        <v>3851.2305</v>
      </c>
      <c r="S49" s="547"/>
      <c r="T49" s="547"/>
    </row>
    <row r="50" spans="1:20" s="401" customFormat="1" ht="22.5">
      <c r="A50" s="99" t="s">
        <v>635</v>
      </c>
      <c r="B50" s="100"/>
      <c r="C50" s="232" t="s">
        <v>256</v>
      </c>
      <c r="D50" s="247" t="s">
        <v>66</v>
      </c>
      <c r="E50" s="102"/>
      <c r="F50" s="101"/>
      <c r="G50" s="103"/>
      <c r="H50" s="103"/>
      <c r="I50" s="104"/>
      <c r="J50" s="68">
        <v>9547</v>
      </c>
      <c r="K50" s="68"/>
      <c r="L50" s="255">
        <f aca="true" t="shared" si="18" ref="L50:L57">+K50+J50</f>
        <v>9547</v>
      </c>
      <c r="M50" s="68">
        <v>9547</v>
      </c>
      <c r="N50" s="68"/>
      <c r="O50" s="255">
        <f aca="true" t="shared" si="19" ref="O50:O57">+N50+M50</f>
        <v>9547</v>
      </c>
      <c r="P50" s="68">
        <f t="shared" si="16"/>
        <v>6205.55</v>
      </c>
      <c r="Q50" s="409"/>
      <c r="R50" s="256">
        <f t="shared" si="17"/>
        <v>6205.55</v>
      </c>
      <c r="S50" s="545" t="s">
        <v>728</v>
      </c>
      <c r="T50" s="546"/>
    </row>
    <row r="51" spans="1:20" s="401" customFormat="1" ht="11.25">
      <c r="A51" s="99" t="s">
        <v>635</v>
      </c>
      <c r="B51" s="100"/>
      <c r="C51" s="9" t="s">
        <v>736</v>
      </c>
      <c r="D51" s="102" t="s">
        <v>695</v>
      </c>
      <c r="E51" s="102"/>
      <c r="F51" s="101"/>
      <c r="G51" s="103"/>
      <c r="H51" s="103"/>
      <c r="I51" s="104"/>
      <c r="J51" s="68">
        <v>124500.35</v>
      </c>
      <c r="K51" s="68"/>
      <c r="L51" s="255">
        <f t="shared" si="18"/>
        <v>124500.35</v>
      </c>
      <c r="M51" s="68">
        <v>124500.35</v>
      </c>
      <c r="N51" s="68"/>
      <c r="O51" s="255">
        <f t="shared" si="19"/>
        <v>124500.35</v>
      </c>
      <c r="P51" s="68">
        <f t="shared" si="16"/>
        <v>80925.22750000001</v>
      </c>
      <c r="Q51" s="409"/>
      <c r="R51" s="256">
        <f t="shared" si="17"/>
        <v>80925.22750000001</v>
      </c>
      <c r="S51" s="547"/>
      <c r="T51" s="547"/>
    </row>
    <row r="52" spans="1:20" s="401" customFormat="1" ht="11.25">
      <c r="A52" s="99" t="s">
        <v>635</v>
      </c>
      <c r="B52" s="100"/>
      <c r="C52" s="9" t="s">
        <v>152</v>
      </c>
      <c r="D52" s="102" t="s">
        <v>153</v>
      </c>
      <c r="E52" s="102"/>
      <c r="F52" s="101"/>
      <c r="G52" s="103"/>
      <c r="H52" s="103"/>
      <c r="I52" s="104"/>
      <c r="J52" s="68">
        <v>5138.56</v>
      </c>
      <c r="K52" s="68"/>
      <c r="L52" s="255">
        <f t="shared" si="18"/>
        <v>5138.56</v>
      </c>
      <c r="M52" s="68">
        <v>5138.56</v>
      </c>
      <c r="N52" s="68"/>
      <c r="O52" s="255">
        <f t="shared" si="19"/>
        <v>5138.56</v>
      </c>
      <c r="P52" s="68">
        <f t="shared" si="16"/>
        <v>3340.0640000000003</v>
      </c>
      <c r="Q52" s="409"/>
      <c r="R52" s="256">
        <f t="shared" si="17"/>
        <v>3340.0640000000003</v>
      </c>
      <c r="S52" s="547"/>
      <c r="T52" s="547"/>
    </row>
    <row r="53" spans="1:20" s="401" customFormat="1" ht="11.25">
      <c r="A53" s="99" t="s">
        <v>635</v>
      </c>
      <c r="B53" s="100"/>
      <c r="C53" s="9" t="s">
        <v>65</v>
      </c>
      <c r="D53" s="102" t="s">
        <v>67</v>
      </c>
      <c r="E53" s="102"/>
      <c r="F53" s="101"/>
      <c r="G53" s="103"/>
      <c r="H53" s="103"/>
      <c r="I53" s="104"/>
      <c r="J53" s="68">
        <v>4694.76</v>
      </c>
      <c r="K53" s="68"/>
      <c r="L53" s="255">
        <f t="shared" si="18"/>
        <v>4694.76</v>
      </c>
      <c r="M53" s="68">
        <v>4694.76</v>
      </c>
      <c r="N53" s="68"/>
      <c r="O53" s="255">
        <f t="shared" si="19"/>
        <v>4694.76</v>
      </c>
      <c r="P53" s="68">
        <f t="shared" si="16"/>
        <v>3051.594</v>
      </c>
      <c r="Q53" s="409"/>
      <c r="R53" s="256">
        <f t="shared" si="17"/>
        <v>3051.594</v>
      </c>
      <c r="S53" s="547"/>
      <c r="T53" s="547"/>
    </row>
    <row r="54" spans="1:20" s="401" customFormat="1" ht="11.25">
      <c r="A54" s="99" t="s">
        <v>635</v>
      </c>
      <c r="B54" s="100"/>
      <c r="C54" s="9" t="s">
        <v>83</v>
      </c>
      <c r="D54" s="102" t="s">
        <v>84</v>
      </c>
      <c r="E54" s="102"/>
      <c r="F54" s="101"/>
      <c r="G54" s="103"/>
      <c r="H54" s="103"/>
      <c r="I54" s="104"/>
      <c r="J54" s="68">
        <v>3538.92</v>
      </c>
      <c r="K54" s="68"/>
      <c r="L54" s="255">
        <f t="shared" si="18"/>
        <v>3538.92</v>
      </c>
      <c r="M54" s="68">
        <v>3538.92</v>
      </c>
      <c r="N54" s="68"/>
      <c r="O54" s="255">
        <f t="shared" si="19"/>
        <v>3538.92</v>
      </c>
      <c r="P54" s="68">
        <f t="shared" si="16"/>
        <v>2300.2980000000002</v>
      </c>
      <c r="Q54" s="409"/>
      <c r="R54" s="256">
        <f t="shared" si="17"/>
        <v>2300.2980000000002</v>
      </c>
      <c r="S54" s="547"/>
      <c r="T54" s="547"/>
    </row>
    <row r="55" spans="1:20" s="401" customFormat="1" ht="11.25">
      <c r="A55" s="99" t="s">
        <v>635</v>
      </c>
      <c r="B55" s="100"/>
      <c r="C55" s="9" t="s">
        <v>123</v>
      </c>
      <c r="D55" s="102" t="s">
        <v>124</v>
      </c>
      <c r="E55" s="102"/>
      <c r="F55" s="101"/>
      <c r="G55" s="103"/>
      <c r="H55" s="103"/>
      <c r="I55" s="104"/>
      <c r="J55" s="68">
        <v>5889.82</v>
      </c>
      <c r="K55" s="68"/>
      <c r="L55" s="255">
        <f t="shared" si="18"/>
        <v>5889.82</v>
      </c>
      <c r="M55" s="68">
        <v>5889.82</v>
      </c>
      <c r="N55" s="68"/>
      <c r="O55" s="255">
        <f t="shared" si="19"/>
        <v>5889.82</v>
      </c>
      <c r="P55" s="68">
        <f t="shared" si="16"/>
        <v>3828.383</v>
      </c>
      <c r="Q55" s="409"/>
      <c r="R55" s="256">
        <f t="shared" si="17"/>
        <v>3828.383</v>
      </c>
      <c r="S55" s="547"/>
      <c r="T55" s="547"/>
    </row>
    <row r="56" spans="1:20" s="401" customFormat="1" ht="11.25">
      <c r="A56" s="99" t="s">
        <v>635</v>
      </c>
      <c r="B56" s="100"/>
      <c r="C56" s="9" t="s">
        <v>184</v>
      </c>
      <c r="D56" s="102" t="s">
        <v>185</v>
      </c>
      <c r="E56" s="102"/>
      <c r="F56" s="101"/>
      <c r="G56" s="103"/>
      <c r="H56" s="103"/>
      <c r="I56" s="104"/>
      <c r="J56" s="68">
        <v>6598.61</v>
      </c>
      <c r="K56" s="68"/>
      <c r="L56" s="255">
        <f t="shared" si="18"/>
        <v>6598.61</v>
      </c>
      <c r="M56" s="68">
        <v>6598.61</v>
      </c>
      <c r="N56" s="68"/>
      <c r="O56" s="255">
        <f t="shared" si="19"/>
        <v>6598.61</v>
      </c>
      <c r="P56" s="68">
        <f t="shared" si="16"/>
        <v>4289.0965</v>
      </c>
      <c r="Q56" s="409"/>
      <c r="R56" s="256">
        <f t="shared" si="17"/>
        <v>4289.0965</v>
      </c>
      <c r="S56" s="547"/>
      <c r="T56" s="547"/>
    </row>
    <row r="57" spans="1:20" s="401" customFormat="1" ht="11.25">
      <c r="A57" s="99" t="s">
        <v>635</v>
      </c>
      <c r="B57" s="100"/>
      <c r="C57" s="9" t="s">
        <v>205</v>
      </c>
      <c r="D57" s="102" t="s">
        <v>744</v>
      </c>
      <c r="E57" s="102" t="s">
        <v>745</v>
      </c>
      <c r="F57" s="101"/>
      <c r="G57" s="103"/>
      <c r="H57" s="103"/>
      <c r="I57" s="104"/>
      <c r="J57" s="68">
        <v>16511.3</v>
      </c>
      <c r="K57" s="68"/>
      <c r="L57" s="255">
        <f t="shared" si="18"/>
        <v>16511.3</v>
      </c>
      <c r="M57" s="68">
        <v>16511.3</v>
      </c>
      <c r="N57" s="68"/>
      <c r="O57" s="255">
        <f t="shared" si="19"/>
        <v>16511.3</v>
      </c>
      <c r="P57" s="68">
        <f t="shared" si="16"/>
        <v>10732.345</v>
      </c>
      <c r="Q57" s="409"/>
      <c r="R57" s="256">
        <f t="shared" si="17"/>
        <v>10732.345</v>
      </c>
      <c r="S57" s="547"/>
      <c r="T57" s="547"/>
    </row>
    <row r="58" spans="1:20" s="401" customFormat="1" ht="11.25">
      <c r="A58" s="99" t="s">
        <v>635</v>
      </c>
      <c r="B58" s="100"/>
      <c r="C58" s="101" t="s">
        <v>205</v>
      </c>
      <c r="D58" s="102" t="s">
        <v>776</v>
      </c>
      <c r="E58" s="102" t="s">
        <v>777</v>
      </c>
      <c r="F58" s="101"/>
      <c r="G58" s="103"/>
      <c r="H58" s="103"/>
      <c r="I58" s="104"/>
      <c r="J58" s="68">
        <v>15322</v>
      </c>
      <c r="K58" s="68"/>
      <c r="L58" s="255">
        <f aca="true" t="shared" si="20" ref="L58:L98">+K58+J58</f>
        <v>15322</v>
      </c>
      <c r="M58" s="68">
        <v>15322</v>
      </c>
      <c r="N58" s="68"/>
      <c r="O58" s="255">
        <f aca="true" t="shared" si="21" ref="O58:O68">+N58+M58</f>
        <v>15322</v>
      </c>
      <c r="P58" s="68">
        <f aca="true" t="shared" si="22" ref="P58:P68">+M58*0.65</f>
        <v>9959.300000000001</v>
      </c>
      <c r="Q58" s="409"/>
      <c r="R58" s="256">
        <f aca="true" t="shared" si="23" ref="R58:R68">+Q58+P58</f>
        <v>9959.300000000001</v>
      </c>
      <c r="S58" s="547"/>
      <c r="T58" s="547"/>
    </row>
    <row r="59" spans="1:20" s="401" customFormat="1" ht="11.25">
      <c r="A59" s="99" t="s">
        <v>635</v>
      </c>
      <c r="B59" s="100"/>
      <c r="C59" s="101" t="s">
        <v>205</v>
      </c>
      <c r="D59" s="102" t="s">
        <v>783</v>
      </c>
      <c r="E59" s="469" t="s">
        <v>784</v>
      </c>
      <c r="F59" s="101"/>
      <c r="G59" s="103"/>
      <c r="H59" s="103"/>
      <c r="I59" s="104"/>
      <c r="J59" s="68">
        <v>2890.15</v>
      </c>
      <c r="K59" s="68"/>
      <c r="L59" s="255">
        <f t="shared" si="20"/>
        <v>2890.15</v>
      </c>
      <c r="M59" s="68">
        <v>2890.15</v>
      </c>
      <c r="N59" s="68"/>
      <c r="O59" s="255">
        <f t="shared" si="21"/>
        <v>2890.15</v>
      </c>
      <c r="P59" s="68">
        <f t="shared" si="22"/>
        <v>1878.5975</v>
      </c>
      <c r="Q59" s="409"/>
      <c r="R59" s="256">
        <f t="shared" si="23"/>
        <v>1878.5975</v>
      </c>
      <c r="S59" s="547"/>
      <c r="T59" s="547"/>
    </row>
    <row r="60" spans="1:20" s="401" customFormat="1" ht="11.25">
      <c r="A60" s="99" t="s">
        <v>788</v>
      </c>
      <c r="B60" s="100"/>
      <c r="C60" s="101" t="s">
        <v>205</v>
      </c>
      <c r="D60" s="102" t="s">
        <v>744</v>
      </c>
      <c r="E60" s="471" t="s">
        <v>830</v>
      </c>
      <c r="F60" s="101"/>
      <c r="G60" s="103"/>
      <c r="H60" s="103"/>
      <c r="I60" s="104"/>
      <c r="J60" s="68">
        <v>18241.54</v>
      </c>
      <c r="K60" s="68"/>
      <c r="L60" s="255">
        <f t="shared" si="20"/>
        <v>18241.54</v>
      </c>
      <c r="M60" s="68">
        <f>66.44*136+24.46*155+19.35*141+19.05*141</f>
        <v>18241.54</v>
      </c>
      <c r="N60" s="68"/>
      <c r="O60" s="255">
        <f t="shared" si="21"/>
        <v>18241.54</v>
      </c>
      <c r="P60" s="68">
        <f t="shared" si="22"/>
        <v>11857.001</v>
      </c>
      <c r="Q60" s="409"/>
      <c r="R60" s="256">
        <f t="shared" si="23"/>
        <v>11857.001</v>
      </c>
      <c r="S60" s="547"/>
      <c r="T60" s="547"/>
    </row>
    <row r="61" spans="1:20" s="401" customFormat="1" ht="11.25">
      <c r="A61" s="99" t="s">
        <v>788</v>
      </c>
      <c r="B61" s="100"/>
      <c r="C61" s="9" t="s">
        <v>184</v>
      </c>
      <c r="D61" s="102" t="s">
        <v>185</v>
      </c>
      <c r="E61" s="469"/>
      <c r="F61" s="101"/>
      <c r="G61" s="103"/>
      <c r="H61" s="103"/>
      <c r="I61" s="104"/>
      <c r="J61" s="68">
        <v>2526.15</v>
      </c>
      <c r="K61" s="68"/>
      <c r="L61" s="255">
        <f t="shared" si="20"/>
        <v>2526.15</v>
      </c>
      <c r="M61" s="68">
        <f>15.31*165</f>
        <v>2526.15</v>
      </c>
      <c r="N61" s="68"/>
      <c r="O61" s="255">
        <f t="shared" si="21"/>
        <v>2526.15</v>
      </c>
      <c r="P61" s="68">
        <f t="shared" si="22"/>
        <v>1641.9975000000002</v>
      </c>
      <c r="Q61" s="409"/>
      <c r="R61" s="256">
        <f t="shared" si="23"/>
        <v>1641.9975000000002</v>
      </c>
      <c r="S61" s="547"/>
      <c r="T61" s="547"/>
    </row>
    <row r="62" spans="1:20" s="401" customFormat="1" ht="11.25">
      <c r="A62" s="99" t="s">
        <v>788</v>
      </c>
      <c r="B62" s="100"/>
      <c r="C62" s="9" t="s">
        <v>83</v>
      </c>
      <c r="D62" s="102" t="s">
        <v>84</v>
      </c>
      <c r="E62" s="471" t="s">
        <v>826</v>
      </c>
      <c r="F62" s="101"/>
      <c r="G62" s="103"/>
      <c r="H62" s="103"/>
      <c r="I62" s="104"/>
      <c r="J62" s="68">
        <v>1261.32</v>
      </c>
      <c r="K62" s="68"/>
      <c r="L62" s="255">
        <f t="shared" si="20"/>
        <v>1261.32</v>
      </c>
      <c r="M62" s="68">
        <f>24*22.98+30*23.66</f>
        <v>1261.32</v>
      </c>
      <c r="N62" s="68"/>
      <c r="O62" s="255">
        <f t="shared" si="21"/>
        <v>1261.32</v>
      </c>
      <c r="P62" s="68">
        <f t="shared" si="22"/>
        <v>819.858</v>
      </c>
      <c r="Q62" s="409"/>
      <c r="R62" s="256">
        <f t="shared" si="23"/>
        <v>819.858</v>
      </c>
      <c r="S62" s="547"/>
      <c r="T62" s="547"/>
    </row>
    <row r="63" spans="1:20" s="401" customFormat="1" ht="11.25">
      <c r="A63" s="99" t="s">
        <v>788</v>
      </c>
      <c r="B63" s="100"/>
      <c r="C63" s="9" t="s">
        <v>65</v>
      </c>
      <c r="D63" s="102" t="s">
        <v>67</v>
      </c>
      <c r="E63" s="471" t="s">
        <v>824</v>
      </c>
      <c r="F63" s="101"/>
      <c r="G63" s="103"/>
      <c r="H63" s="103"/>
      <c r="I63" s="104"/>
      <c r="J63" s="68">
        <v>3499.2</v>
      </c>
      <c r="K63" s="68"/>
      <c r="L63" s="255">
        <f t="shared" si="20"/>
        <v>3499.2</v>
      </c>
      <c r="M63" s="68">
        <f>360*9.72</f>
        <v>3499.2000000000003</v>
      </c>
      <c r="N63" s="68"/>
      <c r="O63" s="255">
        <f t="shared" si="21"/>
        <v>3499.2000000000003</v>
      </c>
      <c r="P63" s="68">
        <f t="shared" si="22"/>
        <v>2274.4800000000005</v>
      </c>
      <c r="Q63" s="409"/>
      <c r="R63" s="256">
        <f t="shared" si="23"/>
        <v>2274.4800000000005</v>
      </c>
      <c r="S63" s="547"/>
      <c r="T63" s="547"/>
    </row>
    <row r="64" spans="1:20" s="401" customFormat="1" ht="11.25">
      <c r="A64" s="99" t="s">
        <v>788</v>
      </c>
      <c r="B64" s="100"/>
      <c r="C64" s="9" t="s">
        <v>736</v>
      </c>
      <c r="D64" s="102" t="s">
        <v>818</v>
      </c>
      <c r="E64" s="469"/>
      <c r="F64" s="101"/>
      <c r="G64" s="103"/>
      <c r="H64" s="103"/>
      <c r="I64" s="104"/>
      <c r="J64" s="68">
        <v>71875.89</v>
      </c>
      <c r="K64" s="68"/>
      <c r="L64" s="255">
        <f t="shared" si="20"/>
        <v>71875.89</v>
      </c>
      <c r="M64" s="68">
        <f>29.1*408+23.95*293+27.46*416+25.01*422+36.96*446+36.31*400</f>
        <v>71875.89</v>
      </c>
      <c r="N64" s="68"/>
      <c r="O64" s="255">
        <f t="shared" si="21"/>
        <v>71875.89</v>
      </c>
      <c r="P64" s="68">
        <f t="shared" si="22"/>
        <v>46719.3285</v>
      </c>
      <c r="Q64" s="409"/>
      <c r="R64" s="256">
        <f t="shared" si="23"/>
        <v>46719.3285</v>
      </c>
      <c r="S64" s="547"/>
      <c r="T64" s="547"/>
    </row>
    <row r="65" spans="1:20" s="401" customFormat="1" ht="22.5">
      <c r="A65" s="99" t="s">
        <v>788</v>
      </c>
      <c r="B65" s="100"/>
      <c r="C65" s="232" t="s">
        <v>256</v>
      </c>
      <c r="D65" s="247" t="s">
        <v>66</v>
      </c>
      <c r="E65" s="471" t="s">
        <v>824</v>
      </c>
      <c r="F65" s="101"/>
      <c r="G65" s="103"/>
      <c r="H65" s="103"/>
      <c r="I65" s="104"/>
      <c r="J65" s="68">
        <v>5746</v>
      </c>
      <c r="K65" s="68"/>
      <c r="L65" s="255">
        <f t="shared" si="20"/>
        <v>5746</v>
      </c>
      <c r="M65" s="68">
        <f>7.88*240+448*8.6</f>
        <v>5744</v>
      </c>
      <c r="N65" s="68"/>
      <c r="O65" s="255">
        <f t="shared" si="21"/>
        <v>5744</v>
      </c>
      <c r="P65" s="68">
        <f t="shared" si="22"/>
        <v>3733.6</v>
      </c>
      <c r="Q65" s="409"/>
      <c r="R65" s="256">
        <f t="shared" si="23"/>
        <v>3733.6</v>
      </c>
      <c r="S65" s="547"/>
      <c r="T65" s="547"/>
    </row>
    <row r="66" spans="1:20" s="401" customFormat="1" ht="22.5">
      <c r="A66" s="99" t="s">
        <v>788</v>
      </c>
      <c r="B66" s="100"/>
      <c r="C66" s="232" t="s">
        <v>256</v>
      </c>
      <c r="D66" s="247" t="s">
        <v>66</v>
      </c>
      <c r="E66" s="469"/>
      <c r="F66" s="101"/>
      <c r="G66" s="103"/>
      <c r="H66" s="103"/>
      <c r="I66" s="104"/>
      <c r="J66" s="68"/>
      <c r="K66" s="68"/>
      <c r="L66" s="255"/>
      <c r="M66" s="68">
        <f>7.88*75+8.6*97+7.88*82+8.6*72+7.88*75+8.6*116+7.88*74+8.6*118+7.88*75+8.6*120+7.88*75+8.6*116+7.88*75+8.6*120</f>
        <v>10711.68</v>
      </c>
      <c r="N66" s="68"/>
      <c r="O66" s="255">
        <f t="shared" si="21"/>
        <v>10711.68</v>
      </c>
      <c r="P66" s="68">
        <f t="shared" si="22"/>
        <v>6962.592000000001</v>
      </c>
      <c r="Q66" s="409"/>
      <c r="R66" s="256">
        <f t="shared" si="23"/>
        <v>6962.592000000001</v>
      </c>
      <c r="S66" s="545" t="s">
        <v>822</v>
      </c>
      <c r="T66" s="546"/>
    </row>
    <row r="67" spans="1:20" s="401" customFormat="1" ht="11.25">
      <c r="A67" s="99" t="s">
        <v>788</v>
      </c>
      <c r="B67" s="100"/>
      <c r="C67" s="9" t="s">
        <v>152</v>
      </c>
      <c r="D67" s="102" t="s">
        <v>153</v>
      </c>
      <c r="E67" s="469"/>
      <c r="F67" s="101"/>
      <c r="G67" s="103"/>
      <c r="H67" s="103"/>
      <c r="I67" s="104"/>
      <c r="J67" s="68">
        <v>2983.68</v>
      </c>
      <c r="K67" s="68"/>
      <c r="L67" s="255">
        <f t="shared" si="20"/>
        <v>2983.68</v>
      </c>
      <c r="M67" s="68">
        <f>20.72*144</f>
        <v>2983.68</v>
      </c>
      <c r="N67" s="68"/>
      <c r="O67" s="255">
        <f t="shared" si="21"/>
        <v>2983.68</v>
      </c>
      <c r="P67" s="68">
        <f t="shared" si="22"/>
        <v>1939.392</v>
      </c>
      <c r="Q67" s="409"/>
      <c r="R67" s="256">
        <f t="shared" si="23"/>
        <v>1939.392</v>
      </c>
      <c r="S67" s="547"/>
      <c r="T67" s="547"/>
    </row>
    <row r="68" spans="1:20" s="401" customFormat="1" ht="22.5">
      <c r="A68" s="99" t="s">
        <v>788</v>
      </c>
      <c r="B68" s="100"/>
      <c r="C68" s="9" t="s">
        <v>123</v>
      </c>
      <c r="D68" s="102" t="s">
        <v>831</v>
      </c>
      <c r="E68" s="469"/>
      <c r="F68" s="101"/>
      <c r="G68" s="103"/>
      <c r="H68" s="103"/>
      <c r="I68" s="104"/>
      <c r="J68" s="68">
        <v>4456</v>
      </c>
      <c r="K68" s="68"/>
      <c r="L68" s="255">
        <f t="shared" si="20"/>
        <v>4456</v>
      </c>
      <c r="M68" s="68">
        <v>4456</v>
      </c>
      <c r="N68" s="68"/>
      <c r="O68" s="255">
        <f t="shared" si="21"/>
        <v>4456</v>
      </c>
      <c r="P68" s="68">
        <f t="shared" si="22"/>
        <v>2896.4</v>
      </c>
      <c r="Q68" s="409"/>
      <c r="R68" s="256">
        <f t="shared" si="23"/>
        <v>2896.4</v>
      </c>
      <c r="S68" s="470"/>
      <c r="T68" s="470"/>
    </row>
    <row r="69" spans="1:20" s="401" customFormat="1" ht="11.25">
      <c r="A69" s="480" t="s">
        <v>840</v>
      </c>
      <c r="B69" s="481"/>
      <c r="C69" s="482" t="s">
        <v>477</v>
      </c>
      <c r="D69" s="489"/>
      <c r="E69" s="490"/>
      <c r="F69" s="484"/>
      <c r="G69" s="485"/>
      <c r="H69" s="485"/>
      <c r="I69" s="486"/>
      <c r="J69" s="487">
        <v>212349.79</v>
      </c>
      <c r="K69" s="487"/>
      <c r="L69" s="487">
        <f t="shared" si="20"/>
        <v>212349.79</v>
      </c>
      <c r="M69" s="487">
        <v>212349.79</v>
      </c>
      <c r="N69" s="487"/>
      <c r="O69" s="487">
        <f>+N69+M69</f>
        <v>212349.79</v>
      </c>
      <c r="P69" s="487">
        <f>+M69*0.65</f>
        <v>138027.3635</v>
      </c>
      <c r="Q69" s="491"/>
      <c r="R69" s="491">
        <f>+Q69+P69</f>
        <v>138027.3635</v>
      </c>
      <c r="S69" s="564" t="s">
        <v>841</v>
      </c>
      <c r="T69" s="565"/>
    </row>
    <row r="70" spans="1:20" s="401" customFormat="1" ht="11.25">
      <c r="A70" s="99" t="s">
        <v>840</v>
      </c>
      <c r="B70" s="100"/>
      <c r="C70" s="9" t="s">
        <v>152</v>
      </c>
      <c r="D70" s="102" t="s">
        <v>153</v>
      </c>
      <c r="E70" s="469"/>
      <c r="F70" s="101"/>
      <c r="G70" s="103"/>
      <c r="H70" s="103"/>
      <c r="I70" s="104"/>
      <c r="J70" s="68">
        <v>8163.68</v>
      </c>
      <c r="K70" s="68"/>
      <c r="L70" s="255">
        <f t="shared" si="20"/>
        <v>8163.68</v>
      </c>
      <c r="M70" s="68"/>
      <c r="N70" s="68"/>
      <c r="O70" s="255"/>
      <c r="P70" s="68"/>
      <c r="Q70" s="409"/>
      <c r="R70" s="256"/>
      <c r="S70" s="478" t="s">
        <v>1242</v>
      </c>
      <c r="T70" s="479"/>
    </row>
    <row r="71" spans="1:20" s="401" customFormat="1" ht="22.5">
      <c r="A71" s="99" t="s">
        <v>840</v>
      </c>
      <c r="B71" s="100"/>
      <c r="C71" s="232" t="s">
        <v>256</v>
      </c>
      <c r="D71" s="247" t="s">
        <v>66</v>
      </c>
      <c r="E71" s="469"/>
      <c r="F71" s="101"/>
      <c r="G71" s="103"/>
      <c r="H71" s="103"/>
      <c r="I71" s="104"/>
      <c r="J71" s="68">
        <v>13647</v>
      </c>
      <c r="K71" s="68"/>
      <c r="L71" s="255">
        <f t="shared" si="20"/>
        <v>13647</v>
      </c>
      <c r="M71" s="68"/>
      <c r="N71" s="68"/>
      <c r="O71" s="255"/>
      <c r="P71" s="68"/>
      <c r="Q71" s="409"/>
      <c r="R71" s="256"/>
      <c r="S71" s="478" t="s">
        <v>1242</v>
      </c>
      <c r="T71" s="479"/>
    </row>
    <row r="72" spans="1:20" s="401" customFormat="1" ht="22.5">
      <c r="A72" s="99" t="s">
        <v>840</v>
      </c>
      <c r="B72" s="100"/>
      <c r="C72" s="232" t="s">
        <v>890</v>
      </c>
      <c r="D72" s="102" t="s">
        <v>891</v>
      </c>
      <c r="E72" s="469"/>
      <c r="F72" s="101"/>
      <c r="G72" s="103"/>
      <c r="H72" s="103"/>
      <c r="I72" s="104"/>
      <c r="J72" s="68">
        <v>148077.44</v>
      </c>
      <c r="K72" s="68"/>
      <c r="L72" s="255">
        <f t="shared" si="20"/>
        <v>148077.44</v>
      </c>
      <c r="M72" s="68"/>
      <c r="N72" s="68"/>
      <c r="O72" s="255"/>
      <c r="P72" s="68"/>
      <c r="Q72" s="409"/>
      <c r="R72" s="256"/>
      <c r="S72" s="478" t="s">
        <v>1242</v>
      </c>
      <c r="T72" s="479"/>
    </row>
    <row r="73" spans="1:20" s="401" customFormat="1" ht="11.25">
      <c r="A73" s="99" t="s">
        <v>840</v>
      </c>
      <c r="B73" s="100"/>
      <c r="C73" s="9" t="s">
        <v>65</v>
      </c>
      <c r="D73" s="102" t="s">
        <v>67</v>
      </c>
      <c r="E73" s="471" t="s">
        <v>894</v>
      </c>
      <c r="F73" s="101"/>
      <c r="G73" s="103"/>
      <c r="H73" s="103"/>
      <c r="I73" s="104"/>
      <c r="J73" s="68">
        <v>7824.6</v>
      </c>
      <c r="K73" s="68"/>
      <c r="L73" s="255">
        <f t="shared" si="20"/>
        <v>7824.6</v>
      </c>
      <c r="M73" s="68"/>
      <c r="N73" s="68"/>
      <c r="O73" s="255"/>
      <c r="P73" s="68"/>
      <c r="Q73" s="409"/>
      <c r="R73" s="256"/>
      <c r="S73" s="478" t="s">
        <v>1242</v>
      </c>
      <c r="T73" s="479"/>
    </row>
    <row r="74" spans="1:20" s="401" customFormat="1" ht="11.25">
      <c r="A74" s="99" t="s">
        <v>840</v>
      </c>
      <c r="B74" s="100"/>
      <c r="C74" s="9" t="s">
        <v>83</v>
      </c>
      <c r="D74" s="102" t="s">
        <v>84</v>
      </c>
      <c r="E74" s="471" t="s">
        <v>909</v>
      </c>
      <c r="F74" s="101"/>
      <c r="G74" s="103"/>
      <c r="H74" s="103"/>
      <c r="I74" s="104"/>
      <c r="J74" s="68">
        <v>5276.18</v>
      </c>
      <c r="K74" s="68"/>
      <c r="L74" s="255">
        <f t="shared" si="20"/>
        <v>5276.18</v>
      </c>
      <c r="M74" s="68"/>
      <c r="N74" s="68"/>
      <c r="O74" s="255"/>
      <c r="P74" s="68"/>
      <c r="Q74" s="409"/>
      <c r="R74" s="256"/>
      <c r="S74" s="478" t="s">
        <v>1242</v>
      </c>
      <c r="T74" s="479"/>
    </row>
    <row r="75" spans="1:20" s="401" customFormat="1" ht="11.25">
      <c r="A75" s="99" t="s">
        <v>840</v>
      </c>
      <c r="B75" s="100"/>
      <c r="C75" s="9" t="s">
        <v>184</v>
      </c>
      <c r="D75" s="102" t="s">
        <v>185</v>
      </c>
      <c r="E75" s="469"/>
      <c r="F75" s="101"/>
      <c r="G75" s="103"/>
      <c r="H75" s="103"/>
      <c r="I75" s="104"/>
      <c r="J75" s="68">
        <v>9446.27</v>
      </c>
      <c r="K75" s="68"/>
      <c r="L75" s="255">
        <f t="shared" si="20"/>
        <v>9446.27</v>
      </c>
      <c r="M75" s="68"/>
      <c r="N75" s="68"/>
      <c r="O75" s="255"/>
      <c r="P75" s="68"/>
      <c r="Q75" s="409"/>
      <c r="R75" s="256"/>
      <c r="S75" s="478" t="s">
        <v>1242</v>
      </c>
      <c r="T75" s="479"/>
    </row>
    <row r="76" spans="1:20" s="401" customFormat="1" ht="11.25">
      <c r="A76" s="99" t="s">
        <v>840</v>
      </c>
      <c r="B76" s="100"/>
      <c r="C76" s="101" t="s">
        <v>205</v>
      </c>
      <c r="D76" s="102" t="s">
        <v>818</v>
      </c>
      <c r="E76" s="469"/>
      <c r="F76" s="101"/>
      <c r="G76" s="103"/>
      <c r="H76" s="103"/>
      <c r="I76" s="104"/>
      <c r="J76" s="68">
        <v>15675.58</v>
      </c>
      <c r="K76" s="68"/>
      <c r="L76" s="255">
        <f t="shared" si="20"/>
        <v>15675.58</v>
      </c>
      <c r="M76" s="68"/>
      <c r="N76" s="68"/>
      <c r="O76" s="255"/>
      <c r="P76" s="68"/>
      <c r="Q76" s="409"/>
      <c r="R76" s="256"/>
      <c r="S76" s="478" t="s">
        <v>1242</v>
      </c>
      <c r="T76" s="479"/>
    </row>
    <row r="77" spans="1:20" s="401" customFormat="1" ht="11.25">
      <c r="A77" s="480" t="s">
        <v>977</v>
      </c>
      <c r="B77" s="481"/>
      <c r="C77" s="501" t="s">
        <v>978</v>
      </c>
      <c r="D77" s="483"/>
      <c r="E77" s="490"/>
      <c r="F77" s="484"/>
      <c r="G77" s="485"/>
      <c r="H77" s="485"/>
      <c r="I77" s="486"/>
      <c r="J77" s="487">
        <f>SUM(J70:J76)-J69</f>
        <v>-4239.040000000037</v>
      </c>
      <c r="K77" s="487"/>
      <c r="L77" s="487">
        <f t="shared" si="20"/>
        <v>-4239.040000000037</v>
      </c>
      <c r="M77" s="487">
        <f>+J77</f>
        <v>-4239.040000000037</v>
      </c>
      <c r="N77" s="487"/>
      <c r="O77" s="487">
        <f>+N77+M77</f>
        <v>-4239.040000000037</v>
      </c>
      <c r="P77" s="487">
        <f>+M77*0.65</f>
        <v>-2755.3760000000243</v>
      </c>
      <c r="Q77" s="491"/>
      <c r="R77" s="491">
        <f>+Q77+P77</f>
        <v>-2755.3760000000243</v>
      </c>
      <c r="S77" s="591" t="s">
        <v>1243</v>
      </c>
      <c r="T77" s="592"/>
    </row>
    <row r="78" spans="1:20" s="401" customFormat="1" ht="22.5">
      <c r="A78" s="99" t="s">
        <v>977</v>
      </c>
      <c r="B78" s="100"/>
      <c r="C78" s="232" t="s">
        <v>256</v>
      </c>
      <c r="D78" s="247" t="s">
        <v>66</v>
      </c>
      <c r="E78" s="469"/>
      <c r="F78" s="101"/>
      <c r="G78" s="103"/>
      <c r="H78" s="103"/>
      <c r="I78" s="104"/>
      <c r="J78" s="68">
        <v>7725</v>
      </c>
      <c r="K78" s="68"/>
      <c r="L78" s="255">
        <f t="shared" si="20"/>
        <v>7725</v>
      </c>
      <c r="M78" s="68">
        <v>7725</v>
      </c>
      <c r="N78" s="68"/>
      <c r="O78" s="255">
        <f>+N78+M78</f>
        <v>7725</v>
      </c>
      <c r="P78" s="68">
        <f>+M78*0.65</f>
        <v>5021.25</v>
      </c>
      <c r="Q78" s="409"/>
      <c r="R78" s="256">
        <f>+Q78+P78</f>
        <v>5021.25</v>
      </c>
      <c r="S78" s="478" t="s">
        <v>1242</v>
      </c>
      <c r="T78" s="479"/>
    </row>
    <row r="79" spans="1:20" s="401" customFormat="1" ht="11.25">
      <c r="A79" s="99" t="s">
        <v>977</v>
      </c>
      <c r="B79" s="100"/>
      <c r="C79" s="9" t="s">
        <v>65</v>
      </c>
      <c r="D79" s="102" t="s">
        <v>67</v>
      </c>
      <c r="E79" s="471" t="s">
        <v>987</v>
      </c>
      <c r="F79" s="101"/>
      <c r="G79" s="103"/>
      <c r="H79" s="103"/>
      <c r="I79" s="104"/>
      <c r="J79" s="68">
        <v>4860</v>
      </c>
      <c r="K79" s="68"/>
      <c r="L79" s="255">
        <f t="shared" si="20"/>
        <v>4860</v>
      </c>
      <c r="M79" s="68">
        <v>4860</v>
      </c>
      <c r="N79" s="68"/>
      <c r="O79" s="255">
        <f aca="true" t="shared" si="24" ref="O79:O98">+N79+M79</f>
        <v>4860</v>
      </c>
      <c r="P79" s="68">
        <f aca="true" t="shared" si="25" ref="P79:P98">+M79*0.65</f>
        <v>3159</v>
      </c>
      <c r="Q79" s="409"/>
      <c r="R79" s="256">
        <f aca="true" t="shared" si="26" ref="R79:R98">+Q79+P79</f>
        <v>3159</v>
      </c>
      <c r="S79" s="478" t="s">
        <v>1242</v>
      </c>
      <c r="T79" s="479"/>
    </row>
    <row r="80" spans="1:20" s="401" customFormat="1" ht="11.25">
      <c r="A80" s="99" t="s">
        <v>977</v>
      </c>
      <c r="B80" s="100"/>
      <c r="C80" s="9" t="s">
        <v>83</v>
      </c>
      <c r="D80" s="102" t="s">
        <v>84</v>
      </c>
      <c r="E80" s="469"/>
      <c r="F80" s="101"/>
      <c r="G80" s="103"/>
      <c r="H80" s="103"/>
      <c r="I80" s="104"/>
      <c r="J80" s="68">
        <v>3142.79</v>
      </c>
      <c r="K80" s="68"/>
      <c r="L80" s="255">
        <f t="shared" si="20"/>
        <v>3142.79</v>
      </c>
      <c r="M80" s="68">
        <v>3142.79</v>
      </c>
      <c r="N80" s="68"/>
      <c r="O80" s="255">
        <f t="shared" si="24"/>
        <v>3142.79</v>
      </c>
      <c r="P80" s="68">
        <f t="shared" si="25"/>
        <v>2042.8135</v>
      </c>
      <c r="Q80" s="409"/>
      <c r="R80" s="256">
        <f t="shared" si="26"/>
        <v>2042.8135</v>
      </c>
      <c r="S80" s="478" t="s">
        <v>1242</v>
      </c>
      <c r="T80" s="479"/>
    </row>
    <row r="81" spans="1:20" s="401" customFormat="1" ht="11.25">
      <c r="A81" s="99" t="s">
        <v>977</v>
      </c>
      <c r="B81" s="100"/>
      <c r="C81" s="9" t="s">
        <v>123</v>
      </c>
      <c r="D81" s="102" t="s">
        <v>124</v>
      </c>
      <c r="E81" s="469"/>
      <c r="F81" s="101"/>
      <c r="G81" s="103"/>
      <c r="H81" s="103"/>
      <c r="I81" s="104"/>
      <c r="J81" s="68">
        <v>5991.72</v>
      </c>
      <c r="K81" s="68"/>
      <c r="L81" s="255">
        <f t="shared" si="20"/>
        <v>5991.72</v>
      </c>
      <c r="M81" s="68">
        <v>5991.72</v>
      </c>
      <c r="N81" s="68"/>
      <c r="O81" s="255">
        <f t="shared" si="24"/>
        <v>5991.72</v>
      </c>
      <c r="P81" s="68">
        <f t="shared" si="25"/>
        <v>3894.6180000000004</v>
      </c>
      <c r="Q81" s="409"/>
      <c r="R81" s="256">
        <f t="shared" si="26"/>
        <v>3894.6180000000004</v>
      </c>
      <c r="S81" s="478" t="s">
        <v>1242</v>
      </c>
      <c r="T81" s="479"/>
    </row>
    <row r="82" spans="1:20" s="401" customFormat="1" ht="22.5">
      <c r="A82" s="99" t="s">
        <v>977</v>
      </c>
      <c r="B82" s="100"/>
      <c r="C82" s="232" t="s">
        <v>890</v>
      </c>
      <c r="D82" s="102" t="s">
        <v>818</v>
      </c>
      <c r="E82" s="469"/>
      <c r="F82" s="101"/>
      <c r="G82" s="103"/>
      <c r="H82" s="103"/>
      <c r="I82" s="104"/>
      <c r="J82" s="68">
        <v>46685.84</v>
      </c>
      <c r="K82" s="68"/>
      <c r="L82" s="255">
        <f t="shared" si="20"/>
        <v>46685.84</v>
      </c>
      <c r="M82" s="68">
        <v>46685.84</v>
      </c>
      <c r="N82" s="68"/>
      <c r="O82" s="255">
        <f t="shared" si="24"/>
        <v>46685.84</v>
      </c>
      <c r="P82" s="68">
        <f t="shared" si="25"/>
        <v>30345.796</v>
      </c>
      <c r="Q82" s="409"/>
      <c r="R82" s="256">
        <f t="shared" si="26"/>
        <v>30345.796</v>
      </c>
      <c r="S82" s="478" t="s">
        <v>1242</v>
      </c>
      <c r="T82" s="479"/>
    </row>
    <row r="83" spans="1:20" s="401" customFormat="1" ht="12.75" customHeight="1">
      <c r="A83" s="99" t="s">
        <v>977</v>
      </c>
      <c r="B83" s="100"/>
      <c r="C83" s="101" t="s">
        <v>205</v>
      </c>
      <c r="D83" s="102" t="s">
        <v>1043</v>
      </c>
      <c r="E83" s="469"/>
      <c r="F83" s="101"/>
      <c r="G83" s="103"/>
      <c r="H83" s="103"/>
      <c r="I83" s="104"/>
      <c r="J83" s="68">
        <v>24456.4</v>
      </c>
      <c r="K83" s="68"/>
      <c r="L83" s="255">
        <f t="shared" si="20"/>
        <v>24456.4</v>
      </c>
      <c r="M83" s="68">
        <v>24456.4</v>
      </c>
      <c r="N83" s="68"/>
      <c r="O83" s="255">
        <f t="shared" si="24"/>
        <v>24456.4</v>
      </c>
      <c r="P83" s="68">
        <f t="shared" si="25"/>
        <v>15896.660000000002</v>
      </c>
      <c r="Q83" s="409"/>
      <c r="R83" s="256">
        <f t="shared" si="26"/>
        <v>15896.660000000002</v>
      </c>
      <c r="S83" s="478" t="s">
        <v>1242</v>
      </c>
      <c r="T83" s="479"/>
    </row>
    <row r="84" spans="1:20" s="401" customFormat="1" ht="11.25">
      <c r="A84" s="99" t="s">
        <v>977</v>
      </c>
      <c r="B84" s="100"/>
      <c r="C84" s="9" t="s">
        <v>152</v>
      </c>
      <c r="D84" s="102" t="s">
        <v>153</v>
      </c>
      <c r="E84" s="469"/>
      <c r="F84" s="101"/>
      <c r="G84" s="103"/>
      <c r="H84" s="103"/>
      <c r="I84" s="104"/>
      <c r="J84" s="68">
        <v>6133.12</v>
      </c>
      <c r="K84" s="68"/>
      <c r="L84" s="255">
        <f t="shared" si="20"/>
        <v>6133.12</v>
      </c>
      <c r="M84" s="68">
        <v>6133.12</v>
      </c>
      <c r="N84" s="68"/>
      <c r="O84" s="255">
        <f t="shared" si="24"/>
        <v>6133.12</v>
      </c>
      <c r="P84" s="68">
        <f t="shared" si="25"/>
        <v>3986.5280000000002</v>
      </c>
      <c r="Q84" s="409"/>
      <c r="R84" s="256">
        <f t="shared" si="26"/>
        <v>3986.5280000000002</v>
      </c>
      <c r="S84" s="478" t="s">
        <v>1242</v>
      </c>
      <c r="T84" s="479"/>
    </row>
    <row r="85" spans="1:20" s="401" customFormat="1" ht="11.25">
      <c r="A85" s="99" t="s">
        <v>977</v>
      </c>
      <c r="B85" s="100"/>
      <c r="C85" s="9" t="s">
        <v>184</v>
      </c>
      <c r="D85" s="102" t="s">
        <v>185</v>
      </c>
      <c r="E85" s="469"/>
      <c r="F85" s="101"/>
      <c r="G85" s="103"/>
      <c r="H85" s="103"/>
      <c r="I85" s="104"/>
      <c r="J85" s="68">
        <v>5634.08</v>
      </c>
      <c r="K85" s="68"/>
      <c r="L85" s="255">
        <f t="shared" si="20"/>
        <v>5634.08</v>
      </c>
      <c r="M85" s="68">
        <v>5634.08</v>
      </c>
      <c r="N85" s="68"/>
      <c r="O85" s="255">
        <f t="shared" si="24"/>
        <v>5634.08</v>
      </c>
      <c r="P85" s="68">
        <f t="shared" si="25"/>
        <v>3662.152</v>
      </c>
      <c r="Q85" s="409"/>
      <c r="R85" s="256">
        <f t="shared" si="26"/>
        <v>3662.152</v>
      </c>
      <c r="S85" s="478" t="s">
        <v>1242</v>
      </c>
      <c r="T85" s="479"/>
    </row>
    <row r="86" spans="1:20" s="401" customFormat="1" ht="22.5">
      <c r="A86" s="99" t="s">
        <v>977</v>
      </c>
      <c r="B86" s="100"/>
      <c r="C86" s="232" t="s">
        <v>256</v>
      </c>
      <c r="D86" s="247" t="s">
        <v>66</v>
      </c>
      <c r="E86" s="469"/>
      <c r="F86" s="101"/>
      <c r="G86" s="103"/>
      <c r="H86" s="103"/>
      <c r="I86" s="104"/>
      <c r="J86" s="68">
        <f>11292-J87</f>
        <v>7476</v>
      </c>
      <c r="K86" s="68"/>
      <c r="L86" s="255">
        <f t="shared" si="20"/>
        <v>7476</v>
      </c>
      <c r="M86" s="68">
        <f>11292-M87</f>
        <v>7476</v>
      </c>
      <c r="N86" s="68"/>
      <c r="O86" s="255">
        <f t="shared" si="24"/>
        <v>7476</v>
      </c>
      <c r="P86" s="68">
        <f t="shared" si="25"/>
        <v>4859.400000000001</v>
      </c>
      <c r="Q86" s="409"/>
      <c r="R86" s="256">
        <f t="shared" si="26"/>
        <v>4859.400000000001</v>
      </c>
      <c r="S86" s="478" t="s">
        <v>1242</v>
      </c>
      <c r="T86" s="479"/>
    </row>
    <row r="87" spans="1:20" s="401" customFormat="1" ht="22.5">
      <c r="A87" s="99" t="s">
        <v>977</v>
      </c>
      <c r="B87" s="99" t="s">
        <v>729</v>
      </c>
      <c r="C87" s="232" t="s">
        <v>256</v>
      </c>
      <c r="D87" s="247" t="s">
        <v>66</v>
      </c>
      <c r="E87" s="469"/>
      <c r="F87" s="101"/>
      <c r="G87" s="103"/>
      <c r="H87" s="103"/>
      <c r="I87" s="104"/>
      <c r="J87" s="68">
        <v>3816</v>
      </c>
      <c r="K87" s="68"/>
      <c r="L87" s="255">
        <f t="shared" si="20"/>
        <v>3816</v>
      </c>
      <c r="M87" s="68">
        <v>3816</v>
      </c>
      <c r="N87" s="68"/>
      <c r="O87" s="255">
        <f t="shared" si="24"/>
        <v>3816</v>
      </c>
      <c r="P87" s="68">
        <f t="shared" si="25"/>
        <v>2480.4</v>
      </c>
      <c r="Q87" s="409"/>
      <c r="R87" s="256">
        <f t="shared" si="26"/>
        <v>2480.4</v>
      </c>
      <c r="S87" s="478" t="s">
        <v>1242</v>
      </c>
      <c r="T87" s="479"/>
    </row>
    <row r="88" spans="1:20" s="401" customFormat="1" ht="11.25">
      <c r="A88" s="99" t="s">
        <v>977</v>
      </c>
      <c r="B88" s="100"/>
      <c r="C88" s="9" t="s">
        <v>65</v>
      </c>
      <c r="D88" s="102" t="s">
        <v>67</v>
      </c>
      <c r="E88" s="471" t="s">
        <v>1096</v>
      </c>
      <c r="F88" s="101"/>
      <c r="G88" s="103"/>
      <c r="H88" s="103"/>
      <c r="I88" s="104"/>
      <c r="J88" s="68">
        <f>9097.92-J89</f>
        <v>6065.280000000001</v>
      </c>
      <c r="K88" s="68"/>
      <c r="L88" s="255">
        <f t="shared" si="20"/>
        <v>6065.280000000001</v>
      </c>
      <c r="M88" s="68">
        <f>9097.92-M89</f>
        <v>6065.280000000001</v>
      </c>
      <c r="N88" s="68"/>
      <c r="O88" s="255">
        <f t="shared" si="24"/>
        <v>6065.280000000001</v>
      </c>
      <c r="P88" s="68">
        <f t="shared" si="25"/>
        <v>3942.4320000000007</v>
      </c>
      <c r="Q88" s="409"/>
      <c r="R88" s="256">
        <f t="shared" si="26"/>
        <v>3942.4320000000007</v>
      </c>
      <c r="S88" s="478" t="s">
        <v>1242</v>
      </c>
      <c r="T88" s="479"/>
    </row>
    <row r="89" spans="1:20" s="401" customFormat="1" ht="11.25">
      <c r="A89" s="99" t="s">
        <v>977</v>
      </c>
      <c r="B89" s="99" t="s">
        <v>729</v>
      </c>
      <c r="C89" s="9" t="s">
        <v>65</v>
      </c>
      <c r="D89" s="102" t="s">
        <v>67</v>
      </c>
      <c r="E89" s="471" t="s">
        <v>1096</v>
      </c>
      <c r="F89" s="101"/>
      <c r="G89" s="103"/>
      <c r="H89" s="103"/>
      <c r="I89" s="104"/>
      <c r="J89" s="68">
        <v>3032.64</v>
      </c>
      <c r="K89" s="68"/>
      <c r="L89" s="255">
        <f t="shared" si="20"/>
        <v>3032.64</v>
      </c>
      <c r="M89" s="68">
        <v>3032.64</v>
      </c>
      <c r="N89" s="68"/>
      <c r="O89" s="255">
        <f t="shared" si="24"/>
        <v>3032.64</v>
      </c>
      <c r="P89" s="68">
        <f t="shared" si="25"/>
        <v>1971.216</v>
      </c>
      <c r="Q89" s="409"/>
      <c r="R89" s="256">
        <f t="shared" si="26"/>
        <v>1971.216</v>
      </c>
      <c r="S89" s="478" t="s">
        <v>1242</v>
      </c>
      <c r="T89" s="479"/>
    </row>
    <row r="90" spans="1:20" s="401" customFormat="1" ht="11.25">
      <c r="A90" s="99" t="s">
        <v>977</v>
      </c>
      <c r="B90" s="99"/>
      <c r="C90" s="232" t="s">
        <v>123</v>
      </c>
      <c r="D90" s="247" t="s">
        <v>124</v>
      </c>
      <c r="E90" s="469"/>
      <c r="F90" s="101"/>
      <c r="G90" s="103"/>
      <c r="H90" s="103"/>
      <c r="I90" s="104"/>
      <c r="J90" s="68">
        <f>9782.4-J91</f>
        <v>6725.4</v>
      </c>
      <c r="K90" s="68"/>
      <c r="L90" s="255">
        <f t="shared" si="20"/>
        <v>6725.4</v>
      </c>
      <c r="M90" s="68">
        <f>9782.4-M91</f>
        <v>6725.4</v>
      </c>
      <c r="N90" s="68"/>
      <c r="O90" s="255">
        <f t="shared" si="24"/>
        <v>6725.4</v>
      </c>
      <c r="P90" s="68">
        <f t="shared" si="25"/>
        <v>4371.51</v>
      </c>
      <c r="Q90" s="409"/>
      <c r="R90" s="256">
        <f t="shared" si="26"/>
        <v>4371.51</v>
      </c>
      <c r="S90" s="478" t="s">
        <v>1242</v>
      </c>
      <c r="T90" s="479"/>
    </row>
    <row r="91" spans="1:20" s="401" customFormat="1" ht="11.25">
      <c r="A91" s="99" t="s">
        <v>977</v>
      </c>
      <c r="B91" s="99" t="s">
        <v>729</v>
      </c>
      <c r="C91" s="232" t="s">
        <v>123</v>
      </c>
      <c r="D91" s="247" t="s">
        <v>124</v>
      </c>
      <c r="E91" s="469"/>
      <c r="F91" s="101"/>
      <c r="G91" s="103"/>
      <c r="H91" s="103"/>
      <c r="I91" s="104"/>
      <c r="J91" s="68">
        <v>3057</v>
      </c>
      <c r="K91" s="68"/>
      <c r="L91" s="255">
        <f t="shared" si="20"/>
        <v>3057</v>
      </c>
      <c r="M91" s="68">
        <v>3057</v>
      </c>
      <c r="N91" s="68"/>
      <c r="O91" s="255">
        <f t="shared" si="24"/>
        <v>3057</v>
      </c>
      <c r="P91" s="68">
        <f t="shared" si="25"/>
        <v>1987.05</v>
      </c>
      <c r="Q91" s="409"/>
      <c r="R91" s="256">
        <f t="shared" si="26"/>
        <v>1987.05</v>
      </c>
      <c r="S91" s="478" t="s">
        <v>1242</v>
      </c>
      <c r="T91" s="479"/>
    </row>
    <row r="92" spans="1:20" s="401" customFormat="1" ht="22.5">
      <c r="A92" s="99" t="s">
        <v>977</v>
      </c>
      <c r="B92" s="100"/>
      <c r="C92" s="232" t="s">
        <v>890</v>
      </c>
      <c r="D92" s="247" t="s">
        <v>1121</v>
      </c>
      <c r="E92" s="469"/>
      <c r="F92" s="101"/>
      <c r="G92" s="103"/>
      <c r="H92" s="103"/>
      <c r="I92" s="104"/>
      <c r="J92" s="68">
        <v>40485.08</v>
      </c>
      <c r="K92" s="68"/>
      <c r="L92" s="255">
        <f t="shared" si="20"/>
        <v>40485.08</v>
      </c>
      <c r="M92" s="68">
        <v>40485.08</v>
      </c>
      <c r="N92" s="68"/>
      <c r="O92" s="255">
        <f t="shared" si="24"/>
        <v>40485.08</v>
      </c>
      <c r="P92" s="68">
        <f t="shared" si="25"/>
        <v>26315.302000000003</v>
      </c>
      <c r="Q92" s="409"/>
      <c r="R92" s="256">
        <f t="shared" si="26"/>
        <v>26315.302000000003</v>
      </c>
      <c r="S92" s="478" t="s">
        <v>1242</v>
      </c>
      <c r="T92" s="479"/>
    </row>
    <row r="93" spans="1:20" s="401" customFormat="1" ht="12" customHeight="1">
      <c r="A93" s="99" t="s">
        <v>977</v>
      </c>
      <c r="B93" s="100"/>
      <c r="C93" s="9" t="s">
        <v>83</v>
      </c>
      <c r="D93" s="102" t="s">
        <v>84</v>
      </c>
      <c r="E93" s="469"/>
      <c r="F93" s="101"/>
      <c r="G93" s="103"/>
      <c r="H93" s="103"/>
      <c r="I93" s="104"/>
      <c r="J93" s="68">
        <f>3485.72-J94</f>
        <v>2097.3399999999997</v>
      </c>
      <c r="K93" s="68"/>
      <c r="L93" s="255">
        <f t="shared" si="20"/>
        <v>2097.3399999999997</v>
      </c>
      <c r="M93" s="68">
        <f>3485.72-M94</f>
        <v>2097.3399999999997</v>
      </c>
      <c r="N93" s="68"/>
      <c r="O93" s="255">
        <f t="shared" si="24"/>
        <v>2097.3399999999997</v>
      </c>
      <c r="P93" s="68">
        <f t="shared" si="25"/>
        <v>1363.271</v>
      </c>
      <c r="Q93" s="409"/>
      <c r="R93" s="256">
        <f t="shared" si="26"/>
        <v>1363.271</v>
      </c>
      <c r="S93" s="478" t="s">
        <v>1242</v>
      </c>
      <c r="T93" s="479"/>
    </row>
    <row r="94" spans="1:20" s="401" customFormat="1" ht="12" customHeight="1">
      <c r="A94" s="99" t="s">
        <v>977</v>
      </c>
      <c r="B94" s="99" t="s">
        <v>729</v>
      </c>
      <c r="C94" s="9" t="s">
        <v>83</v>
      </c>
      <c r="D94" s="102" t="s">
        <v>84</v>
      </c>
      <c r="E94" s="469"/>
      <c r="F94" s="101"/>
      <c r="G94" s="103"/>
      <c r="H94" s="103"/>
      <c r="I94" s="104"/>
      <c r="J94" s="68">
        <v>1388.38</v>
      </c>
      <c r="K94" s="68"/>
      <c r="L94" s="255">
        <f t="shared" si="20"/>
        <v>1388.38</v>
      </c>
      <c r="M94" s="68">
        <v>1388.38</v>
      </c>
      <c r="N94" s="68"/>
      <c r="O94" s="255">
        <f t="shared" si="24"/>
        <v>1388.38</v>
      </c>
      <c r="P94" s="68">
        <f t="shared" si="25"/>
        <v>902.4470000000001</v>
      </c>
      <c r="Q94" s="409"/>
      <c r="R94" s="256">
        <f t="shared" si="26"/>
        <v>902.4470000000001</v>
      </c>
      <c r="S94" s="478" t="s">
        <v>1242</v>
      </c>
      <c r="T94" s="479"/>
    </row>
    <row r="95" spans="1:20" s="401" customFormat="1" ht="12" customHeight="1">
      <c r="A95" s="99" t="s">
        <v>977</v>
      </c>
      <c r="B95" s="100"/>
      <c r="C95" s="9" t="s">
        <v>184</v>
      </c>
      <c r="D95" s="102" t="s">
        <v>185</v>
      </c>
      <c r="E95" s="469"/>
      <c r="F95" s="101"/>
      <c r="G95" s="103"/>
      <c r="H95" s="103"/>
      <c r="I95" s="104"/>
      <c r="J95" s="68">
        <f>7088.53-J96</f>
        <v>4317.42</v>
      </c>
      <c r="K95" s="68"/>
      <c r="L95" s="255">
        <f t="shared" si="20"/>
        <v>4317.42</v>
      </c>
      <c r="M95" s="68">
        <f>7088.53-M96</f>
        <v>4317.42</v>
      </c>
      <c r="N95" s="68"/>
      <c r="O95" s="255">
        <f t="shared" si="24"/>
        <v>4317.42</v>
      </c>
      <c r="P95" s="68">
        <f t="shared" si="25"/>
        <v>2806.3230000000003</v>
      </c>
      <c r="Q95" s="409"/>
      <c r="R95" s="256">
        <f t="shared" si="26"/>
        <v>2806.3230000000003</v>
      </c>
      <c r="S95" s="478" t="s">
        <v>1242</v>
      </c>
      <c r="T95" s="479"/>
    </row>
    <row r="96" spans="1:20" s="401" customFormat="1" ht="12" customHeight="1">
      <c r="A96" s="99" t="s">
        <v>977</v>
      </c>
      <c r="B96" s="99" t="s">
        <v>729</v>
      </c>
      <c r="C96" s="9" t="s">
        <v>184</v>
      </c>
      <c r="D96" s="102" t="s">
        <v>185</v>
      </c>
      <c r="E96" s="469"/>
      <c r="F96" s="101"/>
      <c r="G96" s="103"/>
      <c r="H96" s="103"/>
      <c r="I96" s="104"/>
      <c r="J96" s="68">
        <v>2771.11</v>
      </c>
      <c r="K96" s="68"/>
      <c r="L96" s="255">
        <f t="shared" si="20"/>
        <v>2771.11</v>
      </c>
      <c r="M96" s="68">
        <v>2771.11</v>
      </c>
      <c r="N96" s="68"/>
      <c r="O96" s="255">
        <f t="shared" si="24"/>
        <v>2771.11</v>
      </c>
      <c r="P96" s="68">
        <f t="shared" si="25"/>
        <v>1801.2215</v>
      </c>
      <c r="Q96" s="409"/>
      <c r="R96" s="256">
        <f t="shared" si="26"/>
        <v>1801.2215</v>
      </c>
      <c r="S96" s="478" t="s">
        <v>1242</v>
      </c>
      <c r="T96" s="479"/>
    </row>
    <row r="97" spans="1:20" s="401" customFormat="1" ht="12" customHeight="1">
      <c r="A97" s="99" t="s">
        <v>977</v>
      </c>
      <c r="B97" s="100"/>
      <c r="C97" s="9" t="s">
        <v>152</v>
      </c>
      <c r="D97" s="102" t="s">
        <v>153</v>
      </c>
      <c r="E97" s="469"/>
      <c r="F97" s="101"/>
      <c r="G97" s="103"/>
      <c r="H97" s="103"/>
      <c r="I97" s="104"/>
      <c r="J97" s="68">
        <v>8619.52</v>
      </c>
      <c r="K97" s="68"/>
      <c r="L97" s="255">
        <f t="shared" si="20"/>
        <v>8619.52</v>
      </c>
      <c r="M97" s="68">
        <v>8619.52</v>
      </c>
      <c r="N97" s="68"/>
      <c r="O97" s="255">
        <f t="shared" si="24"/>
        <v>8619.52</v>
      </c>
      <c r="P97" s="68">
        <f t="shared" si="25"/>
        <v>5602.688</v>
      </c>
      <c r="Q97" s="409"/>
      <c r="R97" s="256">
        <f t="shared" si="26"/>
        <v>5602.688</v>
      </c>
      <c r="S97" s="478" t="s">
        <v>1242</v>
      </c>
      <c r="T97" s="479"/>
    </row>
    <row r="98" spans="1:20" s="401" customFormat="1" ht="12" customHeight="1">
      <c r="A98" s="99" t="s">
        <v>977</v>
      </c>
      <c r="B98" s="100"/>
      <c r="C98" s="101" t="s">
        <v>205</v>
      </c>
      <c r="D98" s="102" t="s">
        <v>891</v>
      </c>
      <c r="E98" s="469"/>
      <c r="F98" s="101"/>
      <c r="G98" s="103"/>
      <c r="H98" s="103"/>
      <c r="I98" s="104"/>
      <c r="J98" s="68">
        <v>66186.89</v>
      </c>
      <c r="K98" s="68"/>
      <c r="L98" s="255">
        <f t="shared" si="20"/>
        <v>66186.89</v>
      </c>
      <c r="M98" s="68">
        <v>66186.89</v>
      </c>
      <c r="N98" s="68"/>
      <c r="O98" s="255">
        <f t="shared" si="24"/>
        <v>66186.89</v>
      </c>
      <c r="P98" s="68">
        <f t="shared" si="25"/>
        <v>43021.478500000005</v>
      </c>
      <c r="Q98" s="409"/>
      <c r="R98" s="256">
        <f t="shared" si="26"/>
        <v>43021.478500000005</v>
      </c>
      <c r="S98" s="478" t="s">
        <v>1242</v>
      </c>
      <c r="T98" s="479"/>
    </row>
    <row r="99" spans="1:20" s="401" customFormat="1" ht="12" customHeight="1">
      <c r="A99" s="99"/>
      <c r="B99" s="100"/>
      <c r="C99" s="9"/>
      <c r="D99" s="102"/>
      <c r="E99" s="469"/>
      <c r="F99" s="101"/>
      <c r="G99" s="103"/>
      <c r="H99" s="103"/>
      <c r="I99" s="104"/>
      <c r="J99" s="68"/>
      <c r="K99" s="68"/>
      <c r="L99" s="255"/>
      <c r="M99" s="68"/>
      <c r="N99" s="68"/>
      <c r="O99" s="255"/>
      <c r="P99" s="68"/>
      <c r="Q99" s="409"/>
      <c r="R99" s="256"/>
      <c r="S99" s="478"/>
      <c r="T99" s="479"/>
    </row>
    <row r="100" spans="1:20" ht="11.25">
      <c r="A100" s="43"/>
      <c r="B100" s="8"/>
      <c r="C100" s="9"/>
      <c r="D100" s="13"/>
      <c r="E100" s="13"/>
      <c r="F100" s="9"/>
      <c r="G100" s="10"/>
      <c r="H100" s="11"/>
      <c r="I100" s="16"/>
      <c r="J100" s="12"/>
      <c r="K100" s="12"/>
      <c r="L100" s="263"/>
      <c r="M100" s="12">
        <f>L100</f>
        <v>0</v>
      </c>
      <c r="N100" s="12"/>
      <c r="O100" s="263"/>
      <c r="P100" s="12">
        <f>M100*0.65</f>
        <v>0</v>
      </c>
      <c r="Q100" s="66"/>
      <c r="R100" s="257"/>
      <c r="S100" s="563"/>
      <c r="T100" s="563"/>
    </row>
    <row r="101" ht="11.25">
      <c r="S101" s="21"/>
    </row>
    <row r="102" spans="1:20" ht="11.25">
      <c r="A102" s="552" t="s">
        <v>7</v>
      </c>
      <c r="B102" s="553"/>
      <c r="C102" s="553"/>
      <c r="D102" s="553"/>
      <c r="E102" s="553"/>
      <c r="F102" s="553"/>
      <c r="G102" s="553"/>
      <c r="H102" s="553"/>
      <c r="I102" s="553"/>
      <c r="J102" s="553"/>
      <c r="K102" s="553"/>
      <c r="L102" s="554"/>
      <c r="M102" s="69" t="s">
        <v>45</v>
      </c>
      <c r="N102" s="20" t="s">
        <v>40</v>
      </c>
      <c r="O102" s="259" t="s">
        <v>46</v>
      </c>
      <c r="P102" s="20" t="s">
        <v>47</v>
      </c>
      <c r="Q102" s="20" t="s">
        <v>48</v>
      </c>
      <c r="R102" s="259" t="s">
        <v>42</v>
      </c>
      <c r="S102" s="71" t="s">
        <v>25</v>
      </c>
      <c r="T102" s="72" t="s">
        <v>26</v>
      </c>
    </row>
    <row r="103" spans="1:21" ht="11.25">
      <c r="A103" s="558"/>
      <c r="B103" s="559"/>
      <c r="C103" s="511"/>
      <c r="D103" s="512"/>
      <c r="E103" s="512"/>
      <c r="F103" s="512"/>
      <c r="G103" s="512"/>
      <c r="H103" s="512"/>
      <c r="I103" s="512"/>
      <c r="J103" s="512"/>
      <c r="K103" s="513"/>
      <c r="L103" s="268" t="s">
        <v>12</v>
      </c>
      <c r="M103" s="3">
        <v>280000</v>
      </c>
      <c r="N103" s="97"/>
      <c r="O103" s="251"/>
      <c r="P103" s="3"/>
      <c r="Q103" s="3"/>
      <c r="R103" s="251"/>
      <c r="S103" s="73"/>
      <c r="T103" s="73"/>
      <c r="U103" s="21"/>
    </row>
    <row r="104" spans="1:21" ht="11.25">
      <c r="A104" s="525"/>
      <c r="B104" s="526"/>
      <c r="C104" s="34"/>
      <c r="D104" s="86"/>
      <c r="E104" s="86"/>
      <c r="F104" s="33"/>
      <c r="G104" s="33"/>
      <c r="H104" s="33"/>
      <c r="I104" s="92"/>
      <c r="J104" s="33"/>
      <c r="K104" s="4">
        <v>0</v>
      </c>
      <c r="L104" s="269" t="s">
        <v>28</v>
      </c>
      <c r="M104" s="4">
        <f aca="true" t="shared" si="27" ref="M104:R105">+M113</f>
        <v>3120</v>
      </c>
      <c r="N104" s="4">
        <f t="shared" si="27"/>
        <v>0</v>
      </c>
      <c r="O104" s="252">
        <f t="shared" si="27"/>
        <v>3120</v>
      </c>
      <c r="P104" s="4">
        <f t="shared" si="27"/>
        <v>2028</v>
      </c>
      <c r="Q104" s="4">
        <f t="shared" si="27"/>
        <v>0</v>
      </c>
      <c r="R104" s="252">
        <f t="shared" si="27"/>
        <v>2028</v>
      </c>
      <c r="S104" s="74">
        <f aca="true" t="shared" si="28" ref="S104:S110">R104*0.375</f>
        <v>760.5</v>
      </c>
      <c r="T104" s="74">
        <f aca="true" t="shared" si="29" ref="T104:T109">R104-S104</f>
        <v>1267.5</v>
      </c>
      <c r="U104" s="21"/>
    </row>
    <row r="105" spans="1:21" ht="11.25">
      <c r="A105" s="525"/>
      <c r="B105" s="526"/>
      <c r="C105" s="34"/>
      <c r="D105" s="86"/>
      <c r="E105" s="86"/>
      <c r="F105" s="48"/>
      <c r="G105" s="49"/>
      <c r="H105" s="33"/>
      <c r="I105" s="92"/>
      <c r="J105" s="33"/>
      <c r="K105" s="35"/>
      <c r="L105" s="269" t="s">
        <v>29</v>
      </c>
      <c r="M105" s="4">
        <f t="shared" si="27"/>
        <v>40298</v>
      </c>
      <c r="N105" s="4">
        <f t="shared" si="27"/>
        <v>6739.6</v>
      </c>
      <c r="O105" s="252">
        <f t="shared" si="27"/>
        <v>47037.6</v>
      </c>
      <c r="P105" s="4">
        <f t="shared" si="27"/>
        <v>26193.7</v>
      </c>
      <c r="Q105" s="4">
        <f t="shared" si="27"/>
        <v>4380.740000000001</v>
      </c>
      <c r="R105" s="252">
        <f t="shared" si="27"/>
        <v>30574.44</v>
      </c>
      <c r="S105" s="5">
        <f t="shared" si="28"/>
        <v>11465.414999999999</v>
      </c>
      <c r="T105" s="5">
        <f t="shared" si="29"/>
        <v>19109.025</v>
      </c>
      <c r="U105" s="21"/>
    </row>
    <row r="106" spans="1:21" ht="11.25">
      <c r="A106" s="525"/>
      <c r="B106" s="526"/>
      <c r="C106" s="34"/>
      <c r="D106" s="86"/>
      <c r="E106" s="86"/>
      <c r="F106" s="33"/>
      <c r="G106" s="33"/>
      <c r="H106" s="33"/>
      <c r="I106" s="92"/>
      <c r="J106" s="33"/>
      <c r="K106" s="35"/>
      <c r="L106" s="269" t="s">
        <v>474</v>
      </c>
      <c r="M106" s="4">
        <f>SUM(M128:M129)</f>
        <v>-9450</v>
      </c>
      <c r="N106" s="4">
        <f>SUM(N128:N129)</f>
        <v>-1890</v>
      </c>
      <c r="O106" s="252">
        <f>+N106+M106</f>
        <v>-11340</v>
      </c>
      <c r="P106" s="4">
        <f>SUM(P128:P129)</f>
        <v>-6142.5</v>
      </c>
      <c r="Q106" s="4">
        <f>SUM(Q128:Q129)</f>
        <v>-1228.500000000001</v>
      </c>
      <c r="R106" s="252">
        <f>+Q106+P106</f>
        <v>-7371.000000000001</v>
      </c>
      <c r="S106" s="5">
        <f t="shared" si="28"/>
        <v>-2764.1250000000005</v>
      </c>
      <c r="T106" s="5">
        <f t="shared" si="29"/>
        <v>-4606.875</v>
      </c>
      <c r="U106" s="21"/>
    </row>
    <row r="107" spans="1:21" ht="11.25">
      <c r="A107" s="525"/>
      <c r="B107" s="526"/>
      <c r="C107" s="34"/>
      <c r="D107" s="86"/>
      <c r="E107" s="86"/>
      <c r="F107" s="33"/>
      <c r="G107" s="33"/>
      <c r="H107" s="33"/>
      <c r="I107" s="92"/>
      <c r="J107" s="33"/>
      <c r="K107" s="35"/>
      <c r="L107" s="269" t="s">
        <v>742</v>
      </c>
      <c r="M107" s="4">
        <f>SUM(M130:M145)</f>
        <v>13412.63</v>
      </c>
      <c r="N107" s="4">
        <f>SUM(N130:N145)</f>
        <v>675.76</v>
      </c>
      <c r="O107" s="252">
        <f>+N107+M107</f>
        <v>14088.39</v>
      </c>
      <c r="P107" s="4">
        <f>SUM(P130:P145)</f>
        <v>8718.2095</v>
      </c>
      <c r="Q107" s="4">
        <f>SUM(Q130:Q145)</f>
        <v>439.244</v>
      </c>
      <c r="R107" s="252">
        <f>+Q107+P107</f>
        <v>9157.453500000001</v>
      </c>
      <c r="S107" s="5">
        <f t="shared" si="28"/>
        <v>3434.0450625000003</v>
      </c>
      <c r="T107" s="5">
        <f t="shared" si="29"/>
        <v>5723.408437500001</v>
      </c>
      <c r="U107" s="21"/>
    </row>
    <row r="108" spans="1:21" ht="11.25">
      <c r="A108" s="525"/>
      <c r="B108" s="526"/>
      <c r="C108" s="34"/>
      <c r="D108" s="86"/>
      <c r="E108" s="86"/>
      <c r="F108" s="33"/>
      <c r="G108" s="33"/>
      <c r="H108" s="33"/>
      <c r="I108" s="92"/>
      <c r="J108" s="33"/>
      <c r="K108" s="35"/>
      <c r="L108" s="269" t="s">
        <v>834</v>
      </c>
      <c r="M108" s="4">
        <f>SUM(M146:M148)</f>
        <v>9450</v>
      </c>
      <c r="N108" s="4">
        <f>SUM(N146:N148)</f>
        <v>1890</v>
      </c>
      <c r="O108" s="252">
        <f>+N108+M108</f>
        <v>11340</v>
      </c>
      <c r="P108" s="4">
        <f>SUM(P146:P148)</f>
        <v>6142.5</v>
      </c>
      <c r="Q108" s="4">
        <f>SUM(Q146:Q148)</f>
        <v>1228.5</v>
      </c>
      <c r="R108" s="252">
        <f>+Q108+P108</f>
        <v>7371</v>
      </c>
      <c r="S108" s="5">
        <f t="shared" si="28"/>
        <v>2764.125</v>
      </c>
      <c r="T108" s="5">
        <f t="shared" si="29"/>
        <v>4606.875</v>
      </c>
      <c r="U108" s="21"/>
    </row>
    <row r="109" spans="1:21" ht="11.25">
      <c r="A109" s="525"/>
      <c r="B109" s="526"/>
      <c r="C109" s="34"/>
      <c r="D109" s="86"/>
      <c r="E109" s="86"/>
      <c r="F109" s="33"/>
      <c r="G109" s="33"/>
      <c r="H109" s="33"/>
      <c r="I109" s="92"/>
      <c r="J109" s="33"/>
      <c r="K109" s="35"/>
      <c r="L109" s="269" t="s">
        <v>839</v>
      </c>
      <c r="M109" s="4">
        <f>+M149</f>
        <v>55768.08</v>
      </c>
      <c r="N109" s="4">
        <f>+N149</f>
        <v>11153.61</v>
      </c>
      <c r="O109" s="252">
        <f>+N109+M109</f>
        <v>66921.69</v>
      </c>
      <c r="P109" s="4">
        <f>+P149</f>
        <v>36249.252</v>
      </c>
      <c r="Q109" s="4">
        <f>+Q149</f>
        <v>7249.846500000001</v>
      </c>
      <c r="R109" s="252">
        <f>+Q109+P109</f>
        <v>43499.0985</v>
      </c>
      <c r="S109" s="5">
        <f t="shared" si="28"/>
        <v>16312.161937500001</v>
      </c>
      <c r="T109" s="5">
        <f t="shared" si="29"/>
        <v>27186.9365625</v>
      </c>
      <c r="U109" s="21"/>
    </row>
    <row r="110" spans="1:21" ht="11.25">
      <c r="A110" s="525"/>
      <c r="B110" s="526"/>
      <c r="C110" s="34"/>
      <c r="D110" s="86"/>
      <c r="E110" s="86"/>
      <c r="F110" s="33"/>
      <c r="G110" s="33"/>
      <c r="H110" s="33"/>
      <c r="I110" s="92"/>
      <c r="J110" s="33"/>
      <c r="K110" s="35"/>
      <c r="L110" s="269" t="s">
        <v>1075</v>
      </c>
      <c r="M110" s="4">
        <f>SUM(M167:M216)</f>
        <v>182305.82999999996</v>
      </c>
      <c r="N110" s="4">
        <f>SUM(N167:N216)</f>
        <v>23537.588000000003</v>
      </c>
      <c r="O110" s="252">
        <f>+N110+M110</f>
        <v>205843.41799999995</v>
      </c>
      <c r="P110" s="4">
        <f>SUM(P167:P216)</f>
        <v>118498.7895</v>
      </c>
      <c r="Q110" s="4">
        <f>SUM(Q167:Q216)</f>
        <v>15299.4322</v>
      </c>
      <c r="R110" s="252">
        <f>+Q110+P110</f>
        <v>133798.2217</v>
      </c>
      <c r="S110" s="5">
        <f t="shared" si="28"/>
        <v>50174.3331375</v>
      </c>
      <c r="T110" s="5">
        <f>R110-S110</f>
        <v>83623.8885625</v>
      </c>
      <c r="U110" s="21"/>
    </row>
    <row r="111" spans="1:21" ht="11.25">
      <c r="A111" s="527"/>
      <c r="B111" s="510"/>
      <c r="C111" s="514"/>
      <c r="D111" s="515"/>
      <c r="E111" s="515"/>
      <c r="F111" s="515"/>
      <c r="G111" s="515"/>
      <c r="H111" s="515"/>
      <c r="I111" s="515"/>
      <c r="J111" s="515"/>
      <c r="K111" s="516"/>
      <c r="L111" s="270" t="s">
        <v>13</v>
      </c>
      <c r="M111" s="6">
        <f>M103-M104-M105-M106-M107-M108-M109-M110</f>
        <v>-14904.539999999979</v>
      </c>
      <c r="N111" s="6"/>
      <c r="O111" s="253"/>
      <c r="P111" s="6"/>
      <c r="Q111" s="6"/>
      <c r="R111" s="253"/>
      <c r="S111" s="76"/>
      <c r="T111" s="77"/>
      <c r="U111" s="21"/>
    </row>
    <row r="112" spans="1:20" ht="31.5" customHeight="1">
      <c r="A112" s="7" t="s">
        <v>14</v>
      </c>
      <c r="B112" s="7" t="s">
        <v>11</v>
      </c>
      <c r="C112" s="25" t="s">
        <v>24</v>
      </c>
      <c r="D112" s="25" t="s">
        <v>20</v>
      </c>
      <c r="E112" s="31" t="s">
        <v>2</v>
      </c>
      <c r="F112" s="25" t="s">
        <v>19</v>
      </c>
      <c r="G112" s="25" t="s">
        <v>18</v>
      </c>
      <c r="H112" s="31" t="s">
        <v>17</v>
      </c>
      <c r="I112" s="31" t="s">
        <v>16</v>
      </c>
      <c r="J112" s="336" t="s">
        <v>3</v>
      </c>
      <c r="K112" s="336" t="s">
        <v>4</v>
      </c>
      <c r="L112" s="337" t="s">
        <v>5</v>
      </c>
      <c r="M112" s="7" t="s">
        <v>21</v>
      </c>
      <c r="N112" s="7" t="s">
        <v>40</v>
      </c>
      <c r="O112" s="261" t="s">
        <v>43</v>
      </c>
      <c r="P112" s="7" t="s">
        <v>22</v>
      </c>
      <c r="Q112" s="19" t="s">
        <v>41</v>
      </c>
      <c r="R112" s="254" t="s">
        <v>42</v>
      </c>
      <c r="S112" s="523" t="s">
        <v>27</v>
      </c>
      <c r="T112" s="523"/>
    </row>
    <row r="113" spans="1:20" ht="22.5">
      <c r="A113" s="233" t="s">
        <v>15</v>
      </c>
      <c r="B113" s="7"/>
      <c r="C113" s="232" t="s">
        <v>205</v>
      </c>
      <c r="D113" s="203" t="s">
        <v>207</v>
      </c>
      <c r="E113" s="237" t="s">
        <v>211</v>
      </c>
      <c r="F113" s="238">
        <v>7</v>
      </c>
      <c r="G113" s="239">
        <v>38446</v>
      </c>
      <c r="H113" s="239">
        <v>38471</v>
      </c>
      <c r="I113" s="116" t="s">
        <v>61</v>
      </c>
      <c r="J113" s="68">
        <v>3120</v>
      </c>
      <c r="K113" s="12">
        <f>J113*20%</f>
        <v>624</v>
      </c>
      <c r="L113" s="255">
        <v>3120</v>
      </c>
      <c r="M113" s="68">
        <v>3120</v>
      </c>
      <c r="N113" s="7"/>
      <c r="O113" s="255">
        <v>3120</v>
      </c>
      <c r="P113" s="68">
        <f aca="true" t="shared" si="30" ref="P113:R115">M113*0.65</f>
        <v>2028</v>
      </c>
      <c r="Q113" s="68">
        <f t="shared" si="30"/>
        <v>0</v>
      </c>
      <c r="R113" s="255">
        <f t="shared" si="30"/>
        <v>2028</v>
      </c>
      <c r="S113" s="541"/>
      <c r="T113" s="541"/>
    </row>
    <row r="114" spans="1:20" s="393" customFormat="1" ht="11.25">
      <c r="A114" s="387" t="s">
        <v>252</v>
      </c>
      <c r="B114" s="388"/>
      <c r="C114" s="389" t="s">
        <v>477</v>
      </c>
      <c r="D114" s="390"/>
      <c r="E114" s="391"/>
      <c r="F114" s="390"/>
      <c r="G114" s="390"/>
      <c r="H114" s="391"/>
      <c r="I114" s="391"/>
      <c r="J114" s="392">
        <v>43418</v>
      </c>
      <c r="K114" s="392">
        <v>6607.6</v>
      </c>
      <c r="L114" s="255">
        <f>+K114+J114</f>
        <v>50025.6</v>
      </c>
      <c r="M114" s="392">
        <v>40298</v>
      </c>
      <c r="N114" s="392">
        <v>6739.6</v>
      </c>
      <c r="O114" s="255">
        <f>+N114+M114</f>
        <v>47037.6</v>
      </c>
      <c r="P114" s="392">
        <f t="shared" si="30"/>
        <v>26193.7</v>
      </c>
      <c r="Q114" s="392">
        <f t="shared" si="30"/>
        <v>4380.740000000001</v>
      </c>
      <c r="R114" s="255">
        <f t="shared" si="30"/>
        <v>30574.44</v>
      </c>
      <c r="S114" s="571" t="s">
        <v>478</v>
      </c>
      <c r="T114" s="571"/>
    </row>
    <row r="115" spans="1:21" s="21" customFormat="1" ht="22.5">
      <c r="A115" s="99" t="s">
        <v>252</v>
      </c>
      <c r="B115" s="105"/>
      <c r="C115" s="232" t="s">
        <v>256</v>
      </c>
      <c r="D115" s="109"/>
      <c r="E115" s="109" t="s">
        <v>52</v>
      </c>
      <c r="F115" s="111" t="s">
        <v>60</v>
      </c>
      <c r="G115" s="112">
        <v>38653</v>
      </c>
      <c r="H115" s="113">
        <v>38658</v>
      </c>
      <c r="I115" s="116" t="s">
        <v>61</v>
      </c>
      <c r="J115" s="12">
        <v>9450</v>
      </c>
      <c r="K115" s="12">
        <f>J115*20%</f>
        <v>1890</v>
      </c>
      <c r="L115" s="271">
        <f>SUM(J115:K115)</f>
        <v>11340</v>
      </c>
      <c r="M115" s="12"/>
      <c r="N115" s="65">
        <f>M115*0.2</f>
        <v>0</v>
      </c>
      <c r="O115" s="255">
        <f>SUM(M115:N115)</f>
        <v>0</v>
      </c>
      <c r="P115" s="68">
        <f t="shared" si="30"/>
        <v>0</v>
      </c>
      <c r="Q115" s="68">
        <f t="shared" si="30"/>
        <v>0</v>
      </c>
      <c r="R115" s="255">
        <f t="shared" si="30"/>
        <v>0</v>
      </c>
      <c r="S115" s="541" t="s">
        <v>835</v>
      </c>
      <c r="T115" s="541"/>
      <c r="U115" s="21" t="s">
        <v>44</v>
      </c>
    </row>
    <row r="116" spans="1:21" s="21" customFormat="1" ht="22.5">
      <c r="A116" s="99" t="s">
        <v>252</v>
      </c>
      <c r="B116" s="62"/>
      <c r="C116" s="232" t="s">
        <v>256</v>
      </c>
      <c r="D116" s="110"/>
      <c r="E116" s="110" t="s">
        <v>53</v>
      </c>
      <c r="F116" s="111" t="s">
        <v>62</v>
      </c>
      <c r="G116" s="112">
        <v>38653</v>
      </c>
      <c r="H116" s="113">
        <v>38670</v>
      </c>
      <c r="I116" s="116" t="s">
        <v>61</v>
      </c>
      <c r="J116" s="12">
        <v>3780</v>
      </c>
      <c r="K116" s="12">
        <v>756</v>
      </c>
      <c r="L116" s="271">
        <f>SUM(J116:K116)</f>
        <v>4536</v>
      </c>
      <c r="M116" s="12">
        <v>3780</v>
      </c>
      <c r="N116" s="65">
        <f aca="true" t="shared" si="31" ref="N116:N122">M116*0.2</f>
        <v>756</v>
      </c>
      <c r="O116" s="255">
        <f aca="true" t="shared" si="32" ref="O116:O127">SUM(M116:N116)</f>
        <v>4536</v>
      </c>
      <c r="P116" s="68">
        <f aca="true" t="shared" si="33" ref="P116:P122">M116*0.65</f>
        <v>2457</v>
      </c>
      <c r="Q116" s="68">
        <f aca="true" t="shared" si="34" ref="Q116:Q122">N116*0.65</f>
        <v>491.40000000000003</v>
      </c>
      <c r="R116" s="255">
        <f aca="true" t="shared" si="35" ref="R116:R122">O116*0.65</f>
        <v>2948.4</v>
      </c>
      <c r="S116" s="541"/>
      <c r="T116" s="541"/>
      <c r="U116" s="21" t="s">
        <v>44</v>
      </c>
    </row>
    <row r="117" spans="1:20" s="21" customFormat="1" ht="22.5">
      <c r="A117" s="99" t="s">
        <v>252</v>
      </c>
      <c r="B117" s="62"/>
      <c r="C117" s="232" t="s">
        <v>256</v>
      </c>
      <c r="D117" s="109"/>
      <c r="E117" s="109" t="s">
        <v>54</v>
      </c>
      <c r="F117" s="111" t="s">
        <v>63</v>
      </c>
      <c r="G117" s="112">
        <v>38653</v>
      </c>
      <c r="H117" s="113">
        <v>38656</v>
      </c>
      <c r="I117" s="116" t="s">
        <v>61</v>
      </c>
      <c r="J117" s="12">
        <v>3780</v>
      </c>
      <c r="K117" s="12">
        <f aca="true" t="shared" si="36" ref="K117:K122">J117*20%</f>
        <v>756</v>
      </c>
      <c r="L117" s="271">
        <f aca="true" t="shared" si="37" ref="L117:L122">SUM(J117:K117)</f>
        <v>4536</v>
      </c>
      <c r="M117" s="12">
        <v>3780</v>
      </c>
      <c r="N117" s="65">
        <f t="shared" si="31"/>
        <v>756</v>
      </c>
      <c r="O117" s="255">
        <f t="shared" si="32"/>
        <v>4536</v>
      </c>
      <c r="P117" s="68">
        <f t="shared" si="33"/>
        <v>2457</v>
      </c>
      <c r="Q117" s="68">
        <f t="shared" si="34"/>
        <v>491.40000000000003</v>
      </c>
      <c r="R117" s="255">
        <f t="shared" si="35"/>
        <v>2948.4</v>
      </c>
      <c r="S117" s="541"/>
      <c r="T117" s="541"/>
    </row>
    <row r="118" spans="1:20" s="21" customFormat="1" ht="22.5">
      <c r="A118" s="99" t="s">
        <v>252</v>
      </c>
      <c r="B118" s="62"/>
      <c r="C118" s="232" t="s">
        <v>256</v>
      </c>
      <c r="D118" s="109"/>
      <c r="E118" s="109" t="s">
        <v>55</v>
      </c>
      <c r="F118" s="111" t="s">
        <v>64</v>
      </c>
      <c r="G118" s="112">
        <v>38653</v>
      </c>
      <c r="H118" s="113">
        <v>38656</v>
      </c>
      <c r="I118" s="116" t="s">
        <v>61</v>
      </c>
      <c r="J118" s="12">
        <v>3780</v>
      </c>
      <c r="K118" s="12">
        <f t="shared" si="36"/>
        <v>756</v>
      </c>
      <c r="L118" s="271">
        <f t="shared" si="37"/>
        <v>4536</v>
      </c>
      <c r="M118" s="12">
        <v>3780</v>
      </c>
      <c r="N118" s="65">
        <f t="shared" si="31"/>
        <v>756</v>
      </c>
      <c r="O118" s="255">
        <f t="shared" si="32"/>
        <v>4536</v>
      </c>
      <c r="P118" s="68">
        <f t="shared" si="33"/>
        <v>2457</v>
      </c>
      <c r="Q118" s="68">
        <f t="shared" si="34"/>
        <v>491.40000000000003</v>
      </c>
      <c r="R118" s="255">
        <f t="shared" si="35"/>
        <v>2948.4</v>
      </c>
      <c r="S118" s="541"/>
      <c r="T118" s="541"/>
    </row>
    <row r="119" spans="1:20" s="21" customFormat="1" ht="27" customHeight="1">
      <c r="A119" s="99" t="s">
        <v>252</v>
      </c>
      <c r="B119" s="62"/>
      <c r="C119" s="232" t="s">
        <v>256</v>
      </c>
      <c r="D119" s="109"/>
      <c r="E119" s="109" t="s">
        <v>56</v>
      </c>
      <c r="F119" s="111"/>
      <c r="G119" s="112"/>
      <c r="H119" s="113">
        <v>38656</v>
      </c>
      <c r="I119" s="116" t="s">
        <v>61</v>
      </c>
      <c r="J119" s="12">
        <v>3780</v>
      </c>
      <c r="K119" s="12"/>
      <c r="L119" s="271">
        <f t="shared" si="37"/>
        <v>3780</v>
      </c>
      <c r="M119" s="12">
        <v>3780</v>
      </c>
      <c r="N119" s="65">
        <f t="shared" si="31"/>
        <v>756</v>
      </c>
      <c r="O119" s="255">
        <f t="shared" si="32"/>
        <v>4536</v>
      </c>
      <c r="P119" s="68">
        <f t="shared" si="33"/>
        <v>2457</v>
      </c>
      <c r="Q119" s="68">
        <f t="shared" si="34"/>
        <v>491.40000000000003</v>
      </c>
      <c r="R119" s="255">
        <f t="shared" si="35"/>
        <v>2948.4</v>
      </c>
      <c r="S119" s="541"/>
      <c r="T119" s="541"/>
    </row>
    <row r="120" spans="1:20" s="21" customFormat="1" ht="22.5">
      <c r="A120" s="99" t="s">
        <v>252</v>
      </c>
      <c r="B120" s="62"/>
      <c r="C120" s="232" t="s">
        <v>256</v>
      </c>
      <c r="D120" s="109"/>
      <c r="E120" s="109" t="s">
        <v>57</v>
      </c>
      <c r="F120" s="111" t="s">
        <v>62</v>
      </c>
      <c r="G120" s="112">
        <v>38656</v>
      </c>
      <c r="H120" s="113">
        <v>38656</v>
      </c>
      <c r="I120" s="116" t="s">
        <v>61</v>
      </c>
      <c r="J120" s="12">
        <v>1188</v>
      </c>
      <c r="K120" s="12">
        <f t="shared" si="36"/>
        <v>237.60000000000002</v>
      </c>
      <c r="L120" s="271">
        <f t="shared" si="37"/>
        <v>1425.6</v>
      </c>
      <c r="M120" s="12">
        <v>1188</v>
      </c>
      <c r="N120" s="65">
        <f t="shared" si="31"/>
        <v>237.60000000000002</v>
      </c>
      <c r="O120" s="255">
        <f t="shared" si="32"/>
        <v>1425.6</v>
      </c>
      <c r="P120" s="68">
        <f t="shared" si="33"/>
        <v>772.2</v>
      </c>
      <c r="Q120" s="68">
        <f t="shared" si="34"/>
        <v>154.44000000000003</v>
      </c>
      <c r="R120" s="255">
        <f t="shared" si="35"/>
        <v>926.64</v>
      </c>
      <c r="S120" s="540"/>
      <c r="T120" s="540"/>
    </row>
    <row r="121" spans="1:20" s="21" customFormat="1" ht="22.5">
      <c r="A121" s="99" t="s">
        <v>252</v>
      </c>
      <c r="B121" s="62"/>
      <c r="C121" s="232" t="s">
        <v>256</v>
      </c>
      <c r="D121" s="109"/>
      <c r="E121" s="109" t="s">
        <v>58</v>
      </c>
      <c r="F121" s="114">
        <v>7</v>
      </c>
      <c r="G121" s="112">
        <v>38649</v>
      </c>
      <c r="H121" s="113">
        <v>38656</v>
      </c>
      <c r="I121" s="116" t="s">
        <v>61</v>
      </c>
      <c r="J121" s="115">
        <v>1890</v>
      </c>
      <c r="K121" s="115">
        <f t="shared" si="36"/>
        <v>378</v>
      </c>
      <c r="L121" s="271">
        <f t="shared" si="37"/>
        <v>2268</v>
      </c>
      <c r="M121" s="115">
        <v>1890</v>
      </c>
      <c r="N121" s="65">
        <f t="shared" si="31"/>
        <v>378</v>
      </c>
      <c r="O121" s="255">
        <f>SUM(M121:N121)</f>
        <v>2268</v>
      </c>
      <c r="P121" s="68">
        <f t="shared" si="33"/>
        <v>1228.5</v>
      </c>
      <c r="Q121" s="68">
        <f t="shared" si="34"/>
        <v>245.70000000000002</v>
      </c>
      <c r="R121" s="255">
        <f t="shared" si="35"/>
        <v>1474.2</v>
      </c>
      <c r="S121" s="541" t="s">
        <v>740</v>
      </c>
      <c r="T121" s="541"/>
    </row>
    <row r="122" spans="1:20" s="21" customFormat="1" ht="22.5">
      <c r="A122" s="99" t="s">
        <v>252</v>
      </c>
      <c r="B122" s="194"/>
      <c r="C122" s="232" t="s">
        <v>256</v>
      </c>
      <c r="D122" s="195"/>
      <c r="E122" s="195" t="s">
        <v>59</v>
      </c>
      <c r="F122" s="196">
        <v>7</v>
      </c>
      <c r="G122" s="197">
        <v>38649</v>
      </c>
      <c r="H122" s="198">
        <v>38656</v>
      </c>
      <c r="I122" s="199" t="s">
        <v>61</v>
      </c>
      <c r="J122" s="200">
        <v>1890</v>
      </c>
      <c r="K122" s="200">
        <f t="shared" si="36"/>
        <v>378</v>
      </c>
      <c r="L122" s="272">
        <f t="shared" si="37"/>
        <v>2268</v>
      </c>
      <c r="M122" s="200">
        <v>1890</v>
      </c>
      <c r="N122" s="201">
        <f t="shared" si="31"/>
        <v>378</v>
      </c>
      <c r="O122" s="260">
        <f t="shared" si="32"/>
        <v>2268</v>
      </c>
      <c r="P122" s="152">
        <f t="shared" si="33"/>
        <v>1228.5</v>
      </c>
      <c r="Q122" s="152">
        <f t="shared" si="34"/>
        <v>245.70000000000002</v>
      </c>
      <c r="R122" s="260">
        <f t="shared" si="35"/>
        <v>1474.2</v>
      </c>
      <c r="S122" s="541" t="s">
        <v>465</v>
      </c>
      <c r="T122" s="541"/>
    </row>
    <row r="123" spans="1:20" s="21" customFormat="1" ht="22.5">
      <c r="A123" s="99" t="s">
        <v>252</v>
      </c>
      <c r="B123" s="62"/>
      <c r="C123" s="139" t="s">
        <v>205</v>
      </c>
      <c r="D123" s="203" t="s">
        <v>207</v>
      </c>
      <c r="E123" s="114" t="s">
        <v>211</v>
      </c>
      <c r="F123" s="204">
        <v>7</v>
      </c>
      <c r="G123" s="205">
        <v>38446</v>
      </c>
      <c r="H123" s="205">
        <v>38471</v>
      </c>
      <c r="I123" s="210" t="s">
        <v>212</v>
      </c>
      <c r="J123" s="206">
        <v>3120</v>
      </c>
      <c r="K123" s="455">
        <v>624</v>
      </c>
      <c r="L123" s="273">
        <f>SUM(J123:K123)</f>
        <v>3744</v>
      </c>
      <c r="M123" s="206"/>
      <c r="N123" s="65">
        <f>M123*0.2</f>
        <v>0</v>
      </c>
      <c r="O123" s="255">
        <f t="shared" si="32"/>
        <v>0</v>
      </c>
      <c r="P123" s="68"/>
      <c r="Q123" s="68"/>
      <c r="R123" s="255"/>
      <c r="S123" s="521" t="s">
        <v>482</v>
      </c>
      <c r="T123" s="522"/>
    </row>
    <row r="124" spans="1:20" s="21" customFormat="1" ht="22.5">
      <c r="A124" s="99" t="s">
        <v>252</v>
      </c>
      <c r="B124" s="62"/>
      <c r="C124" s="139" t="s">
        <v>205</v>
      </c>
      <c r="D124" s="203" t="s">
        <v>207</v>
      </c>
      <c r="E124" s="114" t="s">
        <v>211</v>
      </c>
      <c r="F124" s="204">
        <v>13</v>
      </c>
      <c r="G124" s="205">
        <v>38628</v>
      </c>
      <c r="H124" s="205">
        <v>38644</v>
      </c>
      <c r="I124" s="210" t="s">
        <v>213</v>
      </c>
      <c r="J124" s="206">
        <v>4160</v>
      </c>
      <c r="K124" s="455">
        <v>832</v>
      </c>
      <c r="L124" s="273">
        <f>J124+K124</f>
        <v>4992</v>
      </c>
      <c r="M124" s="206">
        <v>4160</v>
      </c>
      <c r="N124" s="456">
        <f>M124*0.2</f>
        <v>832</v>
      </c>
      <c r="O124" s="255">
        <f t="shared" si="32"/>
        <v>4992</v>
      </c>
      <c r="P124" s="152">
        <f aca="true" t="shared" si="38" ref="P124:R127">M124*0.65</f>
        <v>2704</v>
      </c>
      <c r="Q124" s="457">
        <f t="shared" si="38"/>
        <v>540.8000000000001</v>
      </c>
      <c r="R124" s="260">
        <f t="shared" si="38"/>
        <v>3244.8</v>
      </c>
      <c r="S124" s="541"/>
      <c r="T124" s="541"/>
    </row>
    <row r="125" spans="1:20" s="21" customFormat="1" ht="22.5">
      <c r="A125" s="99" t="s">
        <v>252</v>
      </c>
      <c r="B125" s="62"/>
      <c r="C125" s="139" t="s">
        <v>205</v>
      </c>
      <c r="D125" s="203" t="s">
        <v>208</v>
      </c>
      <c r="E125" s="114" t="s">
        <v>214</v>
      </c>
      <c r="F125" s="208" t="s">
        <v>215</v>
      </c>
      <c r="G125" s="209">
        <v>38443</v>
      </c>
      <c r="H125" s="205">
        <v>38511</v>
      </c>
      <c r="I125" s="210" t="s">
        <v>216</v>
      </c>
      <c r="J125" s="206">
        <v>2400</v>
      </c>
      <c r="K125" s="207"/>
      <c r="L125" s="273">
        <f>J125+K125</f>
        <v>2400</v>
      </c>
      <c r="M125" s="206">
        <v>2400</v>
      </c>
      <c r="N125" s="65"/>
      <c r="O125" s="255">
        <f t="shared" si="32"/>
        <v>2400</v>
      </c>
      <c r="P125" s="152">
        <f t="shared" si="38"/>
        <v>1560</v>
      </c>
      <c r="Q125" s="152">
        <f t="shared" si="38"/>
        <v>0</v>
      </c>
      <c r="R125" s="260">
        <f t="shared" si="38"/>
        <v>1560</v>
      </c>
      <c r="S125" s="580" t="s">
        <v>475</v>
      </c>
      <c r="T125" s="581"/>
    </row>
    <row r="126" spans="1:20" s="21" customFormat="1" ht="22.5">
      <c r="A126" s="99" t="s">
        <v>252</v>
      </c>
      <c r="B126" s="62"/>
      <c r="C126" s="139" t="s">
        <v>205</v>
      </c>
      <c r="D126" s="203" t="s">
        <v>209</v>
      </c>
      <c r="E126" s="114" t="s">
        <v>214</v>
      </c>
      <c r="F126" s="208" t="s">
        <v>215</v>
      </c>
      <c r="G126" s="209">
        <v>38443</v>
      </c>
      <c r="H126" s="205">
        <v>38511</v>
      </c>
      <c r="I126" s="210" t="s">
        <v>216</v>
      </c>
      <c r="J126" s="206">
        <v>1200</v>
      </c>
      <c r="K126" s="207"/>
      <c r="L126" s="273">
        <f>J126+K126</f>
        <v>1200</v>
      </c>
      <c r="M126" s="206">
        <v>1200</v>
      </c>
      <c r="N126" s="65"/>
      <c r="O126" s="255">
        <f t="shared" si="32"/>
        <v>1200</v>
      </c>
      <c r="P126" s="152">
        <f t="shared" si="38"/>
        <v>780</v>
      </c>
      <c r="Q126" s="152">
        <f t="shared" si="38"/>
        <v>0</v>
      </c>
      <c r="R126" s="260">
        <f t="shared" si="38"/>
        <v>780</v>
      </c>
      <c r="S126" s="582"/>
      <c r="T126" s="583"/>
    </row>
    <row r="127" spans="1:20" s="21" customFormat="1" ht="22.5">
      <c r="A127" s="99" t="s">
        <v>252</v>
      </c>
      <c r="B127" s="62"/>
      <c r="C127" s="139" t="s">
        <v>205</v>
      </c>
      <c r="D127" s="203" t="s">
        <v>210</v>
      </c>
      <c r="E127" s="114" t="s">
        <v>214</v>
      </c>
      <c r="F127" s="208" t="s">
        <v>215</v>
      </c>
      <c r="G127" s="209">
        <v>38504</v>
      </c>
      <c r="H127" s="205">
        <v>38551</v>
      </c>
      <c r="I127" s="210" t="s">
        <v>217</v>
      </c>
      <c r="J127" s="206">
        <v>3000</v>
      </c>
      <c r="K127" s="207"/>
      <c r="L127" s="273">
        <f>J127+K127</f>
        <v>3000</v>
      </c>
      <c r="M127" s="206">
        <v>3000</v>
      </c>
      <c r="N127" s="65"/>
      <c r="O127" s="255">
        <f t="shared" si="32"/>
        <v>3000</v>
      </c>
      <c r="P127" s="152">
        <f t="shared" si="38"/>
        <v>1950</v>
      </c>
      <c r="Q127" s="152">
        <f t="shared" si="38"/>
        <v>0</v>
      </c>
      <c r="R127" s="255">
        <f t="shared" si="38"/>
        <v>1950</v>
      </c>
      <c r="S127" s="584"/>
      <c r="T127" s="585"/>
    </row>
    <row r="128" spans="1:20" s="382" customFormat="1" ht="11.25">
      <c r="A128" s="379" t="s">
        <v>273</v>
      </c>
      <c r="B128" s="381"/>
      <c r="C128" s="246" t="s">
        <v>479</v>
      </c>
      <c r="D128" s="357"/>
      <c r="E128" s="357"/>
      <c r="F128" s="246"/>
      <c r="G128" s="394"/>
      <c r="H128" s="394"/>
      <c r="I128" s="358"/>
      <c r="J128" s="236"/>
      <c r="K128" s="236"/>
      <c r="L128" s="255"/>
      <c r="M128" s="236">
        <f>SUM(M115:M127)-M114</f>
        <v>-9450</v>
      </c>
      <c r="N128" s="236">
        <f>SUM(N115:N127)-N114</f>
        <v>-1890</v>
      </c>
      <c r="O128" s="255">
        <f>+N128+M128</f>
        <v>-11340</v>
      </c>
      <c r="P128" s="236">
        <f>SUM(P115:P127)-P114</f>
        <v>-6142.5</v>
      </c>
      <c r="Q128" s="236">
        <f>SUM(Q115:Q127)-Q114</f>
        <v>-1228.500000000001</v>
      </c>
      <c r="R128" s="256">
        <f>+Q128+P128</f>
        <v>-7371.000000000001</v>
      </c>
      <c r="S128" s="586"/>
      <c r="T128" s="586"/>
    </row>
    <row r="129" spans="1:20" s="401" customFormat="1" ht="22.5" customHeight="1">
      <c r="A129" s="99" t="s">
        <v>273</v>
      </c>
      <c r="B129" s="100"/>
      <c r="C129" s="452" t="s">
        <v>256</v>
      </c>
      <c r="D129" s="102" t="s">
        <v>589</v>
      </c>
      <c r="E129" s="102" t="s">
        <v>590</v>
      </c>
      <c r="F129" s="101" t="s">
        <v>591</v>
      </c>
      <c r="G129" s="103">
        <v>38817</v>
      </c>
      <c r="H129" s="103">
        <v>38876</v>
      </c>
      <c r="I129" s="104" t="s">
        <v>61</v>
      </c>
      <c r="J129" s="68">
        <v>1684.8</v>
      </c>
      <c r="K129" s="68">
        <v>336.96</v>
      </c>
      <c r="L129" s="255">
        <v>2021.76</v>
      </c>
      <c r="M129" s="68"/>
      <c r="N129" s="68"/>
      <c r="O129" s="255"/>
      <c r="P129" s="68"/>
      <c r="Q129" s="68"/>
      <c r="R129" s="256"/>
      <c r="S129" s="519" t="s">
        <v>738</v>
      </c>
      <c r="T129" s="520"/>
    </row>
    <row r="130" spans="1:20" s="401" customFormat="1" ht="22.5" customHeight="1">
      <c r="A130" s="99" t="s">
        <v>635</v>
      </c>
      <c r="B130" s="100"/>
      <c r="C130" s="232" t="s">
        <v>256</v>
      </c>
      <c r="D130" s="102" t="s">
        <v>692</v>
      </c>
      <c r="E130" s="102" t="s">
        <v>693</v>
      </c>
      <c r="F130" s="101" t="s">
        <v>694</v>
      </c>
      <c r="G130" s="103">
        <v>38884</v>
      </c>
      <c r="H130" s="103">
        <v>39023</v>
      </c>
      <c r="I130" s="104" t="s">
        <v>78</v>
      </c>
      <c r="J130" s="68">
        <v>1404</v>
      </c>
      <c r="K130" s="68">
        <v>280.8</v>
      </c>
      <c r="L130" s="255">
        <v>1684.8</v>
      </c>
      <c r="M130" s="68">
        <v>1404</v>
      </c>
      <c r="N130" s="68">
        <v>280.8</v>
      </c>
      <c r="O130" s="255">
        <v>1684.8</v>
      </c>
      <c r="P130" s="152">
        <f>M130*0.65</f>
        <v>912.6</v>
      </c>
      <c r="Q130" s="152">
        <f>N130*0.65</f>
        <v>182.52</v>
      </c>
      <c r="R130" s="255">
        <f>O130*0.65</f>
        <v>1095.1200000000001</v>
      </c>
      <c r="S130" s="519"/>
      <c r="T130" s="520"/>
    </row>
    <row r="131" spans="1:20" s="401" customFormat="1" ht="52.5" customHeight="1">
      <c r="A131" s="99" t="s">
        <v>635</v>
      </c>
      <c r="B131" s="100"/>
      <c r="C131" s="9" t="s">
        <v>152</v>
      </c>
      <c r="D131" s="102"/>
      <c r="E131" s="102" t="s">
        <v>696</v>
      </c>
      <c r="F131" s="101">
        <v>1</v>
      </c>
      <c r="G131" s="103">
        <v>38989</v>
      </c>
      <c r="H131" s="103">
        <v>38981</v>
      </c>
      <c r="I131" s="104"/>
      <c r="J131" s="68">
        <v>8062.26</v>
      </c>
      <c r="K131" s="68">
        <v>1612.45</v>
      </c>
      <c r="L131" s="255">
        <v>9674.71</v>
      </c>
      <c r="M131" s="68"/>
      <c r="N131" s="68"/>
      <c r="O131" s="255"/>
      <c r="P131" s="68"/>
      <c r="Q131" s="68"/>
      <c r="R131" s="256"/>
      <c r="S131" s="519" t="s">
        <v>735</v>
      </c>
      <c r="T131" s="520"/>
    </row>
    <row r="132" spans="1:20" s="401" customFormat="1" ht="22.5" customHeight="1">
      <c r="A132" s="99" t="s">
        <v>635</v>
      </c>
      <c r="B132" s="100"/>
      <c r="C132" s="9" t="s">
        <v>65</v>
      </c>
      <c r="D132" s="102" t="s">
        <v>697</v>
      </c>
      <c r="E132" s="102" t="s">
        <v>693</v>
      </c>
      <c r="F132" s="101">
        <v>2</v>
      </c>
      <c r="G132" s="103">
        <v>38393</v>
      </c>
      <c r="H132" s="103"/>
      <c r="I132" s="104"/>
      <c r="J132" s="68">
        <v>40</v>
      </c>
      <c r="K132" s="68">
        <v>8</v>
      </c>
      <c r="L132" s="255">
        <v>48</v>
      </c>
      <c r="M132" s="68">
        <v>40</v>
      </c>
      <c r="N132" s="68">
        <v>8</v>
      </c>
      <c r="O132" s="255">
        <v>48</v>
      </c>
      <c r="P132" s="152">
        <f aca="true" t="shared" si="39" ref="P132:R133">M132*0.65</f>
        <v>26</v>
      </c>
      <c r="Q132" s="152">
        <f t="shared" si="39"/>
        <v>5.2</v>
      </c>
      <c r="R132" s="260">
        <f t="shared" si="39"/>
        <v>31.200000000000003</v>
      </c>
      <c r="S132" s="519"/>
      <c r="T132" s="520"/>
    </row>
    <row r="133" spans="1:20" s="401" customFormat="1" ht="22.5" customHeight="1">
      <c r="A133" s="99" t="s">
        <v>635</v>
      </c>
      <c r="B133" s="99" t="s">
        <v>729</v>
      </c>
      <c r="C133" s="9" t="s">
        <v>65</v>
      </c>
      <c r="D133" s="102" t="s">
        <v>698</v>
      </c>
      <c r="E133" s="102" t="s">
        <v>693</v>
      </c>
      <c r="F133" s="101">
        <v>19</v>
      </c>
      <c r="G133" s="103">
        <v>38537</v>
      </c>
      <c r="H133" s="103">
        <v>38558</v>
      </c>
      <c r="I133" s="104" t="s">
        <v>82</v>
      </c>
      <c r="J133" s="68">
        <v>250</v>
      </c>
      <c r="K133" s="68">
        <v>50</v>
      </c>
      <c r="L133" s="255">
        <v>300</v>
      </c>
      <c r="M133" s="68">
        <v>250</v>
      </c>
      <c r="N133" s="68">
        <v>50</v>
      </c>
      <c r="O133" s="255">
        <v>300</v>
      </c>
      <c r="P133" s="152">
        <f t="shared" si="39"/>
        <v>162.5</v>
      </c>
      <c r="Q133" s="152">
        <f t="shared" si="39"/>
        <v>32.5</v>
      </c>
      <c r="R133" s="260">
        <f t="shared" si="39"/>
        <v>195</v>
      </c>
      <c r="S133" s="519"/>
      <c r="T133" s="520"/>
    </row>
    <row r="134" spans="1:20" s="401" customFormat="1" ht="76.5" customHeight="1">
      <c r="A134" s="99" t="s">
        <v>635</v>
      </c>
      <c r="B134" s="100"/>
      <c r="C134" s="9" t="s">
        <v>83</v>
      </c>
      <c r="D134" s="102" t="s">
        <v>720</v>
      </c>
      <c r="E134" s="102" t="s">
        <v>721</v>
      </c>
      <c r="F134" s="101">
        <v>37</v>
      </c>
      <c r="G134" s="103">
        <v>38880</v>
      </c>
      <c r="H134" s="103">
        <v>38880</v>
      </c>
      <c r="I134" s="104" t="s">
        <v>640</v>
      </c>
      <c r="J134" s="68">
        <v>1342.19</v>
      </c>
      <c r="K134" s="68">
        <v>268.44</v>
      </c>
      <c r="L134" s="255">
        <v>1610.63</v>
      </c>
      <c r="M134" s="68"/>
      <c r="N134" s="68"/>
      <c r="O134" s="255"/>
      <c r="P134" s="68"/>
      <c r="Q134" s="68"/>
      <c r="R134" s="255"/>
      <c r="S134" s="519" t="s">
        <v>731</v>
      </c>
      <c r="T134" s="520"/>
    </row>
    <row r="135" spans="1:20" s="401" customFormat="1" ht="22.5" customHeight="1">
      <c r="A135" s="99" t="s">
        <v>635</v>
      </c>
      <c r="B135" s="100"/>
      <c r="C135" s="9" t="s">
        <v>83</v>
      </c>
      <c r="D135" s="102" t="s">
        <v>722</v>
      </c>
      <c r="E135" s="102" t="s">
        <v>721</v>
      </c>
      <c r="F135" s="101">
        <v>97</v>
      </c>
      <c r="G135" s="103">
        <v>39010</v>
      </c>
      <c r="H135" s="103">
        <v>39021</v>
      </c>
      <c r="I135" s="104" t="s">
        <v>82</v>
      </c>
      <c r="J135" s="68">
        <v>1297.8</v>
      </c>
      <c r="K135" s="68">
        <v>259.56</v>
      </c>
      <c r="L135" s="255">
        <v>1557.36</v>
      </c>
      <c r="M135" s="68"/>
      <c r="N135" s="68"/>
      <c r="O135" s="255"/>
      <c r="P135" s="68"/>
      <c r="Q135" s="68"/>
      <c r="R135" s="256"/>
      <c r="S135" s="519" t="s">
        <v>732</v>
      </c>
      <c r="T135" s="520"/>
    </row>
    <row r="136" spans="1:20" s="401" customFormat="1" ht="22.5" customHeight="1">
      <c r="A136" s="99" t="s">
        <v>635</v>
      </c>
      <c r="B136" s="100"/>
      <c r="C136" s="452" t="s">
        <v>256</v>
      </c>
      <c r="D136" s="102" t="s">
        <v>589</v>
      </c>
      <c r="E136" s="102" t="s">
        <v>590</v>
      </c>
      <c r="F136" s="101" t="s">
        <v>591</v>
      </c>
      <c r="G136" s="103">
        <v>38817</v>
      </c>
      <c r="H136" s="103">
        <v>38876</v>
      </c>
      <c r="I136" s="104" t="s">
        <v>61</v>
      </c>
      <c r="J136" s="68">
        <v>1684.8</v>
      </c>
      <c r="K136" s="68">
        <v>336.96</v>
      </c>
      <c r="L136" s="255">
        <v>2021.76</v>
      </c>
      <c r="M136" s="68">
        <v>1684.8</v>
      </c>
      <c r="N136" s="68">
        <v>336.96</v>
      </c>
      <c r="O136" s="255">
        <v>2021.76</v>
      </c>
      <c r="P136" s="152">
        <f aca="true" t="shared" si="40" ref="P136:R139">M136*0.65</f>
        <v>1095.1200000000001</v>
      </c>
      <c r="Q136" s="152">
        <f t="shared" si="40"/>
        <v>219.024</v>
      </c>
      <c r="R136" s="255">
        <f t="shared" si="40"/>
        <v>1314.144</v>
      </c>
      <c r="S136" s="519" t="s">
        <v>739</v>
      </c>
      <c r="T136" s="520"/>
    </row>
    <row r="137" spans="1:20" s="401" customFormat="1" ht="22.5" customHeight="1">
      <c r="A137" s="99" t="s">
        <v>635</v>
      </c>
      <c r="B137" s="100"/>
      <c r="C137" s="139" t="s">
        <v>205</v>
      </c>
      <c r="D137" s="102" t="s">
        <v>747</v>
      </c>
      <c r="E137" s="102" t="s">
        <v>748</v>
      </c>
      <c r="F137" s="101" t="s">
        <v>749</v>
      </c>
      <c r="G137" s="103">
        <v>38863</v>
      </c>
      <c r="H137" s="103">
        <v>38887</v>
      </c>
      <c r="I137" s="104" t="s">
        <v>78</v>
      </c>
      <c r="J137" s="68">
        <v>252</v>
      </c>
      <c r="K137" s="68"/>
      <c r="L137" s="255">
        <v>252</v>
      </c>
      <c r="M137" s="68">
        <v>252</v>
      </c>
      <c r="N137" s="68"/>
      <c r="O137" s="255">
        <v>252</v>
      </c>
      <c r="P137" s="152">
        <f t="shared" si="40"/>
        <v>163.8</v>
      </c>
      <c r="Q137" s="152">
        <f t="shared" si="40"/>
        <v>0</v>
      </c>
      <c r="R137" s="255">
        <f t="shared" si="40"/>
        <v>163.8</v>
      </c>
      <c r="S137" s="451"/>
      <c r="T137" s="450"/>
    </row>
    <row r="138" spans="1:20" s="401" customFormat="1" ht="22.5" customHeight="1">
      <c r="A138" s="99" t="s">
        <v>635</v>
      </c>
      <c r="B138" s="100"/>
      <c r="C138" s="139" t="s">
        <v>205</v>
      </c>
      <c r="D138" s="102" t="s">
        <v>747</v>
      </c>
      <c r="E138" s="102" t="s">
        <v>750</v>
      </c>
      <c r="F138" s="101" t="s">
        <v>749</v>
      </c>
      <c r="G138" s="103">
        <v>38862</v>
      </c>
      <c r="H138" s="103">
        <v>38887</v>
      </c>
      <c r="I138" s="104" t="s">
        <v>78</v>
      </c>
      <c r="J138" s="68">
        <v>720</v>
      </c>
      <c r="K138" s="68"/>
      <c r="L138" s="255">
        <v>720</v>
      </c>
      <c r="M138" s="68">
        <v>720</v>
      </c>
      <c r="N138" s="68"/>
      <c r="O138" s="255">
        <v>720</v>
      </c>
      <c r="P138" s="152">
        <f t="shared" si="40"/>
        <v>468</v>
      </c>
      <c r="Q138" s="152">
        <f t="shared" si="40"/>
        <v>0</v>
      </c>
      <c r="R138" s="255">
        <f t="shared" si="40"/>
        <v>468</v>
      </c>
      <c r="S138" s="451"/>
      <c r="T138" s="450"/>
    </row>
    <row r="139" spans="1:20" s="401" customFormat="1" ht="22.5" customHeight="1">
      <c r="A139" s="99" t="s">
        <v>635</v>
      </c>
      <c r="B139" s="100"/>
      <c r="C139" s="139" t="s">
        <v>205</v>
      </c>
      <c r="D139" s="102" t="s">
        <v>751</v>
      </c>
      <c r="E139" s="102" t="s">
        <v>752</v>
      </c>
      <c r="F139" s="101" t="s">
        <v>753</v>
      </c>
      <c r="G139" s="103">
        <v>38930</v>
      </c>
      <c r="H139" s="103">
        <v>38930</v>
      </c>
      <c r="I139" s="104" t="s">
        <v>78</v>
      </c>
      <c r="J139" s="68">
        <v>3105</v>
      </c>
      <c r="K139" s="68"/>
      <c r="L139" s="255">
        <v>3105</v>
      </c>
      <c r="M139" s="68">
        <v>3105</v>
      </c>
      <c r="N139" s="68"/>
      <c r="O139" s="255">
        <v>3105</v>
      </c>
      <c r="P139" s="152">
        <f t="shared" si="40"/>
        <v>2018.25</v>
      </c>
      <c r="Q139" s="152">
        <f t="shared" si="40"/>
        <v>0</v>
      </c>
      <c r="R139" s="255">
        <f t="shared" si="40"/>
        <v>2018.25</v>
      </c>
      <c r="S139" s="451"/>
      <c r="T139" s="450"/>
    </row>
    <row r="140" spans="1:20" s="401" customFormat="1" ht="22.5" customHeight="1">
      <c r="A140" s="99" t="s">
        <v>635</v>
      </c>
      <c r="B140" s="100"/>
      <c r="C140" s="106" t="s">
        <v>205</v>
      </c>
      <c r="D140" s="102" t="s">
        <v>778</v>
      </c>
      <c r="E140" s="102" t="s">
        <v>779</v>
      </c>
      <c r="F140" s="101">
        <v>2</v>
      </c>
      <c r="G140" s="103">
        <v>38709</v>
      </c>
      <c r="H140" s="103">
        <v>38744</v>
      </c>
      <c r="I140" s="104" t="s">
        <v>78</v>
      </c>
      <c r="J140" s="68">
        <v>1250</v>
      </c>
      <c r="K140" s="68">
        <v>250</v>
      </c>
      <c r="L140" s="255">
        <v>1500</v>
      </c>
      <c r="M140" s="68">
        <v>1250</v>
      </c>
      <c r="N140" s="68"/>
      <c r="O140" s="255">
        <f aca="true" t="shared" si="41" ref="O140:O145">+N140+M140</f>
        <v>1250</v>
      </c>
      <c r="P140" s="152">
        <f aca="true" t="shared" si="42" ref="P140:R145">M140*0.65</f>
        <v>812.5</v>
      </c>
      <c r="Q140" s="152">
        <f t="shared" si="42"/>
        <v>0</v>
      </c>
      <c r="R140" s="255">
        <f t="shared" si="42"/>
        <v>812.5</v>
      </c>
      <c r="S140" s="451"/>
      <c r="T140" s="450"/>
    </row>
    <row r="141" spans="1:20" s="401" customFormat="1" ht="22.5" customHeight="1">
      <c r="A141" s="99" t="s">
        <v>635</v>
      </c>
      <c r="B141" s="100"/>
      <c r="C141" s="106" t="s">
        <v>205</v>
      </c>
      <c r="D141" s="102" t="s">
        <v>780</v>
      </c>
      <c r="E141" s="102" t="s">
        <v>781</v>
      </c>
      <c r="F141" s="101">
        <v>10</v>
      </c>
      <c r="G141" s="103">
        <v>38441</v>
      </c>
      <c r="H141" s="103">
        <v>38744</v>
      </c>
      <c r="I141" s="104" t="s">
        <v>78</v>
      </c>
      <c r="J141" s="68">
        <v>917.5</v>
      </c>
      <c r="K141" s="68">
        <v>183.5</v>
      </c>
      <c r="L141" s="255">
        <v>1101</v>
      </c>
      <c r="M141" s="68">
        <v>917.5</v>
      </c>
      <c r="N141" s="68"/>
      <c r="O141" s="255">
        <f t="shared" si="41"/>
        <v>917.5</v>
      </c>
      <c r="P141" s="152">
        <f t="shared" si="42"/>
        <v>596.375</v>
      </c>
      <c r="Q141" s="152">
        <f t="shared" si="42"/>
        <v>0</v>
      </c>
      <c r="R141" s="255">
        <f t="shared" si="42"/>
        <v>596.375</v>
      </c>
      <c r="S141" s="451"/>
      <c r="T141" s="450"/>
    </row>
    <row r="142" spans="1:20" s="401" customFormat="1" ht="22.5" customHeight="1">
      <c r="A142" s="99" t="s">
        <v>635</v>
      </c>
      <c r="B142" s="100"/>
      <c r="C142" s="106" t="s">
        <v>205</v>
      </c>
      <c r="D142" s="102" t="s">
        <v>747</v>
      </c>
      <c r="E142" s="102" t="s">
        <v>782</v>
      </c>
      <c r="F142" s="101">
        <v>5</v>
      </c>
      <c r="G142" s="103">
        <v>38755</v>
      </c>
      <c r="H142" s="103">
        <v>38786</v>
      </c>
      <c r="I142" s="104" t="s">
        <v>78</v>
      </c>
      <c r="J142" s="68">
        <v>413.33</v>
      </c>
      <c r="K142" s="68">
        <v>82.67</v>
      </c>
      <c r="L142" s="255">
        <v>496</v>
      </c>
      <c r="M142" s="68">
        <v>413.33</v>
      </c>
      <c r="N142" s="68"/>
      <c r="O142" s="255">
        <f t="shared" si="41"/>
        <v>413.33</v>
      </c>
      <c r="P142" s="152">
        <f t="shared" si="42"/>
        <v>268.6645</v>
      </c>
      <c r="Q142" s="152">
        <f t="shared" si="42"/>
        <v>0</v>
      </c>
      <c r="R142" s="255">
        <f t="shared" si="42"/>
        <v>268.6645</v>
      </c>
      <c r="S142" s="451"/>
      <c r="T142" s="450"/>
    </row>
    <row r="143" spans="1:20" s="401" customFormat="1" ht="22.5" customHeight="1">
      <c r="A143" s="99" t="s">
        <v>635</v>
      </c>
      <c r="B143" s="100"/>
      <c r="C143" s="106" t="s">
        <v>205</v>
      </c>
      <c r="D143" s="102" t="s">
        <v>778</v>
      </c>
      <c r="E143" s="102" t="s">
        <v>785</v>
      </c>
      <c r="F143" s="101" t="s">
        <v>749</v>
      </c>
      <c r="G143" s="103">
        <v>38834</v>
      </c>
      <c r="H143" s="103">
        <v>38840</v>
      </c>
      <c r="I143" s="104" t="s">
        <v>78</v>
      </c>
      <c r="J143" s="68">
        <v>496</v>
      </c>
      <c r="K143" s="68"/>
      <c r="L143" s="255">
        <v>496</v>
      </c>
      <c r="M143" s="68">
        <v>496</v>
      </c>
      <c r="N143" s="68"/>
      <c r="O143" s="255">
        <f t="shared" si="41"/>
        <v>496</v>
      </c>
      <c r="P143" s="152">
        <f t="shared" si="42"/>
        <v>322.40000000000003</v>
      </c>
      <c r="Q143" s="152">
        <f t="shared" si="42"/>
        <v>0</v>
      </c>
      <c r="R143" s="255">
        <f t="shared" si="42"/>
        <v>322.40000000000003</v>
      </c>
      <c r="S143" s="451"/>
      <c r="T143" s="450"/>
    </row>
    <row r="144" spans="1:20" s="401" customFormat="1" ht="22.5" customHeight="1">
      <c r="A144" s="99" t="s">
        <v>635</v>
      </c>
      <c r="B144" s="100"/>
      <c r="C144" s="106" t="s">
        <v>205</v>
      </c>
      <c r="D144" s="102" t="s">
        <v>778</v>
      </c>
      <c r="E144" s="102" t="s">
        <v>786</v>
      </c>
      <c r="F144" s="101" t="s">
        <v>753</v>
      </c>
      <c r="G144" s="103">
        <v>38808</v>
      </c>
      <c r="H144" s="103">
        <v>38868</v>
      </c>
      <c r="I144" s="104" t="s">
        <v>78</v>
      </c>
      <c r="J144" s="68">
        <v>1440</v>
      </c>
      <c r="K144" s="68"/>
      <c r="L144" s="255">
        <v>1440</v>
      </c>
      <c r="M144" s="68">
        <v>1440</v>
      </c>
      <c r="N144" s="68"/>
      <c r="O144" s="255">
        <f t="shared" si="41"/>
        <v>1440</v>
      </c>
      <c r="P144" s="152">
        <f t="shared" si="42"/>
        <v>936</v>
      </c>
      <c r="Q144" s="152">
        <f t="shared" si="42"/>
        <v>0</v>
      </c>
      <c r="R144" s="255">
        <f t="shared" si="42"/>
        <v>936</v>
      </c>
      <c r="S144" s="451"/>
      <c r="T144" s="450"/>
    </row>
    <row r="145" spans="1:20" s="401" customFormat="1" ht="22.5" customHeight="1">
      <c r="A145" s="99" t="s">
        <v>635</v>
      </c>
      <c r="B145" s="100"/>
      <c r="C145" s="106" t="s">
        <v>205</v>
      </c>
      <c r="D145" s="102" t="s">
        <v>778</v>
      </c>
      <c r="E145" s="102" t="s">
        <v>786</v>
      </c>
      <c r="F145" s="101" t="s">
        <v>753</v>
      </c>
      <c r="G145" s="103">
        <v>38838</v>
      </c>
      <c r="H145" s="103">
        <v>38868</v>
      </c>
      <c r="I145" s="104" t="s">
        <v>78</v>
      </c>
      <c r="J145" s="68">
        <v>1440</v>
      </c>
      <c r="K145" s="68"/>
      <c r="L145" s="255">
        <v>1440</v>
      </c>
      <c r="M145" s="68">
        <v>1440</v>
      </c>
      <c r="N145" s="68"/>
      <c r="O145" s="255">
        <f t="shared" si="41"/>
        <v>1440</v>
      </c>
      <c r="P145" s="152">
        <f t="shared" si="42"/>
        <v>936</v>
      </c>
      <c r="Q145" s="152">
        <f t="shared" si="42"/>
        <v>0</v>
      </c>
      <c r="R145" s="255">
        <f t="shared" si="42"/>
        <v>936</v>
      </c>
      <c r="S145" s="451"/>
      <c r="T145" s="450"/>
    </row>
    <row r="146" spans="1:20" s="401" customFormat="1" ht="51.75" customHeight="1">
      <c r="A146" s="99" t="s">
        <v>788</v>
      </c>
      <c r="B146" s="100"/>
      <c r="C146" s="9" t="s">
        <v>83</v>
      </c>
      <c r="D146" s="102" t="s">
        <v>803</v>
      </c>
      <c r="E146" s="102" t="s">
        <v>721</v>
      </c>
      <c r="F146" s="101">
        <v>123</v>
      </c>
      <c r="G146" s="103">
        <v>39069</v>
      </c>
      <c r="H146" s="103">
        <v>39434</v>
      </c>
      <c r="I146" s="104" t="s">
        <v>82</v>
      </c>
      <c r="J146" s="68">
        <v>2575</v>
      </c>
      <c r="K146" s="68">
        <v>515</v>
      </c>
      <c r="L146" s="255">
        <v>3090</v>
      </c>
      <c r="M146" s="68"/>
      <c r="N146" s="68"/>
      <c r="O146" s="255"/>
      <c r="P146" s="152"/>
      <c r="Q146" s="152"/>
      <c r="R146" s="256"/>
      <c r="S146" s="519" t="s">
        <v>827</v>
      </c>
      <c r="T146" s="520"/>
    </row>
    <row r="147" spans="1:20" s="401" customFormat="1" ht="22.5" customHeight="1">
      <c r="A147" s="99" t="s">
        <v>788</v>
      </c>
      <c r="B147" s="100"/>
      <c r="C147" s="9" t="s">
        <v>152</v>
      </c>
      <c r="D147" s="102"/>
      <c r="E147" s="102" t="s">
        <v>819</v>
      </c>
      <c r="F147" s="101">
        <v>16</v>
      </c>
      <c r="G147" s="103">
        <v>39064</v>
      </c>
      <c r="H147" s="103">
        <v>39066</v>
      </c>
      <c r="I147" s="104" t="s">
        <v>448</v>
      </c>
      <c r="J147" s="68">
        <v>4410.02</v>
      </c>
      <c r="K147" s="68">
        <v>882</v>
      </c>
      <c r="L147" s="255">
        <v>5292.02</v>
      </c>
      <c r="M147" s="68"/>
      <c r="N147" s="68"/>
      <c r="O147" s="255"/>
      <c r="P147" s="152"/>
      <c r="Q147" s="152"/>
      <c r="R147" s="256"/>
      <c r="S147" s="519" t="s">
        <v>828</v>
      </c>
      <c r="T147" s="520"/>
    </row>
    <row r="148" spans="1:20" s="401" customFormat="1" ht="22.5" customHeight="1">
      <c r="A148" s="99" t="s">
        <v>788</v>
      </c>
      <c r="B148" s="100"/>
      <c r="C148" s="232" t="s">
        <v>256</v>
      </c>
      <c r="D148" s="109"/>
      <c r="E148" s="109" t="s">
        <v>52</v>
      </c>
      <c r="F148" s="111" t="s">
        <v>60</v>
      </c>
      <c r="G148" s="112">
        <v>38653</v>
      </c>
      <c r="H148" s="113">
        <v>38658</v>
      </c>
      <c r="I148" s="116" t="s">
        <v>61</v>
      </c>
      <c r="J148" s="12">
        <v>9450</v>
      </c>
      <c r="K148" s="12">
        <f>J148*20%</f>
        <v>1890</v>
      </c>
      <c r="L148" s="271">
        <f>SUM(J148:K148)</f>
        <v>11340</v>
      </c>
      <c r="M148" s="12">
        <v>9450</v>
      </c>
      <c r="N148" s="12">
        <f>M148*20%</f>
        <v>1890</v>
      </c>
      <c r="O148" s="271">
        <f>SUM(M148:N148)</f>
        <v>11340</v>
      </c>
      <c r="P148" s="152">
        <f aca="true" t="shared" si="43" ref="P148:R149">M148*0.65</f>
        <v>6142.5</v>
      </c>
      <c r="Q148" s="152">
        <f t="shared" si="43"/>
        <v>1228.5</v>
      </c>
      <c r="R148" s="255">
        <f t="shared" si="43"/>
        <v>7371</v>
      </c>
      <c r="S148" s="519" t="s">
        <v>836</v>
      </c>
      <c r="T148" s="520"/>
    </row>
    <row r="149" spans="1:20" s="401" customFormat="1" ht="11.25">
      <c r="A149" s="480" t="s">
        <v>840</v>
      </c>
      <c r="B149" s="481"/>
      <c r="C149" s="482" t="s">
        <v>477</v>
      </c>
      <c r="D149" s="483"/>
      <c r="E149" s="483"/>
      <c r="F149" s="484"/>
      <c r="G149" s="485"/>
      <c r="H149" s="485"/>
      <c r="I149" s="486"/>
      <c r="J149" s="487">
        <v>55768.08</v>
      </c>
      <c r="K149" s="487">
        <v>11153.61</v>
      </c>
      <c r="L149" s="487">
        <f>+K149+J149</f>
        <v>66921.69</v>
      </c>
      <c r="M149" s="487">
        <v>55768.08</v>
      </c>
      <c r="N149" s="487">
        <v>11153.61</v>
      </c>
      <c r="O149" s="487">
        <f>+N149+M149</f>
        <v>66921.69</v>
      </c>
      <c r="P149" s="488">
        <f t="shared" si="43"/>
        <v>36249.252</v>
      </c>
      <c r="Q149" s="488">
        <f t="shared" si="43"/>
        <v>7249.846500000001</v>
      </c>
      <c r="R149" s="487">
        <f t="shared" si="43"/>
        <v>43499.0985</v>
      </c>
      <c r="S149" s="564" t="s">
        <v>841</v>
      </c>
      <c r="T149" s="565"/>
    </row>
    <row r="150" spans="1:20" s="401" customFormat="1" ht="22.5">
      <c r="A150" s="99" t="s">
        <v>840</v>
      </c>
      <c r="B150" s="100"/>
      <c r="C150" s="9" t="s">
        <v>152</v>
      </c>
      <c r="D150" s="102" t="s">
        <v>845</v>
      </c>
      <c r="E150" s="102" t="s">
        <v>819</v>
      </c>
      <c r="F150" s="101">
        <v>8</v>
      </c>
      <c r="G150" s="103">
        <v>39210</v>
      </c>
      <c r="H150" s="103">
        <v>39216</v>
      </c>
      <c r="I150" s="104" t="s">
        <v>179</v>
      </c>
      <c r="J150" s="68">
        <v>630.24</v>
      </c>
      <c r="K150" s="68">
        <v>126.05</v>
      </c>
      <c r="L150" s="255">
        <f aca="true" t="shared" si="44" ref="L150:L166">+K150+J150</f>
        <v>756.29</v>
      </c>
      <c r="M150" s="68">
        <v>756.29</v>
      </c>
      <c r="N150" s="68"/>
      <c r="O150" s="255"/>
      <c r="P150" s="152"/>
      <c r="Q150" s="152"/>
      <c r="R150" s="255"/>
      <c r="S150" s="474" t="s">
        <v>1244</v>
      </c>
      <c r="T150" s="475"/>
    </row>
    <row r="151" spans="1:20" s="401" customFormat="1" ht="22.5">
      <c r="A151" s="99" t="s">
        <v>840</v>
      </c>
      <c r="B151" s="100"/>
      <c r="C151" s="232" t="s">
        <v>256</v>
      </c>
      <c r="D151" s="102"/>
      <c r="E151" s="102" t="s">
        <v>875</v>
      </c>
      <c r="F151" s="101" t="s">
        <v>876</v>
      </c>
      <c r="G151" s="103"/>
      <c r="H151" s="103">
        <v>39226</v>
      </c>
      <c r="I151" s="104" t="s">
        <v>61</v>
      </c>
      <c r="J151" s="68">
        <v>3780</v>
      </c>
      <c r="K151" s="68">
        <v>756</v>
      </c>
      <c r="L151" s="255">
        <f t="shared" si="44"/>
        <v>4536</v>
      </c>
      <c r="M151" s="68">
        <v>4536</v>
      </c>
      <c r="N151" s="68"/>
      <c r="O151" s="255"/>
      <c r="P151" s="152"/>
      <c r="Q151" s="152"/>
      <c r="R151" s="255"/>
      <c r="S151" s="474" t="s">
        <v>1244</v>
      </c>
      <c r="T151" s="475"/>
    </row>
    <row r="152" spans="1:20" s="401" customFormat="1" ht="22.5">
      <c r="A152" s="99" t="s">
        <v>840</v>
      </c>
      <c r="B152" s="100"/>
      <c r="C152" s="232" t="s">
        <v>256</v>
      </c>
      <c r="D152" s="102"/>
      <c r="E152" s="102" t="s">
        <v>877</v>
      </c>
      <c r="F152" s="101" t="s">
        <v>878</v>
      </c>
      <c r="G152" s="103">
        <v>39295</v>
      </c>
      <c r="H152" s="103">
        <v>39315</v>
      </c>
      <c r="I152" s="104" t="s">
        <v>61</v>
      </c>
      <c r="J152" s="68">
        <v>7976.81</v>
      </c>
      <c r="K152" s="68">
        <v>1595.36</v>
      </c>
      <c r="L152" s="255">
        <f t="shared" si="44"/>
        <v>9572.17</v>
      </c>
      <c r="M152" s="68">
        <v>9572.17</v>
      </c>
      <c r="N152" s="68"/>
      <c r="O152" s="255"/>
      <c r="P152" s="152"/>
      <c r="Q152" s="152"/>
      <c r="R152" s="255"/>
      <c r="S152" s="474" t="s">
        <v>1244</v>
      </c>
      <c r="T152" s="475"/>
    </row>
    <row r="153" spans="1:20" s="401" customFormat="1" ht="22.5">
      <c r="A153" s="99" t="s">
        <v>840</v>
      </c>
      <c r="B153" s="100"/>
      <c r="C153" s="232" t="s">
        <v>256</v>
      </c>
      <c r="D153" s="102"/>
      <c r="E153" s="102" t="s">
        <v>879</v>
      </c>
      <c r="F153" s="101" t="s">
        <v>880</v>
      </c>
      <c r="G153" s="103">
        <v>39295</v>
      </c>
      <c r="H153" s="103">
        <v>39295</v>
      </c>
      <c r="I153" s="104" t="s">
        <v>61</v>
      </c>
      <c r="J153" s="68">
        <v>2699.94</v>
      </c>
      <c r="K153" s="68">
        <v>539.99</v>
      </c>
      <c r="L153" s="255">
        <f t="shared" si="44"/>
        <v>3239.9300000000003</v>
      </c>
      <c r="M153" s="68">
        <v>3239.93</v>
      </c>
      <c r="N153" s="68"/>
      <c r="O153" s="255"/>
      <c r="P153" s="152"/>
      <c r="Q153" s="152"/>
      <c r="R153" s="255"/>
      <c r="S153" s="474" t="s">
        <v>1244</v>
      </c>
      <c r="T153" s="475"/>
    </row>
    <row r="154" spans="1:20" s="401" customFormat="1" ht="22.5">
      <c r="A154" s="99" t="s">
        <v>840</v>
      </c>
      <c r="B154" s="100"/>
      <c r="C154" s="232" t="s">
        <v>256</v>
      </c>
      <c r="D154" s="102"/>
      <c r="E154" s="102" t="s">
        <v>881</v>
      </c>
      <c r="F154" s="101" t="s">
        <v>882</v>
      </c>
      <c r="G154" s="103">
        <v>39218</v>
      </c>
      <c r="H154" s="103">
        <v>39226</v>
      </c>
      <c r="I154" s="104" t="s">
        <v>61</v>
      </c>
      <c r="J154" s="68">
        <v>4619.95</v>
      </c>
      <c r="K154" s="68">
        <v>923.99</v>
      </c>
      <c r="L154" s="255">
        <f t="shared" si="44"/>
        <v>5543.94</v>
      </c>
      <c r="M154" s="68">
        <v>5543.94</v>
      </c>
      <c r="N154" s="68"/>
      <c r="O154" s="255"/>
      <c r="P154" s="152"/>
      <c r="Q154" s="152"/>
      <c r="R154" s="255"/>
      <c r="S154" s="474" t="s">
        <v>1244</v>
      </c>
      <c r="T154" s="475"/>
    </row>
    <row r="155" spans="1:20" s="401" customFormat="1" ht="22.5">
      <c r="A155" s="99" t="s">
        <v>840</v>
      </c>
      <c r="B155" s="100"/>
      <c r="C155" s="232" t="s">
        <v>256</v>
      </c>
      <c r="D155" s="102"/>
      <c r="E155" s="102" t="s">
        <v>883</v>
      </c>
      <c r="F155" s="101" t="s">
        <v>876</v>
      </c>
      <c r="G155" s="103">
        <v>39188</v>
      </c>
      <c r="H155" s="103">
        <v>39195</v>
      </c>
      <c r="I155" s="104" t="s">
        <v>61</v>
      </c>
      <c r="J155" s="68">
        <v>4284</v>
      </c>
      <c r="K155" s="68">
        <v>856.8</v>
      </c>
      <c r="L155" s="255">
        <f t="shared" si="44"/>
        <v>5140.8</v>
      </c>
      <c r="M155" s="68">
        <v>5140.8</v>
      </c>
      <c r="N155" s="68"/>
      <c r="O155" s="255"/>
      <c r="P155" s="152"/>
      <c r="Q155" s="152"/>
      <c r="R155" s="255"/>
      <c r="S155" s="474" t="s">
        <v>1244</v>
      </c>
      <c r="T155" s="475"/>
    </row>
    <row r="156" spans="1:20" s="401" customFormat="1" ht="22.5">
      <c r="A156" s="99" t="s">
        <v>840</v>
      </c>
      <c r="B156" s="100"/>
      <c r="C156" s="232" t="s">
        <v>256</v>
      </c>
      <c r="D156" s="102"/>
      <c r="E156" s="102" t="s">
        <v>884</v>
      </c>
      <c r="F156" s="101">
        <v>3</v>
      </c>
      <c r="G156" s="103">
        <v>39188</v>
      </c>
      <c r="H156" s="103">
        <v>39195</v>
      </c>
      <c r="I156" s="104" t="s">
        <v>61</v>
      </c>
      <c r="J156" s="68">
        <v>5783.4</v>
      </c>
      <c r="K156" s="68">
        <v>1156.68</v>
      </c>
      <c r="L156" s="255">
        <f t="shared" si="44"/>
        <v>6940.08</v>
      </c>
      <c r="M156" s="68">
        <v>6940.08</v>
      </c>
      <c r="N156" s="68"/>
      <c r="O156" s="255"/>
      <c r="P156" s="152"/>
      <c r="Q156" s="152"/>
      <c r="R156" s="255"/>
      <c r="S156" s="474" t="s">
        <v>1244</v>
      </c>
      <c r="T156" s="475"/>
    </row>
    <row r="157" spans="1:20" s="401" customFormat="1" ht="22.5">
      <c r="A157" s="99" t="s">
        <v>840</v>
      </c>
      <c r="B157" s="100"/>
      <c r="C157" s="232" t="s">
        <v>256</v>
      </c>
      <c r="D157" s="102"/>
      <c r="E157" s="102" t="s">
        <v>885</v>
      </c>
      <c r="F157" s="101">
        <v>5</v>
      </c>
      <c r="G157" s="103">
        <v>39216</v>
      </c>
      <c r="H157" s="103">
        <v>39226</v>
      </c>
      <c r="I157" s="104" t="s">
        <v>61</v>
      </c>
      <c r="J157" s="68">
        <v>4199.93</v>
      </c>
      <c r="K157" s="68">
        <v>839.98</v>
      </c>
      <c r="L157" s="255">
        <f t="shared" si="44"/>
        <v>5039.91</v>
      </c>
      <c r="M157" s="68">
        <v>5039.91</v>
      </c>
      <c r="N157" s="68"/>
      <c r="O157" s="255"/>
      <c r="P157" s="152"/>
      <c r="Q157" s="152"/>
      <c r="R157" s="255"/>
      <c r="S157" s="474" t="s">
        <v>1244</v>
      </c>
      <c r="T157" s="475"/>
    </row>
    <row r="158" spans="1:20" s="401" customFormat="1" ht="22.5">
      <c r="A158" s="99" t="s">
        <v>840</v>
      </c>
      <c r="B158" s="100"/>
      <c r="C158" s="232" t="s">
        <v>256</v>
      </c>
      <c r="D158" s="102"/>
      <c r="E158" s="102" t="s">
        <v>886</v>
      </c>
      <c r="F158" s="101">
        <v>29</v>
      </c>
      <c r="G158" s="103">
        <v>39213</v>
      </c>
      <c r="H158" s="103">
        <v>39226</v>
      </c>
      <c r="I158" s="104" t="s">
        <v>61</v>
      </c>
      <c r="J158" s="68">
        <v>3989.95</v>
      </c>
      <c r="K158" s="68">
        <v>797.99</v>
      </c>
      <c r="L158" s="255">
        <f t="shared" si="44"/>
        <v>4787.94</v>
      </c>
      <c r="M158" s="68">
        <v>4787.94</v>
      </c>
      <c r="N158" s="68"/>
      <c r="O158" s="255"/>
      <c r="P158" s="152"/>
      <c r="Q158" s="152"/>
      <c r="R158" s="255"/>
      <c r="S158" s="474" t="s">
        <v>1244</v>
      </c>
      <c r="T158" s="475"/>
    </row>
    <row r="159" spans="1:20" s="401" customFormat="1" ht="22.5">
      <c r="A159" s="99" t="s">
        <v>840</v>
      </c>
      <c r="B159" s="100"/>
      <c r="C159" s="232" t="s">
        <v>256</v>
      </c>
      <c r="D159" s="102"/>
      <c r="E159" s="102" t="s">
        <v>887</v>
      </c>
      <c r="F159" s="101">
        <v>16</v>
      </c>
      <c r="G159" s="103">
        <v>39252</v>
      </c>
      <c r="H159" s="103">
        <v>39295</v>
      </c>
      <c r="I159" s="104" t="s">
        <v>61</v>
      </c>
      <c r="J159" s="68">
        <v>3359.96</v>
      </c>
      <c r="K159" s="68">
        <v>671.99</v>
      </c>
      <c r="L159" s="255">
        <f t="shared" si="44"/>
        <v>4031.95</v>
      </c>
      <c r="M159" s="68">
        <v>4031.95</v>
      </c>
      <c r="N159" s="68"/>
      <c r="O159" s="255"/>
      <c r="P159" s="152"/>
      <c r="Q159" s="152"/>
      <c r="R159" s="255"/>
      <c r="S159" s="474" t="s">
        <v>1244</v>
      </c>
      <c r="T159" s="475"/>
    </row>
    <row r="160" spans="1:20" s="401" customFormat="1" ht="22.5">
      <c r="A160" s="99" t="s">
        <v>840</v>
      </c>
      <c r="B160" s="100"/>
      <c r="C160" s="232" t="s">
        <v>256</v>
      </c>
      <c r="D160" s="102"/>
      <c r="E160" s="102" t="s">
        <v>888</v>
      </c>
      <c r="F160" s="101">
        <v>8</v>
      </c>
      <c r="G160" s="103">
        <v>39252</v>
      </c>
      <c r="H160" s="103">
        <v>39338</v>
      </c>
      <c r="I160" s="104" t="s">
        <v>61</v>
      </c>
      <c r="J160" s="68">
        <v>3149.96</v>
      </c>
      <c r="K160" s="68">
        <v>629.99</v>
      </c>
      <c r="L160" s="255">
        <f t="shared" si="44"/>
        <v>3779.95</v>
      </c>
      <c r="M160" s="68">
        <v>3779.95</v>
      </c>
      <c r="N160" s="68"/>
      <c r="O160" s="255"/>
      <c r="P160" s="152"/>
      <c r="Q160" s="152"/>
      <c r="R160" s="255"/>
      <c r="S160" s="474" t="s">
        <v>1244</v>
      </c>
      <c r="T160" s="475"/>
    </row>
    <row r="161" spans="1:20" s="401" customFormat="1" ht="22.5">
      <c r="A161" s="99" t="s">
        <v>840</v>
      </c>
      <c r="B161" s="100"/>
      <c r="C161" s="232" t="s">
        <v>256</v>
      </c>
      <c r="D161" s="102"/>
      <c r="E161" s="102" t="s">
        <v>889</v>
      </c>
      <c r="F161" s="101">
        <v>10</v>
      </c>
      <c r="G161" s="103">
        <v>39218</v>
      </c>
      <c r="H161" s="103">
        <v>39241</v>
      </c>
      <c r="I161" s="104" t="s">
        <v>61</v>
      </c>
      <c r="J161" s="68">
        <v>4829.94</v>
      </c>
      <c r="K161" s="68">
        <v>965.99</v>
      </c>
      <c r="L161" s="255">
        <f t="shared" si="44"/>
        <v>5795.929999999999</v>
      </c>
      <c r="M161" s="68">
        <v>5795.93</v>
      </c>
      <c r="N161" s="68"/>
      <c r="O161" s="255"/>
      <c r="P161" s="152"/>
      <c r="Q161" s="152"/>
      <c r="R161" s="255"/>
      <c r="S161" s="474" t="s">
        <v>1244</v>
      </c>
      <c r="T161" s="475"/>
    </row>
    <row r="162" spans="1:20" s="401" customFormat="1" ht="22.5">
      <c r="A162" s="99" t="s">
        <v>840</v>
      </c>
      <c r="B162" s="100"/>
      <c r="C162" s="9" t="s">
        <v>65</v>
      </c>
      <c r="D162" s="102" t="s">
        <v>895</v>
      </c>
      <c r="E162" s="102" t="s">
        <v>896</v>
      </c>
      <c r="F162" s="101">
        <v>10</v>
      </c>
      <c r="G162" s="103">
        <v>39149</v>
      </c>
      <c r="H162" s="103">
        <v>39168</v>
      </c>
      <c r="I162" s="104" t="s">
        <v>796</v>
      </c>
      <c r="J162" s="68">
        <v>500</v>
      </c>
      <c r="K162" s="68">
        <v>100</v>
      </c>
      <c r="L162" s="255">
        <f t="shared" si="44"/>
        <v>600</v>
      </c>
      <c r="M162" s="68">
        <v>600</v>
      </c>
      <c r="N162" s="68"/>
      <c r="O162" s="255"/>
      <c r="P162" s="152"/>
      <c r="Q162" s="152"/>
      <c r="R162" s="255"/>
      <c r="S162" s="474" t="s">
        <v>1244</v>
      </c>
      <c r="T162" s="475"/>
    </row>
    <row r="163" spans="1:20" s="401" customFormat="1" ht="22.5">
      <c r="A163" s="99" t="s">
        <v>840</v>
      </c>
      <c r="B163" s="100"/>
      <c r="C163" s="9" t="s">
        <v>65</v>
      </c>
      <c r="D163" s="102" t="s">
        <v>895</v>
      </c>
      <c r="E163" s="102" t="s">
        <v>896</v>
      </c>
      <c r="F163" s="101">
        <v>15</v>
      </c>
      <c r="G163" s="103">
        <v>39188</v>
      </c>
      <c r="H163" s="103">
        <v>39202</v>
      </c>
      <c r="I163" s="104" t="s">
        <v>796</v>
      </c>
      <c r="J163" s="68">
        <v>500</v>
      </c>
      <c r="K163" s="68">
        <v>100</v>
      </c>
      <c r="L163" s="255">
        <f t="shared" si="44"/>
        <v>600</v>
      </c>
      <c r="M163" s="68">
        <v>600</v>
      </c>
      <c r="N163" s="68"/>
      <c r="O163" s="255"/>
      <c r="P163" s="152"/>
      <c r="Q163" s="152"/>
      <c r="R163" s="255"/>
      <c r="S163" s="474" t="s">
        <v>1244</v>
      </c>
      <c r="T163" s="475"/>
    </row>
    <row r="164" spans="1:20" s="401" customFormat="1" ht="11.25">
      <c r="A164" s="99" t="s">
        <v>840</v>
      </c>
      <c r="B164" s="100"/>
      <c r="C164" s="9" t="s">
        <v>65</v>
      </c>
      <c r="D164" s="102" t="s">
        <v>895</v>
      </c>
      <c r="E164" s="102" t="s">
        <v>896</v>
      </c>
      <c r="F164" s="101">
        <v>28</v>
      </c>
      <c r="G164" s="103">
        <v>39252</v>
      </c>
      <c r="H164" s="103">
        <v>39272</v>
      </c>
      <c r="I164" s="104" t="s">
        <v>329</v>
      </c>
      <c r="J164" s="68">
        <v>500</v>
      </c>
      <c r="K164" s="68">
        <v>100</v>
      </c>
      <c r="L164" s="255">
        <f t="shared" si="44"/>
        <v>600</v>
      </c>
      <c r="M164" s="68">
        <v>600</v>
      </c>
      <c r="N164" s="68"/>
      <c r="O164" s="255"/>
      <c r="P164" s="152"/>
      <c r="Q164" s="152"/>
      <c r="R164" s="255"/>
      <c r="S164" s="474" t="s">
        <v>1244</v>
      </c>
      <c r="T164" s="475"/>
    </row>
    <row r="165" spans="1:20" s="401" customFormat="1" ht="11.25">
      <c r="A165" s="99" t="s">
        <v>840</v>
      </c>
      <c r="B165" s="100"/>
      <c r="C165" s="9" t="s">
        <v>65</v>
      </c>
      <c r="D165" s="102" t="s">
        <v>895</v>
      </c>
      <c r="E165" s="102" t="s">
        <v>896</v>
      </c>
      <c r="F165" s="101">
        <v>33</v>
      </c>
      <c r="G165" s="103">
        <v>39274</v>
      </c>
      <c r="H165" s="103">
        <v>39295</v>
      </c>
      <c r="I165" s="104" t="s">
        <v>329</v>
      </c>
      <c r="J165" s="68">
        <v>500</v>
      </c>
      <c r="K165" s="68">
        <v>100</v>
      </c>
      <c r="L165" s="255">
        <f t="shared" si="44"/>
        <v>600</v>
      </c>
      <c r="M165" s="68">
        <v>600</v>
      </c>
      <c r="N165" s="68"/>
      <c r="O165" s="255"/>
      <c r="P165" s="152"/>
      <c r="Q165" s="152"/>
      <c r="R165" s="255"/>
      <c r="S165" s="474" t="s">
        <v>1244</v>
      </c>
      <c r="T165" s="475"/>
    </row>
    <row r="166" spans="1:20" s="401" customFormat="1" ht="22.5">
      <c r="A166" s="99" t="s">
        <v>840</v>
      </c>
      <c r="B166" s="100"/>
      <c r="C166" s="106" t="s">
        <v>205</v>
      </c>
      <c r="D166" s="102" t="s">
        <v>967</v>
      </c>
      <c r="E166" s="102" t="s">
        <v>968</v>
      </c>
      <c r="F166" s="101">
        <v>39268</v>
      </c>
      <c r="G166" s="103">
        <v>39268</v>
      </c>
      <c r="H166" s="103">
        <v>39303</v>
      </c>
      <c r="I166" s="104" t="s">
        <v>61</v>
      </c>
      <c r="J166" s="68">
        <v>4464</v>
      </c>
      <c r="K166" s="68">
        <v>892.8</v>
      </c>
      <c r="L166" s="255">
        <f t="shared" si="44"/>
        <v>5356.8</v>
      </c>
      <c r="M166" s="68">
        <v>4464</v>
      </c>
      <c r="N166" s="68">
        <v>892.8</v>
      </c>
      <c r="O166" s="255"/>
      <c r="P166" s="152"/>
      <c r="Q166" s="152"/>
      <c r="R166" s="255"/>
      <c r="S166" s="474" t="s">
        <v>1244</v>
      </c>
      <c r="T166" s="475"/>
    </row>
    <row r="167" spans="1:20" s="401" customFormat="1" ht="11.25">
      <c r="A167" s="480" t="s">
        <v>977</v>
      </c>
      <c r="B167" s="481"/>
      <c r="C167" s="482"/>
      <c r="D167" s="483"/>
      <c r="E167" s="483"/>
      <c r="F167" s="484"/>
      <c r="G167" s="485"/>
      <c r="H167" s="485"/>
      <c r="I167" s="486"/>
      <c r="J167" s="487">
        <f>SUM(J150:J166)-J149</f>
        <v>0</v>
      </c>
      <c r="K167" s="487">
        <f>SUM(K150:K166)-K149</f>
        <v>0</v>
      </c>
      <c r="L167" s="487">
        <f>+K167+J167</f>
        <v>0</v>
      </c>
      <c r="M167" s="487"/>
      <c r="N167" s="487"/>
      <c r="O167" s="487"/>
      <c r="P167" s="488"/>
      <c r="Q167" s="487"/>
      <c r="R167" s="487"/>
      <c r="S167" s="591" t="s">
        <v>979</v>
      </c>
      <c r="T167" s="592"/>
    </row>
    <row r="168" spans="1:20" s="401" customFormat="1" ht="22.5">
      <c r="A168" s="99" t="s">
        <v>977</v>
      </c>
      <c r="B168" s="100"/>
      <c r="C168" s="232" t="s">
        <v>256</v>
      </c>
      <c r="D168" s="102" t="s">
        <v>895</v>
      </c>
      <c r="E168" s="102" t="s">
        <v>981</v>
      </c>
      <c r="F168" s="101" t="s">
        <v>876</v>
      </c>
      <c r="G168" s="103">
        <v>0.8000810185185184</v>
      </c>
      <c r="H168" s="103">
        <v>39440</v>
      </c>
      <c r="I168" s="104" t="s">
        <v>61</v>
      </c>
      <c r="J168" s="68">
        <v>1927.8</v>
      </c>
      <c r="K168" s="68">
        <v>385.56</v>
      </c>
      <c r="L168" s="255">
        <v>2313.36</v>
      </c>
      <c r="M168" s="68">
        <v>1927.8</v>
      </c>
      <c r="N168" s="68">
        <v>385.56</v>
      </c>
      <c r="O168" s="255">
        <f aca="true" t="shared" si="45" ref="O168:O176">+N168+M168</f>
        <v>2313.36</v>
      </c>
      <c r="P168" s="68">
        <f>+M168*0.65</f>
        <v>1253.07</v>
      </c>
      <c r="Q168" s="409">
        <f>+N168*0.65</f>
        <v>250.614</v>
      </c>
      <c r="R168" s="256">
        <f aca="true" t="shared" si="46" ref="R168:R176">+Q168+P168</f>
        <v>1503.684</v>
      </c>
      <c r="S168" s="478" t="s">
        <v>1242</v>
      </c>
      <c r="T168" s="475"/>
    </row>
    <row r="169" spans="1:20" s="401" customFormat="1" ht="22.5">
      <c r="A169" s="99" t="s">
        <v>977</v>
      </c>
      <c r="B169" s="100"/>
      <c r="C169" s="232" t="s">
        <v>256</v>
      </c>
      <c r="D169" s="102" t="s">
        <v>895</v>
      </c>
      <c r="E169" s="102" t="s">
        <v>693</v>
      </c>
      <c r="F169" s="101" t="s">
        <v>982</v>
      </c>
      <c r="G169" s="103">
        <v>39476</v>
      </c>
      <c r="H169" s="103">
        <v>39510</v>
      </c>
      <c r="I169" s="104" t="s">
        <v>61</v>
      </c>
      <c r="J169" s="68">
        <v>20000</v>
      </c>
      <c r="K169" s="68">
        <v>4000</v>
      </c>
      <c r="L169" s="255">
        <v>24000</v>
      </c>
      <c r="M169" s="68">
        <v>20000</v>
      </c>
      <c r="N169" s="68">
        <v>4000</v>
      </c>
      <c r="O169" s="255">
        <f t="shared" si="45"/>
        <v>24000</v>
      </c>
      <c r="P169" s="68">
        <f aca="true" t="shared" si="47" ref="P169:P216">+M169*0.65</f>
        <v>13000</v>
      </c>
      <c r="Q169" s="409">
        <f aca="true" t="shared" si="48" ref="Q169:Q216">+N169*0.65</f>
        <v>2600</v>
      </c>
      <c r="R169" s="256">
        <f t="shared" si="46"/>
        <v>15600</v>
      </c>
      <c r="S169" s="478" t="s">
        <v>1242</v>
      </c>
      <c r="T169" s="475"/>
    </row>
    <row r="170" spans="1:20" s="401" customFormat="1" ht="22.5">
      <c r="A170" s="99" t="s">
        <v>977</v>
      </c>
      <c r="B170" s="100"/>
      <c r="C170" s="232" t="s">
        <v>256</v>
      </c>
      <c r="D170" s="102" t="s">
        <v>895</v>
      </c>
      <c r="E170" s="102" t="s">
        <v>983</v>
      </c>
      <c r="F170" s="101" t="s">
        <v>984</v>
      </c>
      <c r="G170" s="103">
        <v>39388</v>
      </c>
      <c r="H170" s="103">
        <v>39427</v>
      </c>
      <c r="I170" s="104" t="s">
        <v>61</v>
      </c>
      <c r="J170" s="68">
        <v>936</v>
      </c>
      <c r="K170" s="68">
        <v>187.2</v>
      </c>
      <c r="L170" s="255">
        <v>1123.2</v>
      </c>
      <c r="M170" s="68">
        <v>936</v>
      </c>
      <c r="N170" s="68">
        <v>187.2</v>
      </c>
      <c r="O170" s="255">
        <f t="shared" si="45"/>
        <v>1123.2</v>
      </c>
      <c r="P170" s="68">
        <f t="shared" si="47"/>
        <v>608.4</v>
      </c>
      <c r="Q170" s="409">
        <f t="shared" si="48"/>
        <v>121.67999999999999</v>
      </c>
      <c r="R170" s="256">
        <f t="shared" si="46"/>
        <v>730.0799999999999</v>
      </c>
      <c r="S170" s="478" t="s">
        <v>1242</v>
      </c>
      <c r="T170" s="475"/>
    </row>
    <row r="171" spans="1:20" s="401" customFormat="1" ht="11.25">
      <c r="A171" s="99" t="s">
        <v>977</v>
      </c>
      <c r="B171" s="100"/>
      <c r="C171" s="9" t="s">
        <v>83</v>
      </c>
      <c r="D171" s="102" t="s">
        <v>895</v>
      </c>
      <c r="E171" s="102" t="s">
        <v>998</v>
      </c>
      <c r="F171" s="101">
        <v>1</v>
      </c>
      <c r="G171" s="103">
        <v>39414</v>
      </c>
      <c r="H171" s="103">
        <v>39416</v>
      </c>
      <c r="I171" s="104" t="s">
        <v>82</v>
      </c>
      <c r="J171" s="68">
        <v>2160</v>
      </c>
      <c r="K171" s="68"/>
      <c r="L171" s="255">
        <v>2160</v>
      </c>
      <c r="M171" s="68">
        <v>2160</v>
      </c>
      <c r="N171" s="68"/>
      <c r="O171" s="255">
        <f t="shared" si="45"/>
        <v>2160</v>
      </c>
      <c r="P171" s="68">
        <f t="shared" si="47"/>
        <v>1404</v>
      </c>
      <c r="Q171" s="409">
        <f t="shared" si="48"/>
        <v>0</v>
      </c>
      <c r="R171" s="256">
        <f t="shared" si="46"/>
        <v>1404</v>
      </c>
      <c r="S171" s="478" t="s">
        <v>1242</v>
      </c>
      <c r="T171" s="475"/>
    </row>
    <row r="172" spans="1:20" s="401" customFormat="1" ht="22.5">
      <c r="A172" s="99" t="s">
        <v>977</v>
      </c>
      <c r="B172" s="100"/>
      <c r="C172" s="9" t="s">
        <v>83</v>
      </c>
      <c r="D172" s="102" t="s">
        <v>895</v>
      </c>
      <c r="E172" s="102" t="s">
        <v>999</v>
      </c>
      <c r="F172" s="101">
        <v>86</v>
      </c>
      <c r="G172" s="103">
        <v>39363</v>
      </c>
      <c r="H172" s="103">
        <v>39377</v>
      </c>
      <c r="I172" s="104" t="s">
        <v>82</v>
      </c>
      <c r="J172" s="68">
        <v>2163</v>
      </c>
      <c r="K172" s="68">
        <v>432.6</v>
      </c>
      <c r="L172" s="255">
        <v>2595.6</v>
      </c>
      <c r="M172" s="68">
        <v>2163</v>
      </c>
      <c r="N172" s="68">
        <v>432.6</v>
      </c>
      <c r="O172" s="255">
        <f t="shared" si="45"/>
        <v>2595.6</v>
      </c>
      <c r="P172" s="68">
        <f t="shared" si="47"/>
        <v>1405.95</v>
      </c>
      <c r="Q172" s="409">
        <f t="shared" si="48"/>
        <v>281.19</v>
      </c>
      <c r="R172" s="256">
        <f t="shared" si="46"/>
        <v>1687.14</v>
      </c>
      <c r="S172" s="478" t="s">
        <v>1242</v>
      </c>
      <c r="T172" s="475"/>
    </row>
    <row r="173" spans="1:20" s="401" customFormat="1" ht="37.5" customHeight="1">
      <c r="A173" s="99" t="s">
        <v>977</v>
      </c>
      <c r="B173" s="100"/>
      <c r="C173" s="9" t="s">
        <v>123</v>
      </c>
      <c r="D173" s="102" t="s">
        <v>1014</v>
      </c>
      <c r="E173" s="102" t="s">
        <v>1015</v>
      </c>
      <c r="F173" s="101">
        <v>1</v>
      </c>
      <c r="G173" s="103">
        <v>39427</v>
      </c>
      <c r="H173" s="103">
        <v>39436</v>
      </c>
      <c r="I173" s="104" t="s">
        <v>82</v>
      </c>
      <c r="J173" s="68">
        <v>4967.89</v>
      </c>
      <c r="K173" s="68">
        <v>993.58</v>
      </c>
      <c r="L173" s="255">
        <v>5961.47</v>
      </c>
      <c r="M173" s="68">
        <v>4967.89</v>
      </c>
      <c r="N173" s="68">
        <v>993.58</v>
      </c>
      <c r="O173" s="255">
        <f t="shared" si="45"/>
        <v>5961.47</v>
      </c>
      <c r="P173" s="68">
        <f t="shared" si="47"/>
        <v>3229.1285000000003</v>
      </c>
      <c r="Q173" s="409">
        <f t="shared" si="48"/>
        <v>645.827</v>
      </c>
      <c r="R173" s="256">
        <f t="shared" si="46"/>
        <v>3874.9555</v>
      </c>
      <c r="S173" s="478" t="s">
        <v>1242</v>
      </c>
      <c r="T173" s="475"/>
    </row>
    <row r="174" spans="1:20" s="401" customFormat="1" ht="61.5" customHeight="1">
      <c r="A174" s="99" t="s">
        <v>977</v>
      </c>
      <c r="B174" s="100"/>
      <c r="C174" s="101" t="s">
        <v>205</v>
      </c>
      <c r="D174" s="102" t="s">
        <v>1044</v>
      </c>
      <c r="E174" s="102" t="s">
        <v>968</v>
      </c>
      <c r="F174" s="101" t="s">
        <v>1045</v>
      </c>
      <c r="G174" s="103">
        <v>39346</v>
      </c>
      <c r="H174" s="103">
        <v>39426</v>
      </c>
      <c r="I174" s="104" t="s">
        <v>61</v>
      </c>
      <c r="J174" s="68">
        <v>2396.16</v>
      </c>
      <c r="K174" s="68">
        <v>479.23199999999997</v>
      </c>
      <c r="L174" s="255">
        <v>2875.392</v>
      </c>
      <c r="M174" s="68">
        <v>2396.16</v>
      </c>
      <c r="N174" s="68"/>
      <c r="O174" s="255">
        <f t="shared" si="45"/>
        <v>2396.16</v>
      </c>
      <c r="P174" s="68">
        <f t="shared" si="47"/>
        <v>1557.504</v>
      </c>
      <c r="Q174" s="409">
        <f t="shared" si="48"/>
        <v>0</v>
      </c>
      <c r="R174" s="256">
        <f t="shared" si="46"/>
        <v>1557.504</v>
      </c>
      <c r="S174" s="478" t="s">
        <v>1242</v>
      </c>
      <c r="T174" s="475"/>
    </row>
    <row r="175" spans="1:20" s="401" customFormat="1" ht="37.5" customHeight="1">
      <c r="A175" s="99" t="s">
        <v>977</v>
      </c>
      <c r="B175" s="100"/>
      <c r="C175" s="101" t="s">
        <v>205</v>
      </c>
      <c r="D175" s="102" t="s">
        <v>1046</v>
      </c>
      <c r="E175" s="102" t="s">
        <v>1047</v>
      </c>
      <c r="F175" s="101" t="s">
        <v>1048</v>
      </c>
      <c r="G175" s="103">
        <v>0.2924537037037037</v>
      </c>
      <c r="H175" s="103">
        <v>39457</v>
      </c>
      <c r="I175" s="104" t="s">
        <v>61</v>
      </c>
      <c r="J175" s="68">
        <v>2400</v>
      </c>
      <c r="K175" s="68">
        <v>600</v>
      </c>
      <c r="L175" s="255">
        <v>3000</v>
      </c>
      <c r="M175" s="68">
        <v>2400</v>
      </c>
      <c r="N175" s="68"/>
      <c r="O175" s="255">
        <f t="shared" si="45"/>
        <v>2400</v>
      </c>
      <c r="P175" s="68">
        <f t="shared" si="47"/>
        <v>1560</v>
      </c>
      <c r="Q175" s="409">
        <f t="shared" si="48"/>
        <v>0</v>
      </c>
      <c r="R175" s="256">
        <f t="shared" si="46"/>
        <v>1560</v>
      </c>
      <c r="S175" s="478" t="s">
        <v>1242</v>
      </c>
      <c r="T175" s="475"/>
    </row>
    <row r="176" spans="1:20" s="401" customFormat="1" ht="37.5" customHeight="1">
      <c r="A176" s="99" t="s">
        <v>977</v>
      </c>
      <c r="B176" s="100"/>
      <c r="C176" s="101" t="s">
        <v>205</v>
      </c>
      <c r="D176" s="102" t="s">
        <v>1046</v>
      </c>
      <c r="E176" s="102" t="s">
        <v>1049</v>
      </c>
      <c r="F176" s="101" t="s">
        <v>1050</v>
      </c>
      <c r="G176" s="103">
        <v>39365</v>
      </c>
      <c r="H176" s="103">
        <v>39359</v>
      </c>
      <c r="I176" s="104" t="s">
        <v>61</v>
      </c>
      <c r="J176" s="68">
        <v>2666.67</v>
      </c>
      <c r="K176" s="68">
        <v>533.3340000000001</v>
      </c>
      <c r="L176" s="255">
        <v>3200.004</v>
      </c>
      <c r="M176" s="68">
        <v>2666.67</v>
      </c>
      <c r="N176" s="68"/>
      <c r="O176" s="255">
        <f t="shared" si="45"/>
        <v>2666.67</v>
      </c>
      <c r="P176" s="68">
        <f t="shared" si="47"/>
        <v>1733.3355000000001</v>
      </c>
      <c r="Q176" s="409">
        <f t="shared" si="48"/>
        <v>0</v>
      </c>
      <c r="R176" s="256">
        <f t="shared" si="46"/>
        <v>1733.3355000000001</v>
      </c>
      <c r="S176" s="478" t="s">
        <v>1242</v>
      </c>
      <c r="T176" s="475"/>
    </row>
    <row r="177" spans="1:20" s="401" customFormat="1" ht="37.5" customHeight="1">
      <c r="A177" s="99" t="s">
        <v>977</v>
      </c>
      <c r="B177" s="100"/>
      <c r="C177" s="9" t="s">
        <v>152</v>
      </c>
      <c r="D177" s="102" t="s">
        <v>1051</v>
      </c>
      <c r="E177" s="102" t="s">
        <v>819</v>
      </c>
      <c r="F177" s="101">
        <v>27</v>
      </c>
      <c r="G177" s="103">
        <v>39399</v>
      </c>
      <c r="H177" s="103">
        <v>39406</v>
      </c>
      <c r="I177" s="104" t="s">
        <v>157</v>
      </c>
      <c r="J177" s="68">
        <v>1050.4</v>
      </c>
      <c r="K177" s="68">
        <v>210.08</v>
      </c>
      <c r="L177" s="255">
        <v>1260.48</v>
      </c>
      <c r="M177" s="68">
        <v>1050.4</v>
      </c>
      <c r="N177" s="68">
        <v>210.08</v>
      </c>
      <c r="O177" s="255">
        <f aca="true" t="shared" si="49" ref="O177:O200">+N177+M177</f>
        <v>1260.48</v>
      </c>
      <c r="P177" s="68">
        <f t="shared" si="47"/>
        <v>682.7600000000001</v>
      </c>
      <c r="Q177" s="409">
        <f t="shared" si="48"/>
        <v>136.55200000000002</v>
      </c>
      <c r="R177" s="256">
        <f aca="true" t="shared" si="50" ref="R177:R200">+Q177+P177</f>
        <v>819.3120000000001</v>
      </c>
      <c r="S177" s="478" t="s">
        <v>1242</v>
      </c>
      <c r="T177" s="475"/>
    </row>
    <row r="178" spans="1:20" s="401" customFormat="1" ht="37.5" customHeight="1">
      <c r="A178" s="99" t="s">
        <v>977</v>
      </c>
      <c r="B178" s="100"/>
      <c r="C178" s="9" t="s">
        <v>184</v>
      </c>
      <c r="D178" s="102" t="s">
        <v>895</v>
      </c>
      <c r="E178" s="102" t="s">
        <v>1056</v>
      </c>
      <c r="F178" s="101">
        <v>35</v>
      </c>
      <c r="G178" s="103">
        <v>39281</v>
      </c>
      <c r="H178" s="103">
        <v>39416</v>
      </c>
      <c r="I178" s="104" t="s">
        <v>82</v>
      </c>
      <c r="J178" s="68">
        <v>4590</v>
      </c>
      <c r="K178" s="68">
        <v>918</v>
      </c>
      <c r="L178" s="255">
        <v>5508</v>
      </c>
      <c r="M178" s="68">
        <v>4590</v>
      </c>
      <c r="N178" s="68">
        <v>918</v>
      </c>
      <c r="O178" s="255">
        <f t="shared" si="49"/>
        <v>5508</v>
      </c>
      <c r="P178" s="68">
        <f t="shared" si="47"/>
        <v>2983.5</v>
      </c>
      <c r="Q178" s="409">
        <f t="shared" si="48"/>
        <v>596.7</v>
      </c>
      <c r="R178" s="256">
        <f t="shared" si="50"/>
        <v>3580.2</v>
      </c>
      <c r="S178" s="478" t="s">
        <v>1242</v>
      </c>
      <c r="T178" s="475"/>
    </row>
    <row r="179" spans="1:20" s="401" customFormat="1" ht="37.5" customHeight="1">
      <c r="A179" s="99" t="s">
        <v>977</v>
      </c>
      <c r="B179" s="100"/>
      <c r="C179" s="232" t="s">
        <v>256</v>
      </c>
      <c r="D179" s="102" t="s">
        <v>1078</v>
      </c>
      <c r="E179" s="102" t="s">
        <v>983</v>
      </c>
      <c r="F179" s="101" t="s">
        <v>1079</v>
      </c>
      <c r="G179" s="103">
        <v>39570</v>
      </c>
      <c r="H179" s="103">
        <v>39632</v>
      </c>
      <c r="I179" s="104" t="s">
        <v>61</v>
      </c>
      <c r="J179" s="68">
        <v>748.8</v>
      </c>
      <c r="K179" s="68">
        <v>149.76</v>
      </c>
      <c r="L179" s="255">
        <v>898.56</v>
      </c>
      <c r="M179" s="68">
        <v>748.8</v>
      </c>
      <c r="N179" s="68">
        <v>149.76</v>
      </c>
      <c r="O179" s="255">
        <f t="shared" si="49"/>
        <v>898.56</v>
      </c>
      <c r="P179" s="68">
        <f t="shared" si="47"/>
        <v>486.71999999999997</v>
      </c>
      <c r="Q179" s="409">
        <f t="shared" si="48"/>
        <v>97.344</v>
      </c>
      <c r="R179" s="256">
        <f t="shared" si="50"/>
        <v>584.064</v>
      </c>
      <c r="S179" s="478" t="s">
        <v>1242</v>
      </c>
      <c r="T179" s="475"/>
    </row>
    <row r="180" spans="1:20" s="401" customFormat="1" ht="37.5" customHeight="1">
      <c r="A180" s="99" t="s">
        <v>977</v>
      </c>
      <c r="B180" s="100"/>
      <c r="C180" s="232" t="s">
        <v>256</v>
      </c>
      <c r="D180" s="102" t="s">
        <v>1080</v>
      </c>
      <c r="E180" s="102" t="s">
        <v>983</v>
      </c>
      <c r="F180" s="101" t="s">
        <v>1081</v>
      </c>
      <c r="G180" s="103">
        <v>39639</v>
      </c>
      <c r="H180" s="103"/>
      <c r="I180" s="104" t="s">
        <v>61</v>
      </c>
      <c r="J180" s="68">
        <v>936</v>
      </c>
      <c r="K180" s="68">
        <v>187.2</v>
      </c>
      <c r="L180" s="255">
        <v>1123.2</v>
      </c>
      <c r="M180" s="68">
        <v>936</v>
      </c>
      <c r="N180" s="68">
        <v>187.2</v>
      </c>
      <c r="O180" s="255">
        <f t="shared" si="49"/>
        <v>1123.2</v>
      </c>
      <c r="P180" s="68">
        <f t="shared" si="47"/>
        <v>608.4</v>
      </c>
      <c r="Q180" s="409">
        <f t="shared" si="48"/>
        <v>121.67999999999999</v>
      </c>
      <c r="R180" s="256">
        <f t="shared" si="50"/>
        <v>730.0799999999999</v>
      </c>
      <c r="S180" s="478" t="s">
        <v>1242</v>
      </c>
      <c r="T180" s="475"/>
    </row>
    <row r="181" spans="1:20" s="401" customFormat="1" ht="37.5" customHeight="1">
      <c r="A181" s="99" t="s">
        <v>977</v>
      </c>
      <c r="B181" s="100"/>
      <c r="C181" s="232" t="s">
        <v>256</v>
      </c>
      <c r="D181" s="102" t="s">
        <v>895</v>
      </c>
      <c r="E181" s="102" t="s">
        <v>889</v>
      </c>
      <c r="F181" s="101">
        <v>10</v>
      </c>
      <c r="G181" s="103">
        <v>39654</v>
      </c>
      <c r="H181" s="103">
        <v>39664</v>
      </c>
      <c r="I181" s="104" t="s">
        <v>61</v>
      </c>
      <c r="J181" s="68">
        <v>5669.94</v>
      </c>
      <c r="K181" s="68">
        <v>1133.988</v>
      </c>
      <c r="L181" s="255">
        <v>6803.928</v>
      </c>
      <c r="M181" s="68">
        <v>5669.94</v>
      </c>
      <c r="N181" s="68">
        <v>1133.988</v>
      </c>
      <c r="O181" s="255">
        <f t="shared" si="49"/>
        <v>6803.928</v>
      </c>
      <c r="P181" s="68">
        <f t="shared" si="47"/>
        <v>3685.461</v>
      </c>
      <c r="Q181" s="409">
        <f t="shared" si="48"/>
        <v>737.0922</v>
      </c>
      <c r="R181" s="256">
        <f t="shared" si="50"/>
        <v>4422.5532</v>
      </c>
      <c r="S181" s="478" t="s">
        <v>1242</v>
      </c>
      <c r="T181" s="475"/>
    </row>
    <row r="182" spans="1:20" s="401" customFormat="1" ht="37.5" customHeight="1">
      <c r="A182" s="99" t="s">
        <v>977</v>
      </c>
      <c r="B182" s="100"/>
      <c r="C182" s="232" t="s">
        <v>256</v>
      </c>
      <c r="D182" s="102" t="s">
        <v>895</v>
      </c>
      <c r="E182" s="102" t="s">
        <v>875</v>
      </c>
      <c r="F182" s="101">
        <v>1</v>
      </c>
      <c r="G182" s="103">
        <v>39659</v>
      </c>
      <c r="H182" s="103">
        <v>39659</v>
      </c>
      <c r="I182" s="104" t="s">
        <v>61</v>
      </c>
      <c r="J182" s="68">
        <v>3569.95</v>
      </c>
      <c r="K182" s="68">
        <v>713.99</v>
      </c>
      <c r="L182" s="255">
        <v>4283.94</v>
      </c>
      <c r="M182" s="68">
        <v>3569.95</v>
      </c>
      <c r="N182" s="68">
        <v>713.99</v>
      </c>
      <c r="O182" s="255">
        <f t="shared" si="49"/>
        <v>4283.94</v>
      </c>
      <c r="P182" s="68">
        <f t="shared" si="47"/>
        <v>2320.4674999999997</v>
      </c>
      <c r="Q182" s="409">
        <f t="shared" si="48"/>
        <v>464.0935</v>
      </c>
      <c r="R182" s="256">
        <f t="shared" si="50"/>
        <v>2784.5609999999997</v>
      </c>
      <c r="S182" s="478" t="s">
        <v>1242</v>
      </c>
      <c r="T182" s="475"/>
    </row>
    <row r="183" spans="1:20" s="401" customFormat="1" ht="37.5" customHeight="1">
      <c r="A183" s="99" t="s">
        <v>977</v>
      </c>
      <c r="B183" s="100"/>
      <c r="C183" s="232" t="s">
        <v>256</v>
      </c>
      <c r="D183" s="102" t="s">
        <v>895</v>
      </c>
      <c r="E183" s="102" t="s">
        <v>693</v>
      </c>
      <c r="F183" s="101">
        <v>29</v>
      </c>
      <c r="G183" s="103">
        <v>39647</v>
      </c>
      <c r="H183" s="103">
        <v>39661</v>
      </c>
      <c r="I183" s="104" t="s">
        <v>61</v>
      </c>
      <c r="J183" s="68">
        <v>8188</v>
      </c>
      <c r="K183" s="68">
        <v>1637.6</v>
      </c>
      <c r="L183" s="255">
        <v>9825.6</v>
      </c>
      <c r="M183" s="68">
        <v>8188</v>
      </c>
      <c r="N183" s="68">
        <v>1637.6</v>
      </c>
      <c r="O183" s="255">
        <f t="shared" si="49"/>
        <v>9825.6</v>
      </c>
      <c r="P183" s="68">
        <f t="shared" si="47"/>
        <v>5322.2</v>
      </c>
      <c r="Q183" s="409">
        <f t="shared" si="48"/>
        <v>1064.44</v>
      </c>
      <c r="R183" s="256">
        <f t="shared" si="50"/>
        <v>6386.639999999999</v>
      </c>
      <c r="S183" s="478" t="s">
        <v>1242</v>
      </c>
      <c r="T183" s="475"/>
    </row>
    <row r="184" spans="1:20" s="401" customFormat="1" ht="37.5" customHeight="1">
      <c r="A184" s="99" t="s">
        <v>977</v>
      </c>
      <c r="B184" s="100"/>
      <c r="C184" s="232" t="s">
        <v>256</v>
      </c>
      <c r="D184" s="102" t="s">
        <v>895</v>
      </c>
      <c r="E184" s="102" t="s">
        <v>693</v>
      </c>
      <c r="F184" s="101">
        <v>30</v>
      </c>
      <c r="G184" s="103">
        <v>39647</v>
      </c>
      <c r="H184" s="103">
        <v>39661</v>
      </c>
      <c r="I184" s="104" t="s">
        <v>61</v>
      </c>
      <c r="J184" s="68">
        <v>7020</v>
      </c>
      <c r="K184" s="68">
        <v>1404</v>
      </c>
      <c r="L184" s="255">
        <v>8424</v>
      </c>
      <c r="M184" s="68">
        <v>7020</v>
      </c>
      <c r="N184" s="68">
        <v>1404</v>
      </c>
      <c r="O184" s="255">
        <f t="shared" si="49"/>
        <v>8424</v>
      </c>
      <c r="P184" s="68">
        <f t="shared" si="47"/>
        <v>4563</v>
      </c>
      <c r="Q184" s="409">
        <f t="shared" si="48"/>
        <v>912.6</v>
      </c>
      <c r="R184" s="256">
        <f t="shared" si="50"/>
        <v>5475.6</v>
      </c>
      <c r="S184" s="478" t="s">
        <v>1242</v>
      </c>
      <c r="T184" s="475"/>
    </row>
    <row r="185" spans="1:20" s="401" customFormat="1" ht="37.5" customHeight="1">
      <c r="A185" s="99" t="s">
        <v>977</v>
      </c>
      <c r="B185" s="100"/>
      <c r="C185" s="232" t="s">
        <v>256</v>
      </c>
      <c r="D185" s="102" t="s">
        <v>895</v>
      </c>
      <c r="E185" s="102" t="s">
        <v>883</v>
      </c>
      <c r="F185" s="101">
        <v>4</v>
      </c>
      <c r="G185" s="103">
        <v>39654</v>
      </c>
      <c r="H185" s="103">
        <v>39660</v>
      </c>
      <c r="I185" s="104" t="s">
        <v>61</v>
      </c>
      <c r="J185" s="68">
        <v>3779.96</v>
      </c>
      <c r="K185" s="68">
        <v>0</v>
      </c>
      <c r="L185" s="255">
        <v>3779.96</v>
      </c>
      <c r="M185" s="68">
        <v>3779.96</v>
      </c>
      <c r="N185" s="68">
        <v>0</v>
      </c>
      <c r="O185" s="255">
        <f t="shared" si="49"/>
        <v>3779.96</v>
      </c>
      <c r="P185" s="68">
        <f t="shared" si="47"/>
        <v>2456.974</v>
      </c>
      <c r="Q185" s="409">
        <f t="shared" si="48"/>
        <v>0</v>
      </c>
      <c r="R185" s="256">
        <f t="shared" si="50"/>
        <v>2456.974</v>
      </c>
      <c r="S185" s="478" t="s">
        <v>1242</v>
      </c>
      <c r="T185" s="475"/>
    </row>
    <row r="186" spans="1:20" s="401" customFormat="1" ht="37.5" customHeight="1">
      <c r="A186" s="99" t="s">
        <v>977</v>
      </c>
      <c r="B186" s="100"/>
      <c r="C186" s="232" t="s">
        <v>256</v>
      </c>
      <c r="D186" s="102" t="s">
        <v>895</v>
      </c>
      <c r="E186" s="102" t="s">
        <v>881</v>
      </c>
      <c r="F186" s="101">
        <v>6</v>
      </c>
      <c r="G186" s="103">
        <v>39657</v>
      </c>
      <c r="H186" s="103">
        <v>39660</v>
      </c>
      <c r="I186" s="104" t="s">
        <v>61</v>
      </c>
      <c r="J186" s="68">
        <v>6719.92</v>
      </c>
      <c r="K186" s="68">
        <v>1343.9840000000002</v>
      </c>
      <c r="L186" s="255">
        <v>8063.904</v>
      </c>
      <c r="M186" s="68">
        <v>6719.92</v>
      </c>
      <c r="N186" s="68">
        <v>1343.9840000000002</v>
      </c>
      <c r="O186" s="255">
        <f t="shared" si="49"/>
        <v>8063.904</v>
      </c>
      <c r="P186" s="68">
        <f t="shared" si="47"/>
        <v>4367.948</v>
      </c>
      <c r="Q186" s="409">
        <f t="shared" si="48"/>
        <v>873.5896000000001</v>
      </c>
      <c r="R186" s="256">
        <f t="shared" si="50"/>
        <v>5241.537600000001</v>
      </c>
      <c r="S186" s="478" t="s">
        <v>1242</v>
      </c>
      <c r="T186" s="475"/>
    </row>
    <row r="187" spans="1:20" s="401" customFormat="1" ht="37.5" customHeight="1">
      <c r="A187" s="99" t="s">
        <v>977</v>
      </c>
      <c r="B187" s="100"/>
      <c r="C187" s="232" t="s">
        <v>256</v>
      </c>
      <c r="D187" s="102" t="s">
        <v>895</v>
      </c>
      <c r="E187" s="102" t="s">
        <v>879</v>
      </c>
      <c r="F187" s="101">
        <v>12</v>
      </c>
      <c r="G187" s="103">
        <v>39657</v>
      </c>
      <c r="H187" s="103">
        <v>39660</v>
      </c>
      <c r="I187" s="104" t="s">
        <v>61</v>
      </c>
      <c r="J187" s="68">
        <v>3887.91</v>
      </c>
      <c r="K187" s="68">
        <v>777.58</v>
      </c>
      <c r="L187" s="255">
        <v>4665.49</v>
      </c>
      <c r="M187" s="68">
        <v>3887.91</v>
      </c>
      <c r="N187" s="68">
        <v>777.58</v>
      </c>
      <c r="O187" s="255">
        <f t="shared" si="49"/>
        <v>4665.49</v>
      </c>
      <c r="P187" s="68">
        <f t="shared" si="47"/>
        <v>2527.1415</v>
      </c>
      <c r="Q187" s="409">
        <f t="shared" si="48"/>
        <v>505.427</v>
      </c>
      <c r="R187" s="256">
        <f t="shared" si="50"/>
        <v>3032.5685000000003</v>
      </c>
      <c r="S187" s="478" t="s">
        <v>1242</v>
      </c>
      <c r="T187" s="475"/>
    </row>
    <row r="188" spans="1:20" s="401" customFormat="1" ht="37.5" customHeight="1">
      <c r="A188" s="99" t="s">
        <v>977</v>
      </c>
      <c r="B188" s="100"/>
      <c r="C188" s="232" t="s">
        <v>256</v>
      </c>
      <c r="D188" s="102" t="s">
        <v>895</v>
      </c>
      <c r="E188" s="102" t="s">
        <v>1082</v>
      </c>
      <c r="F188" s="101">
        <v>144</v>
      </c>
      <c r="G188" s="103">
        <v>39654</v>
      </c>
      <c r="H188" s="103">
        <v>39660</v>
      </c>
      <c r="I188" s="104" t="s">
        <v>61</v>
      </c>
      <c r="J188" s="68">
        <v>13649.84</v>
      </c>
      <c r="K188" s="68">
        <v>2729.9680000000003</v>
      </c>
      <c r="L188" s="255">
        <v>16379.808</v>
      </c>
      <c r="M188" s="68">
        <v>13649.84</v>
      </c>
      <c r="N188" s="68">
        <v>2729.9680000000003</v>
      </c>
      <c r="O188" s="255">
        <f t="shared" si="49"/>
        <v>16379.808</v>
      </c>
      <c r="P188" s="68">
        <f t="shared" si="47"/>
        <v>8872.396</v>
      </c>
      <c r="Q188" s="409">
        <f t="shared" si="48"/>
        <v>1774.4792000000002</v>
      </c>
      <c r="R188" s="256">
        <f t="shared" si="50"/>
        <v>10646.8752</v>
      </c>
      <c r="S188" s="478" t="s">
        <v>1242</v>
      </c>
      <c r="T188" s="475"/>
    </row>
    <row r="189" spans="1:20" s="401" customFormat="1" ht="37.5" customHeight="1">
      <c r="A189" s="99" t="s">
        <v>977</v>
      </c>
      <c r="B189" s="100"/>
      <c r="C189" s="232" t="s">
        <v>256</v>
      </c>
      <c r="D189" s="102" t="s">
        <v>895</v>
      </c>
      <c r="E189" s="102" t="s">
        <v>884</v>
      </c>
      <c r="F189" s="101">
        <v>7</v>
      </c>
      <c r="G189" s="103">
        <v>39653</v>
      </c>
      <c r="H189" s="103">
        <v>39661</v>
      </c>
      <c r="I189" s="104" t="s">
        <v>61</v>
      </c>
      <c r="J189" s="68">
        <v>4620</v>
      </c>
      <c r="K189" s="68">
        <v>924</v>
      </c>
      <c r="L189" s="255">
        <v>5544</v>
      </c>
      <c r="M189" s="68">
        <v>4620</v>
      </c>
      <c r="N189" s="68">
        <v>924</v>
      </c>
      <c r="O189" s="255">
        <f t="shared" si="49"/>
        <v>5544</v>
      </c>
      <c r="P189" s="68">
        <f t="shared" si="47"/>
        <v>3003</v>
      </c>
      <c r="Q189" s="409">
        <f t="shared" si="48"/>
        <v>600.6</v>
      </c>
      <c r="R189" s="256">
        <f t="shared" si="50"/>
        <v>3603.6</v>
      </c>
      <c r="S189" s="478" t="s">
        <v>1242</v>
      </c>
      <c r="T189" s="475"/>
    </row>
    <row r="190" spans="1:20" s="401" customFormat="1" ht="37.5" customHeight="1">
      <c r="A190" s="99" t="s">
        <v>977</v>
      </c>
      <c r="B190" s="100"/>
      <c r="C190" s="232" t="s">
        <v>256</v>
      </c>
      <c r="D190" s="102" t="s">
        <v>895</v>
      </c>
      <c r="E190" s="102" t="s">
        <v>887</v>
      </c>
      <c r="F190" s="101">
        <v>12</v>
      </c>
      <c r="G190" s="103">
        <v>39654</v>
      </c>
      <c r="H190" s="103">
        <v>39660</v>
      </c>
      <c r="I190" s="104" t="s">
        <v>61</v>
      </c>
      <c r="J190" s="68">
        <v>3150</v>
      </c>
      <c r="K190" s="68">
        <v>630</v>
      </c>
      <c r="L190" s="255">
        <v>3780</v>
      </c>
      <c r="M190" s="68">
        <v>3150</v>
      </c>
      <c r="N190" s="68">
        <v>630</v>
      </c>
      <c r="O190" s="255">
        <f t="shared" si="49"/>
        <v>3780</v>
      </c>
      <c r="P190" s="68">
        <f t="shared" si="47"/>
        <v>2047.5</v>
      </c>
      <c r="Q190" s="409">
        <f t="shared" si="48"/>
        <v>409.5</v>
      </c>
      <c r="R190" s="256">
        <f t="shared" si="50"/>
        <v>2457</v>
      </c>
      <c r="S190" s="478" t="s">
        <v>1242</v>
      </c>
      <c r="T190" s="475"/>
    </row>
    <row r="191" spans="1:20" s="401" customFormat="1" ht="37.5" customHeight="1">
      <c r="A191" s="99" t="s">
        <v>977</v>
      </c>
      <c r="B191" s="100"/>
      <c r="C191" s="232" t="s">
        <v>256</v>
      </c>
      <c r="D191" s="102" t="s">
        <v>895</v>
      </c>
      <c r="E191" s="102" t="s">
        <v>886</v>
      </c>
      <c r="F191" s="101">
        <v>42</v>
      </c>
      <c r="G191" s="103">
        <v>39654</v>
      </c>
      <c r="H191" s="103">
        <v>39660</v>
      </c>
      <c r="I191" s="104" t="s">
        <v>61</v>
      </c>
      <c r="J191" s="68">
        <v>2729.97</v>
      </c>
      <c r="K191" s="68">
        <v>545.994</v>
      </c>
      <c r="L191" s="255">
        <v>3275.964</v>
      </c>
      <c r="M191" s="68">
        <v>2729.97</v>
      </c>
      <c r="N191" s="68">
        <v>545.994</v>
      </c>
      <c r="O191" s="255">
        <f t="shared" si="49"/>
        <v>3275.964</v>
      </c>
      <c r="P191" s="68">
        <f t="shared" si="47"/>
        <v>1774.4805</v>
      </c>
      <c r="Q191" s="409">
        <f t="shared" si="48"/>
        <v>354.89610000000005</v>
      </c>
      <c r="R191" s="256">
        <f t="shared" si="50"/>
        <v>2129.3766</v>
      </c>
      <c r="S191" s="478" t="s">
        <v>1242</v>
      </c>
      <c r="T191" s="475"/>
    </row>
    <row r="192" spans="1:20" s="401" customFormat="1" ht="37.5" customHeight="1">
      <c r="A192" s="99" t="s">
        <v>977</v>
      </c>
      <c r="B192" s="100"/>
      <c r="C192" s="232" t="s">
        <v>256</v>
      </c>
      <c r="D192" s="102" t="s">
        <v>895</v>
      </c>
      <c r="E192" s="102" t="s">
        <v>888</v>
      </c>
      <c r="F192" s="101">
        <v>10</v>
      </c>
      <c r="G192" s="103">
        <v>39654</v>
      </c>
      <c r="H192" s="103">
        <v>39661</v>
      </c>
      <c r="I192" s="104" t="s">
        <v>61</v>
      </c>
      <c r="J192" s="68">
        <v>2939.97</v>
      </c>
      <c r="K192" s="68">
        <v>587.994</v>
      </c>
      <c r="L192" s="255">
        <v>3527.964</v>
      </c>
      <c r="M192" s="68">
        <v>2939.97</v>
      </c>
      <c r="N192" s="68">
        <v>587.994</v>
      </c>
      <c r="O192" s="255">
        <f t="shared" si="49"/>
        <v>3527.964</v>
      </c>
      <c r="P192" s="68">
        <f t="shared" si="47"/>
        <v>1910.9805</v>
      </c>
      <c r="Q192" s="409">
        <f t="shared" si="48"/>
        <v>382.19610000000006</v>
      </c>
      <c r="R192" s="256">
        <f t="shared" si="50"/>
        <v>2293.1766</v>
      </c>
      <c r="S192" s="478" t="s">
        <v>1242</v>
      </c>
      <c r="T192" s="475"/>
    </row>
    <row r="193" spans="1:20" s="401" customFormat="1" ht="37.5" customHeight="1">
      <c r="A193" s="99" t="s">
        <v>977</v>
      </c>
      <c r="B193" s="100"/>
      <c r="C193" s="232" t="s">
        <v>256</v>
      </c>
      <c r="D193" s="102" t="s">
        <v>895</v>
      </c>
      <c r="E193" s="102" t="s">
        <v>885</v>
      </c>
      <c r="F193" s="101">
        <v>8</v>
      </c>
      <c r="G193" s="103">
        <v>39658</v>
      </c>
      <c r="H193" s="103">
        <v>39660</v>
      </c>
      <c r="I193" s="104" t="s">
        <v>61</v>
      </c>
      <c r="J193" s="68">
        <v>3359.95</v>
      </c>
      <c r="K193" s="68">
        <v>671.99</v>
      </c>
      <c r="L193" s="255">
        <v>4031.94</v>
      </c>
      <c r="M193" s="68">
        <v>3359.95</v>
      </c>
      <c r="N193" s="68">
        <v>671.99</v>
      </c>
      <c r="O193" s="255">
        <f t="shared" si="49"/>
        <v>4031.9399999999996</v>
      </c>
      <c r="P193" s="68">
        <f t="shared" si="47"/>
        <v>2183.9674999999997</v>
      </c>
      <c r="Q193" s="409">
        <f t="shared" si="48"/>
        <v>436.7935</v>
      </c>
      <c r="R193" s="256">
        <f t="shared" si="50"/>
        <v>2620.7609999999995</v>
      </c>
      <c r="S193" s="478" t="s">
        <v>1242</v>
      </c>
      <c r="T193" s="475"/>
    </row>
    <row r="194" spans="1:20" s="401" customFormat="1" ht="37.5" customHeight="1">
      <c r="A194" s="99" t="s">
        <v>977</v>
      </c>
      <c r="B194" s="100"/>
      <c r="C194" s="232" t="s">
        <v>256</v>
      </c>
      <c r="D194" s="102" t="s">
        <v>895</v>
      </c>
      <c r="E194" s="102" t="s">
        <v>981</v>
      </c>
      <c r="F194" s="101">
        <v>3</v>
      </c>
      <c r="G194" s="103">
        <v>39659</v>
      </c>
      <c r="H194" s="103">
        <v>39661</v>
      </c>
      <c r="I194" s="104" t="s">
        <v>61</v>
      </c>
      <c r="J194" s="68">
        <v>2729.97</v>
      </c>
      <c r="K194" s="68">
        <v>545.994</v>
      </c>
      <c r="L194" s="255">
        <v>3275.964</v>
      </c>
      <c r="M194" s="68">
        <v>2729.97</v>
      </c>
      <c r="N194" s="68">
        <v>545.994</v>
      </c>
      <c r="O194" s="255">
        <f t="shared" si="49"/>
        <v>3275.964</v>
      </c>
      <c r="P194" s="68">
        <f t="shared" si="47"/>
        <v>1774.4805</v>
      </c>
      <c r="Q194" s="409">
        <f t="shared" si="48"/>
        <v>354.89610000000005</v>
      </c>
      <c r="R194" s="256">
        <f t="shared" si="50"/>
        <v>2129.3766</v>
      </c>
      <c r="S194" s="478" t="s">
        <v>1242</v>
      </c>
      <c r="T194" s="475"/>
    </row>
    <row r="195" spans="1:20" s="401" customFormat="1" ht="37.5" customHeight="1">
      <c r="A195" s="99" t="s">
        <v>977</v>
      </c>
      <c r="B195" s="100"/>
      <c r="C195" s="9" t="s">
        <v>123</v>
      </c>
      <c r="D195" s="102" t="s">
        <v>1014</v>
      </c>
      <c r="E195" s="102" t="s">
        <v>1015</v>
      </c>
      <c r="F195" s="101">
        <v>1</v>
      </c>
      <c r="G195" s="103">
        <v>39659</v>
      </c>
      <c r="H195" s="103">
        <v>39715</v>
      </c>
      <c r="I195" s="104" t="s">
        <v>82</v>
      </c>
      <c r="J195" s="68">
        <v>7559.83</v>
      </c>
      <c r="K195" s="68">
        <v>1511.9660000000001</v>
      </c>
      <c r="L195" s="255">
        <v>9071.796</v>
      </c>
      <c r="M195" s="68">
        <v>7559.83</v>
      </c>
      <c r="N195" s="68">
        <v>1511.9660000000001</v>
      </c>
      <c r="O195" s="255">
        <f t="shared" si="49"/>
        <v>9071.796</v>
      </c>
      <c r="P195" s="68">
        <f t="shared" si="47"/>
        <v>4913.8895</v>
      </c>
      <c r="Q195" s="409">
        <f t="shared" si="48"/>
        <v>982.7779000000002</v>
      </c>
      <c r="R195" s="256">
        <f t="shared" si="50"/>
        <v>5896.6674</v>
      </c>
      <c r="S195" s="478" t="s">
        <v>1242</v>
      </c>
      <c r="T195" s="475"/>
    </row>
    <row r="196" spans="1:20" s="401" customFormat="1" ht="37.5" customHeight="1">
      <c r="A196" s="99" t="s">
        <v>977</v>
      </c>
      <c r="B196" s="100"/>
      <c r="C196" s="9" t="s">
        <v>83</v>
      </c>
      <c r="D196" s="102" t="s">
        <v>895</v>
      </c>
      <c r="E196" s="102" t="s">
        <v>998</v>
      </c>
      <c r="F196" s="101">
        <v>1</v>
      </c>
      <c r="G196" s="103">
        <v>39566</v>
      </c>
      <c r="H196" s="103">
        <v>39568</v>
      </c>
      <c r="I196" s="104" t="s">
        <v>82</v>
      </c>
      <c r="J196" s="68">
        <v>3240</v>
      </c>
      <c r="K196" s="68"/>
      <c r="L196" s="255">
        <v>3240</v>
      </c>
      <c r="M196" s="68">
        <v>3240</v>
      </c>
      <c r="N196" s="68"/>
      <c r="O196" s="255">
        <f t="shared" si="49"/>
        <v>3240</v>
      </c>
      <c r="P196" s="68">
        <f t="shared" si="47"/>
        <v>2106</v>
      </c>
      <c r="Q196" s="409">
        <f t="shared" si="48"/>
        <v>0</v>
      </c>
      <c r="R196" s="256">
        <f t="shared" si="50"/>
        <v>2106</v>
      </c>
      <c r="S196" s="478" t="s">
        <v>1242</v>
      </c>
      <c r="T196" s="475"/>
    </row>
    <row r="197" spans="1:20" s="401" customFormat="1" ht="37.5" customHeight="1">
      <c r="A197" s="99" t="s">
        <v>977</v>
      </c>
      <c r="B197" s="100"/>
      <c r="C197" s="9" t="s">
        <v>83</v>
      </c>
      <c r="D197" s="102" t="s">
        <v>895</v>
      </c>
      <c r="E197" s="102" t="s">
        <v>999</v>
      </c>
      <c r="F197" s="101">
        <v>41</v>
      </c>
      <c r="G197" s="103">
        <v>39604</v>
      </c>
      <c r="H197" s="103">
        <v>39622</v>
      </c>
      <c r="I197" s="104" t="s">
        <v>82</v>
      </c>
      <c r="J197" s="68">
        <v>2472</v>
      </c>
      <c r="K197" s="68">
        <v>494.4</v>
      </c>
      <c r="L197" s="255">
        <v>2966.4</v>
      </c>
      <c r="M197" s="68">
        <v>2472</v>
      </c>
      <c r="N197" s="68">
        <v>494.4</v>
      </c>
      <c r="O197" s="255">
        <f t="shared" si="49"/>
        <v>2966.4</v>
      </c>
      <c r="P197" s="68">
        <f t="shared" si="47"/>
        <v>1606.8</v>
      </c>
      <c r="Q197" s="409">
        <f t="shared" si="48"/>
        <v>321.36</v>
      </c>
      <c r="R197" s="256">
        <f t="shared" si="50"/>
        <v>1928.1599999999999</v>
      </c>
      <c r="S197" s="478" t="s">
        <v>1242</v>
      </c>
      <c r="T197" s="475"/>
    </row>
    <row r="198" spans="1:20" s="401" customFormat="1" ht="37.5" customHeight="1">
      <c r="A198" s="99" t="s">
        <v>977</v>
      </c>
      <c r="B198" s="100"/>
      <c r="C198" s="9" t="s">
        <v>184</v>
      </c>
      <c r="D198" s="102" t="s">
        <v>1155</v>
      </c>
      <c r="E198" s="102" t="s">
        <v>1156</v>
      </c>
      <c r="F198" s="101">
        <v>1</v>
      </c>
      <c r="G198" s="103">
        <v>39598</v>
      </c>
      <c r="H198" s="103" t="s">
        <v>1157</v>
      </c>
      <c r="I198" s="104" t="s">
        <v>82</v>
      </c>
      <c r="J198" s="68">
        <v>6000</v>
      </c>
      <c r="K198" s="68">
        <v>0</v>
      </c>
      <c r="L198" s="255">
        <v>6000</v>
      </c>
      <c r="M198" s="68">
        <v>6000</v>
      </c>
      <c r="N198" s="68">
        <v>0</v>
      </c>
      <c r="O198" s="255">
        <f t="shared" si="49"/>
        <v>6000</v>
      </c>
      <c r="P198" s="68">
        <f t="shared" si="47"/>
        <v>3900</v>
      </c>
      <c r="Q198" s="409">
        <f t="shared" si="48"/>
        <v>0</v>
      </c>
      <c r="R198" s="256">
        <f t="shared" si="50"/>
        <v>3900</v>
      </c>
      <c r="S198" s="478" t="s">
        <v>1242</v>
      </c>
      <c r="T198" s="475"/>
    </row>
    <row r="199" spans="1:20" s="401" customFormat="1" ht="37.5" customHeight="1">
      <c r="A199" s="99" t="s">
        <v>977</v>
      </c>
      <c r="B199" s="100"/>
      <c r="C199" s="9" t="s">
        <v>152</v>
      </c>
      <c r="D199" s="102" t="s">
        <v>1051</v>
      </c>
      <c r="E199" s="102" t="s">
        <v>819</v>
      </c>
      <c r="F199" s="101">
        <v>5</v>
      </c>
      <c r="G199" s="103">
        <v>39513</v>
      </c>
      <c r="H199" s="103">
        <v>39520</v>
      </c>
      <c r="I199" s="104" t="s">
        <v>157</v>
      </c>
      <c r="J199" s="68">
        <v>1050.4</v>
      </c>
      <c r="K199" s="68">
        <v>210.08</v>
      </c>
      <c r="L199" s="255">
        <v>1260.48</v>
      </c>
      <c r="M199" s="68">
        <v>1050.4</v>
      </c>
      <c r="N199" s="68">
        <v>210.08</v>
      </c>
      <c r="O199" s="255">
        <f t="shared" si="49"/>
        <v>1260.48</v>
      </c>
      <c r="P199" s="68">
        <f t="shared" si="47"/>
        <v>682.7600000000001</v>
      </c>
      <c r="Q199" s="409">
        <f t="shared" si="48"/>
        <v>136.55200000000002</v>
      </c>
      <c r="R199" s="256">
        <f t="shared" si="50"/>
        <v>819.3120000000001</v>
      </c>
      <c r="S199" s="478" t="s">
        <v>1242</v>
      </c>
      <c r="T199" s="475"/>
    </row>
    <row r="200" spans="1:20" s="401" customFormat="1" ht="37.5" customHeight="1">
      <c r="A200" s="99" t="s">
        <v>977</v>
      </c>
      <c r="B200" s="100"/>
      <c r="C200" s="9" t="s">
        <v>152</v>
      </c>
      <c r="D200" s="102" t="s">
        <v>1051</v>
      </c>
      <c r="E200" s="102" t="s">
        <v>819</v>
      </c>
      <c r="F200" s="101">
        <v>18</v>
      </c>
      <c r="G200" s="103">
        <v>39644</v>
      </c>
      <c r="H200" s="103">
        <v>39650</v>
      </c>
      <c r="I200" s="104" t="s">
        <v>157</v>
      </c>
      <c r="J200" s="68">
        <v>1050.4</v>
      </c>
      <c r="K200" s="68">
        <v>210.08</v>
      </c>
      <c r="L200" s="255">
        <v>1260.48</v>
      </c>
      <c r="M200" s="68">
        <v>1050.4</v>
      </c>
      <c r="N200" s="68">
        <v>210.08</v>
      </c>
      <c r="O200" s="255">
        <f t="shared" si="49"/>
        <v>1260.48</v>
      </c>
      <c r="P200" s="68">
        <f t="shared" si="47"/>
        <v>682.7600000000001</v>
      </c>
      <c r="Q200" s="409">
        <f t="shared" si="48"/>
        <v>136.55200000000002</v>
      </c>
      <c r="R200" s="256">
        <f t="shared" si="50"/>
        <v>819.3120000000001</v>
      </c>
      <c r="S200" s="478" t="s">
        <v>1242</v>
      </c>
      <c r="T200" s="475"/>
    </row>
    <row r="201" spans="1:20" s="401" customFormat="1" ht="37.5" customHeight="1">
      <c r="A201" s="99" t="s">
        <v>977</v>
      </c>
      <c r="B201" s="100"/>
      <c r="C201" s="101" t="s">
        <v>205</v>
      </c>
      <c r="D201" s="102" t="s">
        <v>209</v>
      </c>
      <c r="E201" s="102" t="s">
        <v>968</v>
      </c>
      <c r="F201" s="101">
        <v>3</v>
      </c>
      <c r="G201" s="103">
        <v>39652</v>
      </c>
      <c r="H201" s="103">
        <v>39720</v>
      </c>
      <c r="I201" s="104" t="s">
        <v>1199</v>
      </c>
      <c r="J201" s="68">
        <v>312</v>
      </c>
      <c r="K201" s="68">
        <v>62.4</v>
      </c>
      <c r="L201" s="255">
        <v>374.4</v>
      </c>
      <c r="M201" s="68">
        <v>312</v>
      </c>
      <c r="N201" s="68"/>
      <c r="O201" s="255">
        <f aca="true" t="shared" si="51" ref="O201:O216">+N201+M201</f>
        <v>312</v>
      </c>
      <c r="P201" s="68">
        <f t="shared" si="47"/>
        <v>202.8</v>
      </c>
      <c r="Q201" s="409">
        <f t="shared" si="48"/>
        <v>0</v>
      </c>
      <c r="R201" s="256">
        <f aca="true" t="shared" si="52" ref="R201:R216">+Q201+P201</f>
        <v>202.8</v>
      </c>
      <c r="S201" s="478" t="s">
        <v>1242</v>
      </c>
      <c r="T201" s="475"/>
    </row>
    <row r="202" spans="1:20" s="401" customFormat="1" ht="37.5" customHeight="1">
      <c r="A202" s="99" t="s">
        <v>977</v>
      </c>
      <c r="B202" s="100"/>
      <c r="C202" s="101" t="s">
        <v>205</v>
      </c>
      <c r="D202" s="102" t="s">
        <v>1200</v>
      </c>
      <c r="E202" s="102" t="s">
        <v>968</v>
      </c>
      <c r="F202" s="101">
        <v>4</v>
      </c>
      <c r="G202" s="103">
        <v>39652</v>
      </c>
      <c r="H202" s="103">
        <v>39720</v>
      </c>
      <c r="I202" s="104" t="s">
        <v>1199</v>
      </c>
      <c r="J202" s="68">
        <v>5148</v>
      </c>
      <c r="K202" s="68">
        <v>1029.6</v>
      </c>
      <c r="L202" s="255">
        <v>6177.6</v>
      </c>
      <c r="M202" s="68">
        <v>5148</v>
      </c>
      <c r="N202" s="68"/>
      <c r="O202" s="255">
        <f t="shared" si="51"/>
        <v>5148</v>
      </c>
      <c r="P202" s="68">
        <f t="shared" si="47"/>
        <v>3346.2000000000003</v>
      </c>
      <c r="Q202" s="409">
        <f t="shared" si="48"/>
        <v>0</v>
      </c>
      <c r="R202" s="256">
        <f t="shared" si="52"/>
        <v>3346.2000000000003</v>
      </c>
      <c r="S202" s="478" t="s">
        <v>1242</v>
      </c>
      <c r="T202" s="475"/>
    </row>
    <row r="203" spans="1:20" s="401" customFormat="1" ht="37.5" customHeight="1">
      <c r="A203" s="99" t="s">
        <v>977</v>
      </c>
      <c r="B203" s="100"/>
      <c r="C203" s="101" t="s">
        <v>205</v>
      </c>
      <c r="D203" s="102" t="s">
        <v>751</v>
      </c>
      <c r="E203" s="102" t="s">
        <v>1201</v>
      </c>
      <c r="F203" s="101">
        <v>1</v>
      </c>
      <c r="G203" s="103">
        <v>39559</v>
      </c>
      <c r="H203" s="103">
        <v>39720</v>
      </c>
      <c r="I203" s="104" t="s">
        <v>1199</v>
      </c>
      <c r="J203" s="68">
        <v>3640</v>
      </c>
      <c r="K203" s="68"/>
      <c r="L203" s="255">
        <v>3640</v>
      </c>
      <c r="M203" s="68">
        <v>3640</v>
      </c>
      <c r="N203" s="68"/>
      <c r="O203" s="255">
        <f t="shared" si="51"/>
        <v>3640</v>
      </c>
      <c r="P203" s="68">
        <f t="shared" si="47"/>
        <v>2366</v>
      </c>
      <c r="Q203" s="409">
        <f t="shared" si="48"/>
        <v>0</v>
      </c>
      <c r="R203" s="256">
        <f t="shared" si="52"/>
        <v>2366</v>
      </c>
      <c r="S203" s="478" t="s">
        <v>1242</v>
      </c>
      <c r="T203" s="475"/>
    </row>
    <row r="204" spans="1:20" s="401" customFormat="1" ht="37.5" customHeight="1">
      <c r="A204" s="99" t="s">
        <v>977</v>
      </c>
      <c r="B204" s="100"/>
      <c r="C204" s="101" t="s">
        <v>205</v>
      </c>
      <c r="D204" s="102" t="s">
        <v>751</v>
      </c>
      <c r="E204" s="102" t="s">
        <v>1202</v>
      </c>
      <c r="F204" s="101">
        <v>216</v>
      </c>
      <c r="G204" s="103">
        <v>39365</v>
      </c>
      <c r="H204" s="103">
        <v>39392</v>
      </c>
      <c r="I204" s="104" t="s">
        <v>1199</v>
      </c>
      <c r="J204" s="68">
        <v>3000</v>
      </c>
      <c r="K204" s="68">
        <v>600</v>
      </c>
      <c r="L204" s="255">
        <v>3600</v>
      </c>
      <c r="M204" s="68">
        <v>3000</v>
      </c>
      <c r="N204" s="68"/>
      <c r="O204" s="255">
        <f t="shared" si="51"/>
        <v>3000</v>
      </c>
      <c r="P204" s="68">
        <f t="shared" si="47"/>
        <v>1950</v>
      </c>
      <c r="Q204" s="409">
        <f t="shared" si="48"/>
        <v>0</v>
      </c>
      <c r="R204" s="256">
        <f t="shared" si="52"/>
        <v>1950</v>
      </c>
      <c r="S204" s="478" t="s">
        <v>1242</v>
      </c>
      <c r="T204" s="475"/>
    </row>
    <row r="205" spans="1:20" s="401" customFormat="1" ht="37.5" customHeight="1">
      <c r="A205" s="99" t="s">
        <v>977</v>
      </c>
      <c r="B205" s="100"/>
      <c r="C205" s="101" t="s">
        <v>205</v>
      </c>
      <c r="D205" s="102" t="s">
        <v>751</v>
      </c>
      <c r="E205" s="102" t="s">
        <v>1202</v>
      </c>
      <c r="F205" s="101">
        <v>255</v>
      </c>
      <c r="G205" s="103">
        <v>39429</v>
      </c>
      <c r="H205" s="103">
        <v>39484</v>
      </c>
      <c r="I205" s="104" t="s">
        <v>1203</v>
      </c>
      <c r="J205" s="68">
        <v>7000</v>
      </c>
      <c r="K205" s="68">
        <v>1400</v>
      </c>
      <c r="L205" s="255">
        <v>8400</v>
      </c>
      <c r="M205" s="68">
        <v>7000</v>
      </c>
      <c r="N205" s="68"/>
      <c r="O205" s="255">
        <f t="shared" si="51"/>
        <v>7000</v>
      </c>
      <c r="P205" s="68">
        <f t="shared" si="47"/>
        <v>4550</v>
      </c>
      <c r="Q205" s="409">
        <f t="shared" si="48"/>
        <v>0</v>
      </c>
      <c r="R205" s="256">
        <f t="shared" si="52"/>
        <v>4550</v>
      </c>
      <c r="S205" s="478" t="s">
        <v>1242</v>
      </c>
      <c r="T205" s="475"/>
    </row>
    <row r="206" spans="1:20" s="401" customFormat="1" ht="37.5" customHeight="1">
      <c r="A206" s="99" t="s">
        <v>977</v>
      </c>
      <c r="B206" s="100"/>
      <c r="C206" s="101" t="s">
        <v>205</v>
      </c>
      <c r="D206" s="102" t="s">
        <v>751</v>
      </c>
      <c r="E206" s="102" t="s">
        <v>1204</v>
      </c>
      <c r="F206" s="101" t="s">
        <v>1048</v>
      </c>
      <c r="G206" s="103">
        <v>39353</v>
      </c>
      <c r="H206" s="103">
        <v>39356</v>
      </c>
      <c r="I206" s="104" t="s">
        <v>1199</v>
      </c>
      <c r="J206" s="68">
        <v>3127.5</v>
      </c>
      <c r="K206" s="68"/>
      <c r="L206" s="255">
        <v>3127.5</v>
      </c>
      <c r="M206" s="68">
        <v>3127.5</v>
      </c>
      <c r="N206" s="68"/>
      <c r="O206" s="255">
        <f t="shared" si="51"/>
        <v>3127.5</v>
      </c>
      <c r="P206" s="68">
        <f t="shared" si="47"/>
        <v>2032.875</v>
      </c>
      <c r="Q206" s="409">
        <f t="shared" si="48"/>
        <v>0</v>
      </c>
      <c r="R206" s="256">
        <f t="shared" si="52"/>
        <v>2032.875</v>
      </c>
      <c r="S206" s="478" t="s">
        <v>1242</v>
      </c>
      <c r="T206" s="475"/>
    </row>
    <row r="207" spans="1:20" s="401" customFormat="1" ht="37.5" customHeight="1">
      <c r="A207" s="99" t="s">
        <v>977</v>
      </c>
      <c r="B207" s="100"/>
      <c r="C207" s="101" t="s">
        <v>205</v>
      </c>
      <c r="D207" s="102" t="s">
        <v>751</v>
      </c>
      <c r="E207" s="102" t="s">
        <v>1205</v>
      </c>
      <c r="F207" s="101">
        <v>27</v>
      </c>
      <c r="G207" s="103">
        <v>39665</v>
      </c>
      <c r="H207" s="103">
        <v>39720</v>
      </c>
      <c r="I207" s="104" t="s">
        <v>1199</v>
      </c>
      <c r="J207" s="68">
        <v>1500</v>
      </c>
      <c r="K207" s="68">
        <v>300</v>
      </c>
      <c r="L207" s="255">
        <v>1800</v>
      </c>
      <c r="M207" s="68">
        <v>1500</v>
      </c>
      <c r="N207" s="68"/>
      <c r="O207" s="255">
        <f t="shared" si="51"/>
        <v>1500</v>
      </c>
      <c r="P207" s="68">
        <f t="shared" si="47"/>
        <v>975</v>
      </c>
      <c r="Q207" s="409">
        <f t="shared" si="48"/>
        <v>0</v>
      </c>
      <c r="R207" s="256">
        <f t="shared" si="52"/>
        <v>975</v>
      </c>
      <c r="S207" s="478" t="s">
        <v>1242</v>
      </c>
      <c r="T207" s="475"/>
    </row>
    <row r="208" spans="1:20" s="401" customFormat="1" ht="37.5" customHeight="1">
      <c r="A208" s="99" t="s">
        <v>977</v>
      </c>
      <c r="B208" s="100"/>
      <c r="C208" s="101" t="s">
        <v>205</v>
      </c>
      <c r="D208" s="102" t="s">
        <v>210</v>
      </c>
      <c r="E208" s="102" t="s">
        <v>1205</v>
      </c>
      <c r="F208" s="101">
        <v>26</v>
      </c>
      <c r="G208" s="103">
        <v>39665</v>
      </c>
      <c r="H208" s="103">
        <v>39720</v>
      </c>
      <c r="I208" s="104" t="s">
        <v>1199</v>
      </c>
      <c r="J208" s="68">
        <v>900</v>
      </c>
      <c r="K208" s="68">
        <v>180</v>
      </c>
      <c r="L208" s="255">
        <v>1080</v>
      </c>
      <c r="M208" s="68">
        <v>900</v>
      </c>
      <c r="N208" s="68"/>
      <c r="O208" s="255">
        <f t="shared" si="51"/>
        <v>900</v>
      </c>
      <c r="P208" s="68">
        <f t="shared" si="47"/>
        <v>585</v>
      </c>
      <c r="Q208" s="409">
        <f t="shared" si="48"/>
        <v>0</v>
      </c>
      <c r="R208" s="256">
        <f t="shared" si="52"/>
        <v>585</v>
      </c>
      <c r="S208" s="478" t="s">
        <v>1242</v>
      </c>
      <c r="T208" s="475"/>
    </row>
    <row r="209" spans="1:20" s="401" customFormat="1" ht="37.5" customHeight="1">
      <c r="A209" s="99" t="s">
        <v>977</v>
      </c>
      <c r="B209" s="100"/>
      <c r="C209" s="101" t="s">
        <v>205</v>
      </c>
      <c r="D209" s="102" t="s">
        <v>751</v>
      </c>
      <c r="E209" s="102" t="s">
        <v>1206</v>
      </c>
      <c r="F209" s="101" t="s">
        <v>1048</v>
      </c>
      <c r="G209" s="103">
        <v>39658</v>
      </c>
      <c r="H209" s="103">
        <v>39720</v>
      </c>
      <c r="I209" s="104" t="s">
        <v>1199</v>
      </c>
      <c r="J209" s="68">
        <v>3740.4</v>
      </c>
      <c r="K209" s="68"/>
      <c r="L209" s="255">
        <v>3740.4</v>
      </c>
      <c r="M209" s="68">
        <v>3740.4</v>
      </c>
      <c r="N209" s="68"/>
      <c r="O209" s="255">
        <f t="shared" si="51"/>
        <v>3740.4</v>
      </c>
      <c r="P209" s="68">
        <f t="shared" si="47"/>
        <v>2431.26</v>
      </c>
      <c r="Q209" s="409">
        <f t="shared" si="48"/>
        <v>0</v>
      </c>
      <c r="R209" s="256">
        <f t="shared" si="52"/>
        <v>2431.26</v>
      </c>
      <c r="S209" s="478" t="s">
        <v>1242</v>
      </c>
      <c r="T209" s="475"/>
    </row>
    <row r="210" spans="1:20" s="401" customFormat="1" ht="37.5" customHeight="1">
      <c r="A210" s="99" t="s">
        <v>977</v>
      </c>
      <c r="B210" s="100"/>
      <c r="C210" s="101" t="s">
        <v>205</v>
      </c>
      <c r="D210" s="102" t="s">
        <v>751</v>
      </c>
      <c r="E210" s="102" t="s">
        <v>1207</v>
      </c>
      <c r="F210" s="101" t="s">
        <v>1048</v>
      </c>
      <c r="G210" s="103">
        <v>39694</v>
      </c>
      <c r="H210" s="103">
        <v>39720</v>
      </c>
      <c r="I210" s="104" t="s">
        <v>1199</v>
      </c>
      <c r="J210" s="68">
        <v>3740.4</v>
      </c>
      <c r="K210" s="68"/>
      <c r="L210" s="255">
        <v>3740.4</v>
      </c>
      <c r="M210" s="68">
        <v>3740.4</v>
      </c>
      <c r="N210" s="68"/>
      <c r="O210" s="255">
        <f t="shared" si="51"/>
        <v>3740.4</v>
      </c>
      <c r="P210" s="68">
        <f t="shared" si="47"/>
        <v>2431.26</v>
      </c>
      <c r="Q210" s="409">
        <f t="shared" si="48"/>
        <v>0</v>
      </c>
      <c r="R210" s="256">
        <f t="shared" si="52"/>
        <v>2431.26</v>
      </c>
      <c r="S210" s="478" t="s">
        <v>1242</v>
      </c>
      <c r="T210" s="475"/>
    </row>
    <row r="211" spans="1:20" s="401" customFormat="1" ht="37.5" customHeight="1">
      <c r="A211" s="99" t="s">
        <v>977</v>
      </c>
      <c r="B211" s="100"/>
      <c r="C211" s="101" t="s">
        <v>205</v>
      </c>
      <c r="D211" s="102" t="s">
        <v>751</v>
      </c>
      <c r="E211" s="102" t="s">
        <v>1208</v>
      </c>
      <c r="F211" s="101">
        <v>14</v>
      </c>
      <c r="G211" s="103">
        <v>39664</v>
      </c>
      <c r="H211" s="103">
        <v>39720</v>
      </c>
      <c r="I211" s="104" t="s">
        <v>1199</v>
      </c>
      <c r="J211" s="68">
        <v>3520</v>
      </c>
      <c r="K211" s="68">
        <v>704</v>
      </c>
      <c r="L211" s="255">
        <v>4224</v>
      </c>
      <c r="M211" s="68">
        <v>3520</v>
      </c>
      <c r="N211" s="68"/>
      <c r="O211" s="255">
        <f t="shared" si="51"/>
        <v>3520</v>
      </c>
      <c r="P211" s="68">
        <f t="shared" si="47"/>
        <v>2288</v>
      </c>
      <c r="Q211" s="409">
        <f t="shared" si="48"/>
        <v>0</v>
      </c>
      <c r="R211" s="256">
        <f t="shared" si="52"/>
        <v>2288</v>
      </c>
      <c r="S211" s="478" t="s">
        <v>1242</v>
      </c>
      <c r="T211" s="475"/>
    </row>
    <row r="212" spans="1:20" s="401" customFormat="1" ht="37.5" customHeight="1">
      <c r="A212" s="99" t="s">
        <v>977</v>
      </c>
      <c r="B212" s="100"/>
      <c r="C212" s="101" t="s">
        <v>205</v>
      </c>
      <c r="D212" s="102" t="s">
        <v>1209</v>
      </c>
      <c r="E212" s="102" t="s">
        <v>1210</v>
      </c>
      <c r="F212" s="101">
        <v>99</v>
      </c>
      <c r="G212" s="103">
        <v>39722</v>
      </c>
      <c r="H212" s="103">
        <v>39720</v>
      </c>
      <c r="I212" s="104" t="s">
        <v>1199</v>
      </c>
      <c r="J212" s="68">
        <v>1650</v>
      </c>
      <c r="K212" s="68">
        <v>330</v>
      </c>
      <c r="L212" s="255">
        <v>1980</v>
      </c>
      <c r="M212" s="68">
        <v>1650</v>
      </c>
      <c r="N212" s="68"/>
      <c r="O212" s="255">
        <f t="shared" si="51"/>
        <v>1650</v>
      </c>
      <c r="P212" s="68">
        <f t="shared" si="47"/>
        <v>1072.5</v>
      </c>
      <c r="Q212" s="409">
        <f t="shared" si="48"/>
        <v>0</v>
      </c>
      <c r="R212" s="256">
        <f t="shared" si="52"/>
        <v>1072.5</v>
      </c>
      <c r="S212" s="478" t="s">
        <v>1242</v>
      </c>
      <c r="T212" s="475"/>
    </row>
    <row r="213" spans="1:20" s="401" customFormat="1" ht="37.5" customHeight="1">
      <c r="A213" s="99" t="s">
        <v>977</v>
      </c>
      <c r="B213" s="100"/>
      <c r="C213" s="101" t="s">
        <v>205</v>
      </c>
      <c r="D213" s="102" t="s">
        <v>209</v>
      </c>
      <c r="E213" s="102" t="s">
        <v>1210</v>
      </c>
      <c r="F213" s="101">
        <v>100</v>
      </c>
      <c r="G213" s="103">
        <v>39722</v>
      </c>
      <c r="H213" s="103">
        <v>39720</v>
      </c>
      <c r="I213" s="104" t="s">
        <v>1199</v>
      </c>
      <c r="J213" s="68">
        <v>900</v>
      </c>
      <c r="K213" s="68">
        <v>180</v>
      </c>
      <c r="L213" s="255">
        <v>1080</v>
      </c>
      <c r="M213" s="68">
        <v>900</v>
      </c>
      <c r="N213" s="68"/>
      <c r="O213" s="255">
        <f t="shared" si="51"/>
        <v>900</v>
      </c>
      <c r="P213" s="68">
        <f t="shared" si="47"/>
        <v>585</v>
      </c>
      <c r="Q213" s="409">
        <f t="shared" si="48"/>
        <v>0</v>
      </c>
      <c r="R213" s="256">
        <f t="shared" si="52"/>
        <v>585</v>
      </c>
      <c r="S213" s="478" t="s">
        <v>1242</v>
      </c>
      <c r="T213" s="475"/>
    </row>
    <row r="214" spans="1:20" s="401" customFormat="1" ht="37.5" customHeight="1">
      <c r="A214" s="99" t="s">
        <v>977</v>
      </c>
      <c r="B214" s="100"/>
      <c r="C214" s="101" t="s">
        <v>205</v>
      </c>
      <c r="D214" s="102" t="s">
        <v>1209</v>
      </c>
      <c r="E214" s="102" t="s">
        <v>1211</v>
      </c>
      <c r="F214" s="101">
        <v>24</v>
      </c>
      <c r="G214" s="103">
        <v>39716</v>
      </c>
      <c r="H214" s="103">
        <v>39720</v>
      </c>
      <c r="I214" s="104" t="s">
        <v>1199</v>
      </c>
      <c r="J214" s="68">
        <v>1650</v>
      </c>
      <c r="K214" s="68">
        <v>330</v>
      </c>
      <c r="L214" s="255">
        <v>1980</v>
      </c>
      <c r="M214" s="68">
        <v>1650</v>
      </c>
      <c r="N214" s="68"/>
      <c r="O214" s="255">
        <f t="shared" si="51"/>
        <v>1650</v>
      </c>
      <c r="P214" s="68">
        <f t="shared" si="47"/>
        <v>1072.5</v>
      </c>
      <c r="Q214" s="409">
        <f t="shared" si="48"/>
        <v>0</v>
      </c>
      <c r="R214" s="256">
        <f t="shared" si="52"/>
        <v>1072.5</v>
      </c>
      <c r="S214" s="478" t="s">
        <v>1242</v>
      </c>
      <c r="T214" s="475"/>
    </row>
    <row r="215" spans="1:20" s="401" customFormat="1" ht="37.5" customHeight="1">
      <c r="A215" s="99" t="s">
        <v>977</v>
      </c>
      <c r="B215" s="100"/>
      <c r="C215" s="101" t="s">
        <v>205</v>
      </c>
      <c r="D215" s="102" t="s">
        <v>209</v>
      </c>
      <c r="E215" s="102" t="s">
        <v>1211</v>
      </c>
      <c r="F215" s="101">
        <v>25</v>
      </c>
      <c r="G215" s="103">
        <v>39716</v>
      </c>
      <c r="H215" s="103">
        <v>39720</v>
      </c>
      <c r="I215" s="104" t="s">
        <v>1199</v>
      </c>
      <c r="J215" s="68">
        <v>900</v>
      </c>
      <c r="K215" s="68">
        <v>180</v>
      </c>
      <c r="L215" s="255">
        <v>1080</v>
      </c>
      <c r="M215" s="68">
        <v>900</v>
      </c>
      <c r="N215" s="68"/>
      <c r="O215" s="255">
        <f t="shared" si="51"/>
        <v>900</v>
      </c>
      <c r="P215" s="68">
        <f t="shared" si="47"/>
        <v>585</v>
      </c>
      <c r="Q215" s="409">
        <f t="shared" si="48"/>
        <v>0</v>
      </c>
      <c r="R215" s="256">
        <f t="shared" si="52"/>
        <v>585</v>
      </c>
      <c r="S215" s="478" t="s">
        <v>1242</v>
      </c>
      <c r="T215" s="475"/>
    </row>
    <row r="216" spans="1:20" s="401" customFormat="1" ht="37.5" customHeight="1">
      <c r="A216" s="99" t="s">
        <v>977</v>
      </c>
      <c r="B216" s="100"/>
      <c r="C216" s="101" t="s">
        <v>205</v>
      </c>
      <c r="D216" s="102" t="s">
        <v>751</v>
      </c>
      <c r="E216" s="102" t="s">
        <v>1204</v>
      </c>
      <c r="F216" s="101" t="s">
        <v>1048</v>
      </c>
      <c r="G216" s="103">
        <v>39720</v>
      </c>
      <c r="H216" s="103">
        <v>39720</v>
      </c>
      <c r="I216" s="104" t="s">
        <v>1199</v>
      </c>
      <c r="J216" s="68">
        <v>1246.8</v>
      </c>
      <c r="K216" s="68"/>
      <c r="L216" s="255">
        <v>1246.8</v>
      </c>
      <c r="M216" s="68">
        <v>1246.8</v>
      </c>
      <c r="N216" s="68"/>
      <c r="O216" s="255">
        <f t="shared" si="51"/>
        <v>1246.8</v>
      </c>
      <c r="P216" s="68">
        <f t="shared" si="47"/>
        <v>810.42</v>
      </c>
      <c r="Q216" s="409">
        <f t="shared" si="48"/>
        <v>0</v>
      </c>
      <c r="R216" s="256">
        <f t="shared" si="52"/>
        <v>810.42</v>
      </c>
      <c r="S216" s="478" t="s">
        <v>1242</v>
      </c>
      <c r="T216" s="475"/>
    </row>
    <row r="217" spans="1:20" ht="11.25" customHeight="1">
      <c r="A217" s="7"/>
      <c r="B217" s="7"/>
      <c r="C217" s="7"/>
      <c r="D217" s="7"/>
      <c r="E217" s="202"/>
      <c r="F217" s="7"/>
      <c r="G217" s="7"/>
      <c r="H217" s="202"/>
      <c r="I217" s="202"/>
      <c r="J217" s="339"/>
      <c r="K217" s="339"/>
      <c r="L217" s="337"/>
      <c r="M217" s="7"/>
      <c r="N217" s="7"/>
      <c r="O217" s="261"/>
      <c r="P217" s="7"/>
      <c r="Q217" s="7"/>
      <c r="R217" s="261"/>
      <c r="S217" s="519"/>
      <c r="T217" s="520"/>
    </row>
    <row r="218" spans="19:20" ht="11.25" customHeight="1">
      <c r="S218" s="519"/>
      <c r="T218" s="520"/>
    </row>
    <row r="219" spans="1:20" ht="11.25">
      <c r="A219" s="555" t="s">
        <v>1</v>
      </c>
      <c r="B219" s="556"/>
      <c r="C219" s="556"/>
      <c r="D219" s="556"/>
      <c r="E219" s="556"/>
      <c r="F219" s="556"/>
      <c r="G219" s="556"/>
      <c r="H219" s="556"/>
      <c r="I219" s="556"/>
      <c r="J219" s="556"/>
      <c r="K219" s="556"/>
      <c r="L219" s="557"/>
      <c r="M219" s="69" t="s">
        <v>45</v>
      </c>
      <c r="N219" s="20" t="s">
        <v>40</v>
      </c>
      <c r="O219" s="259" t="s">
        <v>46</v>
      </c>
      <c r="P219" s="20" t="s">
        <v>47</v>
      </c>
      <c r="Q219" s="20" t="s">
        <v>48</v>
      </c>
      <c r="R219" s="259" t="s">
        <v>42</v>
      </c>
      <c r="S219" s="71" t="s">
        <v>25</v>
      </c>
      <c r="T219" s="72" t="s">
        <v>26</v>
      </c>
    </row>
    <row r="220" spans="1:21" ht="11.25">
      <c r="A220" s="525"/>
      <c r="B220" s="526"/>
      <c r="C220" s="560"/>
      <c r="D220" s="561"/>
      <c r="E220" s="561"/>
      <c r="F220" s="561"/>
      <c r="G220" s="561"/>
      <c r="H220" s="561"/>
      <c r="I220" s="561"/>
      <c r="J220" s="561"/>
      <c r="K220" s="562"/>
      <c r="L220" s="265" t="s">
        <v>12</v>
      </c>
      <c r="M220" s="3">
        <v>85350</v>
      </c>
      <c r="N220" s="97"/>
      <c r="O220" s="251"/>
      <c r="P220" s="3"/>
      <c r="Q220" s="3"/>
      <c r="R220" s="251"/>
      <c r="S220" s="73"/>
      <c r="T220" s="73"/>
      <c r="U220" s="21"/>
    </row>
    <row r="221" spans="1:21" ht="11.25">
      <c r="A221" s="525"/>
      <c r="B221" s="526"/>
      <c r="C221" s="34"/>
      <c r="D221" s="86"/>
      <c r="E221" s="86"/>
      <c r="F221" s="33"/>
      <c r="G221" s="33"/>
      <c r="H221" s="33"/>
      <c r="I221" s="92"/>
      <c r="J221" s="33"/>
      <c r="K221" s="4"/>
      <c r="L221" s="266" t="s">
        <v>28</v>
      </c>
      <c r="M221" s="4">
        <f aca="true" t="shared" si="53" ref="M221:R221">SUM(M230)</f>
        <v>458</v>
      </c>
      <c r="N221" s="4">
        <f t="shared" si="53"/>
        <v>0</v>
      </c>
      <c r="O221" s="252">
        <f t="shared" si="53"/>
        <v>458</v>
      </c>
      <c r="P221" s="4">
        <f t="shared" si="53"/>
        <v>297.7</v>
      </c>
      <c r="Q221" s="4">
        <f t="shared" si="53"/>
        <v>0</v>
      </c>
      <c r="R221" s="252">
        <f t="shared" si="53"/>
        <v>297.7</v>
      </c>
      <c r="S221" s="74">
        <f aca="true" t="shared" si="54" ref="S221:S227">R221*0.375</f>
        <v>111.63749999999999</v>
      </c>
      <c r="T221" s="74">
        <f aca="true" t="shared" si="55" ref="T221:T226">R221-S221</f>
        <v>186.0625</v>
      </c>
      <c r="U221" s="21"/>
    </row>
    <row r="222" spans="1:21" ht="11.25">
      <c r="A222" s="525"/>
      <c r="B222" s="526"/>
      <c r="C222" s="34"/>
      <c r="D222" s="86"/>
      <c r="E222" s="86"/>
      <c r="F222" s="33"/>
      <c r="G222" s="33"/>
      <c r="H222" s="33"/>
      <c r="I222" s="92"/>
      <c r="J222" s="33"/>
      <c r="K222" s="35"/>
      <c r="L222" s="269" t="s">
        <v>29</v>
      </c>
      <c r="M222" s="4">
        <f>SUM(M231)</f>
        <v>0</v>
      </c>
      <c r="N222" s="4"/>
      <c r="O222" s="252"/>
      <c r="P222" s="4">
        <v>0</v>
      </c>
      <c r="Q222" s="67"/>
      <c r="R222" s="262"/>
      <c r="S222" s="74">
        <f t="shared" si="54"/>
        <v>0</v>
      </c>
      <c r="T222" s="74">
        <f t="shared" si="55"/>
        <v>0</v>
      </c>
      <c r="U222" s="21"/>
    </row>
    <row r="223" spans="1:21" ht="11.25">
      <c r="A223" s="525"/>
      <c r="B223" s="526"/>
      <c r="C223" s="34"/>
      <c r="D223" s="86"/>
      <c r="E223" s="86"/>
      <c r="F223" s="33"/>
      <c r="G223" s="33"/>
      <c r="H223" s="33"/>
      <c r="I223" s="92"/>
      <c r="J223" s="33"/>
      <c r="K223" s="35"/>
      <c r="L223" s="269" t="s">
        <v>474</v>
      </c>
      <c r="M223" s="4"/>
      <c r="N223" s="4"/>
      <c r="O223" s="252"/>
      <c r="P223" s="4"/>
      <c r="Q223" s="4"/>
      <c r="R223" s="252"/>
      <c r="S223" s="74">
        <f t="shared" si="54"/>
        <v>0</v>
      </c>
      <c r="T223" s="74">
        <f t="shared" si="55"/>
        <v>0</v>
      </c>
      <c r="U223" s="21"/>
    </row>
    <row r="224" spans="1:21" ht="11.25">
      <c r="A224" s="525"/>
      <c r="B224" s="526"/>
      <c r="C224" s="34"/>
      <c r="D224" s="86"/>
      <c r="E224" s="86"/>
      <c r="F224" s="33"/>
      <c r="G224" s="33"/>
      <c r="H224" s="33"/>
      <c r="I224" s="92"/>
      <c r="J224" s="33"/>
      <c r="K224" s="35"/>
      <c r="L224" s="269" t="s">
        <v>742</v>
      </c>
      <c r="M224" s="4">
        <f>SUM(M232:M233)</f>
        <v>840</v>
      </c>
      <c r="N224" s="4">
        <f>SUM(N232:N233)</f>
        <v>168</v>
      </c>
      <c r="O224" s="252">
        <f>+N224+M224</f>
        <v>1008</v>
      </c>
      <c r="P224" s="4">
        <f>SUM(P232:P233)</f>
        <v>546</v>
      </c>
      <c r="Q224" s="4">
        <f>SUM(Q232:Q233)</f>
        <v>109.19999999999999</v>
      </c>
      <c r="R224" s="252">
        <f>+Q224+P224</f>
        <v>655.2</v>
      </c>
      <c r="S224" s="74">
        <f t="shared" si="54"/>
        <v>245.70000000000002</v>
      </c>
      <c r="T224" s="74">
        <f t="shared" si="55"/>
        <v>409.5</v>
      </c>
      <c r="U224" s="21"/>
    </row>
    <row r="225" spans="1:21" ht="11.25">
      <c r="A225" s="525"/>
      <c r="B225" s="526"/>
      <c r="C225" s="34"/>
      <c r="D225" s="86"/>
      <c r="E225" s="86"/>
      <c r="F225" s="33"/>
      <c r="G225" s="33"/>
      <c r="H225" s="33"/>
      <c r="I225" s="92"/>
      <c r="J225" s="33"/>
      <c r="K225" s="35"/>
      <c r="L225" s="269" t="s">
        <v>834</v>
      </c>
      <c r="M225" s="4">
        <f>SUM(M234:M236)</f>
        <v>9062.5</v>
      </c>
      <c r="N225" s="4">
        <f>SUM(N234:N236)</f>
        <v>12.5</v>
      </c>
      <c r="O225" s="252">
        <f>+N225+M225</f>
        <v>9075</v>
      </c>
      <c r="P225" s="4">
        <f>SUM(P234:P236)</f>
        <v>5890.625</v>
      </c>
      <c r="Q225" s="4">
        <f>SUM(Q234:Q236)</f>
        <v>8.125</v>
      </c>
      <c r="R225" s="252">
        <f>+Q225+P225</f>
        <v>5898.75</v>
      </c>
      <c r="S225" s="74">
        <f t="shared" si="54"/>
        <v>2212.03125</v>
      </c>
      <c r="T225" s="74">
        <f t="shared" si="55"/>
        <v>3686.71875</v>
      </c>
      <c r="U225" s="21"/>
    </row>
    <row r="226" spans="1:21" ht="11.25">
      <c r="A226" s="525"/>
      <c r="B226" s="526"/>
      <c r="C226" s="34"/>
      <c r="D226" s="86"/>
      <c r="E226" s="86"/>
      <c r="F226" s="33"/>
      <c r="G226" s="33"/>
      <c r="H226" s="33"/>
      <c r="I226" s="92"/>
      <c r="J226" s="33"/>
      <c r="K226" s="35"/>
      <c r="L226" s="269" t="s">
        <v>839</v>
      </c>
      <c r="M226" s="4">
        <f>+M237</f>
        <v>11985</v>
      </c>
      <c r="N226" s="4">
        <f>+N237</f>
        <v>2397</v>
      </c>
      <c r="O226" s="252">
        <f>+N226+M226</f>
        <v>14382</v>
      </c>
      <c r="P226" s="4">
        <f>+P237</f>
        <v>7790.25</v>
      </c>
      <c r="Q226" s="4">
        <f>+Q237</f>
        <v>1558.05</v>
      </c>
      <c r="R226" s="252">
        <f>+Q226+P226</f>
        <v>9348.3</v>
      </c>
      <c r="S226" s="74">
        <f t="shared" si="54"/>
        <v>3505.6124999999997</v>
      </c>
      <c r="T226" s="74">
        <f t="shared" si="55"/>
        <v>5842.6875</v>
      </c>
      <c r="U226" s="21"/>
    </row>
    <row r="227" spans="1:21" ht="11.25">
      <c r="A227" s="525"/>
      <c r="B227" s="526"/>
      <c r="C227" s="34"/>
      <c r="D227" s="86"/>
      <c r="E227" s="86"/>
      <c r="F227" s="33"/>
      <c r="G227" s="33"/>
      <c r="H227" s="33"/>
      <c r="I227" s="92"/>
      <c r="J227" s="33"/>
      <c r="K227" s="35"/>
      <c r="L227" s="269" t="s">
        <v>1075</v>
      </c>
      <c r="M227" s="4">
        <f>SUM(M241:M243)</f>
        <v>5598</v>
      </c>
      <c r="N227" s="4">
        <f>SUM(N241:N243)</f>
        <v>0</v>
      </c>
      <c r="O227" s="252">
        <f>+N227+M227</f>
        <v>5598</v>
      </c>
      <c r="P227" s="4">
        <f>SUM(P241:P243)</f>
        <v>3638.7</v>
      </c>
      <c r="Q227" s="4">
        <f>SUM(Q241:Q243)</f>
        <v>0</v>
      </c>
      <c r="R227" s="252">
        <f>+Q227+P227</f>
        <v>3638.7</v>
      </c>
      <c r="S227" s="74">
        <f t="shared" si="54"/>
        <v>1364.5124999999998</v>
      </c>
      <c r="T227" s="74">
        <f>R227-S227</f>
        <v>2274.1875</v>
      </c>
      <c r="U227" s="21"/>
    </row>
    <row r="228" spans="1:21" ht="10.5" customHeight="1">
      <c r="A228" s="527"/>
      <c r="B228" s="510"/>
      <c r="C228" s="514"/>
      <c r="D228" s="515"/>
      <c r="E228" s="515"/>
      <c r="F228" s="515"/>
      <c r="G228" s="515"/>
      <c r="H228" s="515"/>
      <c r="I228" s="515"/>
      <c r="J228" s="515"/>
      <c r="K228" s="516"/>
      <c r="L228" s="267" t="s">
        <v>13</v>
      </c>
      <c r="M228" s="6">
        <f>M220-M221-M222-M223-M224-M225-M226-M227</f>
        <v>57406.5</v>
      </c>
      <c r="N228" s="6"/>
      <c r="O228" s="253"/>
      <c r="P228" s="6"/>
      <c r="Q228" s="6"/>
      <c r="R228" s="253"/>
      <c r="S228" s="78"/>
      <c r="T228" s="77"/>
      <c r="U228" s="21"/>
    </row>
    <row r="229" spans="1:20" ht="31.5" customHeight="1">
      <c r="A229" s="7" t="s">
        <v>14</v>
      </c>
      <c r="B229" s="7" t="s">
        <v>11</v>
      </c>
      <c r="C229" s="25" t="s">
        <v>24</v>
      </c>
      <c r="D229" s="25" t="s">
        <v>20</v>
      </c>
      <c r="E229" s="31" t="s">
        <v>2</v>
      </c>
      <c r="F229" s="25" t="s">
        <v>19</v>
      </c>
      <c r="G229" s="25" t="s">
        <v>18</v>
      </c>
      <c r="H229" s="31" t="s">
        <v>17</v>
      </c>
      <c r="I229" s="31" t="s">
        <v>16</v>
      </c>
      <c r="J229" s="336" t="s">
        <v>3</v>
      </c>
      <c r="K229" s="336" t="s">
        <v>4</v>
      </c>
      <c r="L229" s="337" t="s">
        <v>5</v>
      </c>
      <c r="M229" s="7" t="s">
        <v>21</v>
      </c>
      <c r="N229" s="7" t="s">
        <v>40</v>
      </c>
      <c r="O229" s="261" t="s">
        <v>43</v>
      </c>
      <c r="P229" s="7" t="s">
        <v>22</v>
      </c>
      <c r="Q229" s="19" t="s">
        <v>41</v>
      </c>
      <c r="R229" s="254" t="s">
        <v>42</v>
      </c>
      <c r="S229" s="524" t="s">
        <v>27</v>
      </c>
      <c r="T229" s="524"/>
    </row>
    <row r="230" spans="1:20" ht="45">
      <c r="A230" s="233" t="s">
        <v>15</v>
      </c>
      <c r="B230" s="7"/>
      <c r="C230" s="232" t="s">
        <v>205</v>
      </c>
      <c r="D230" s="109" t="s">
        <v>218</v>
      </c>
      <c r="E230" s="211" t="s">
        <v>219</v>
      </c>
      <c r="F230" s="240">
        <v>84</v>
      </c>
      <c r="G230" s="241">
        <v>0.3361689814814815</v>
      </c>
      <c r="H230" s="239" t="s">
        <v>220</v>
      </c>
      <c r="I230" s="242" t="s">
        <v>274</v>
      </c>
      <c r="J230" s="68">
        <v>2862</v>
      </c>
      <c r="K230" s="207">
        <f>+J230*20%</f>
        <v>572.4</v>
      </c>
      <c r="L230" s="255">
        <f>+K230+J230</f>
        <v>3434.4</v>
      </c>
      <c r="M230" s="68">
        <v>458</v>
      </c>
      <c r="N230" s="7"/>
      <c r="O230" s="255">
        <v>458</v>
      </c>
      <c r="P230" s="68">
        <f>M230*0.65</f>
        <v>297.7</v>
      </c>
      <c r="Q230" s="68">
        <f>N230*0.65</f>
        <v>0</v>
      </c>
      <c r="R230" s="255">
        <f>O230*0.65</f>
        <v>297.7</v>
      </c>
      <c r="S230" s="547"/>
      <c r="T230" s="547"/>
    </row>
    <row r="231" spans="1:20" ht="45">
      <c r="A231" s="99" t="s">
        <v>252</v>
      </c>
      <c r="B231" s="100"/>
      <c r="C231" s="139" t="s">
        <v>205</v>
      </c>
      <c r="D231" s="139" t="s">
        <v>218</v>
      </c>
      <c r="E231" s="211" t="s">
        <v>219</v>
      </c>
      <c r="F231" s="114">
        <v>84</v>
      </c>
      <c r="G231" s="213">
        <v>0.3361689814814815</v>
      </c>
      <c r="H231" s="205" t="s">
        <v>220</v>
      </c>
      <c r="I231" s="210" t="s">
        <v>221</v>
      </c>
      <c r="J231" s="206"/>
      <c r="K231" s="207">
        <v>76.33</v>
      </c>
      <c r="L231" s="273">
        <f>SUM(J231:K231)</f>
        <v>76.33</v>
      </c>
      <c r="M231" s="212"/>
      <c r="N231" s="108"/>
      <c r="O231" s="255">
        <f>SUM(M231:N231)</f>
        <v>0</v>
      </c>
      <c r="P231" s="68"/>
      <c r="Q231" s="68">
        <f aca="true" t="shared" si="56" ref="P231:Q233">N231*0.65</f>
        <v>0</v>
      </c>
      <c r="R231" s="255">
        <f>SUM(P231:Q231)</f>
        <v>0</v>
      </c>
      <c r="S231" s="541" t="s">
        <v>222</v>
      </c>
      <c r="T231" s="541"/>
    </row>
    <row r="232" spans="1:20" s="401" customFormat="1" ht="22.5" customHeight="1">
      <c r="A232" s="99" t="s">
        <v>635</v>
      </c>
      <c r="B232" s="100"/>
      <c r="C232" s="9" t="s">
        <v>65</v>
      </c>
      <c r="D232" s="102" t="s">
        <v>710</v>
      </c>
      <c r="E232" s="102" t="s">
        <v>693</v>
      </c>
      <c r="F232" s="101">
        <v>37</v>
      </c>
      <c r="G232" s="103">
        <v>38918</v>
      </c>
      <c r="H232" s="103">
        <v>38929</v>
      </c>
      <c r="I232" s="104" t="s">
        <v>78</v>
      </c>
      <c r="J232" s="68">
        <v>560</v>
      </c>
      <c r="K232" s="68">
        <v>112</v>
      </c>
      <c r="L232" s="255">
        <v>672</v>
      </c>
      <c r="M232" s="68">
        <v>560</v>
      </c>
      <c r="N232" s="68">
        <v>112</v>
      </c>
      <c r="O232" s="255">
        <f>+N232+M232</f>
        <v>672</v>
      </c>
      <c r="P232" s="68">
        <f t="shared" si="56"/>
        <v>364</v>
      </c>
      <c r="Q232" s="68">
        <f t="shared" si="56"/>
        <v>72.8</v>
      </c>
      <c r="R232" s="255">
        <f>+Q232+P232</f>
        <v>436.8</v>
      </c>
      <c r="S232" s="519" t="s">
        <v>730</v>
      </c>
      <c r="T232" s="520"/>
    </row>
    <row r="233" spans="1:20" s="401" customFormat="1" ht="22.5" customHeight="1">
      <c r="A233" s="99" t="s">
        <v>635</v>
      </c>
      <c r="B233" s="100"/>
      <c r="C233" s="9" t="s">
        <v>65</v>
      </c>
      <c r="D233" s="102" t="s">
        <v>710</v>
      </c>
      <c r="E233" s="102" t="s">
        <v>693</v>
      </c>
      <c r="F233" s="101">
        <v>48</v>
      </c>
      <c r="G233" s="103">
        <v>39007</v>
      </c>
      <c r="H233" s="103"/>
      <c r="I233" s="104" t="s">
        <v>82</v>
      </c>
      <c r="J233" s="68">
        <v>280</v>
      </c>
      <c r="K233" s="68">
        <v>56</v>
      </c>
      <c r="L233" s="255">
        <v>336</v>
      </c>
      <c r="M233" s="68">
        <v>280</v>
      </c>
      <c r="N233" s="68">
        <v>56</v>
      </c>
      <c r="O233" s="255">
        <f>+N233+M233</f>
        <v>336</v>
      </c>
      <c r="P233" s="68">
        <f t="shared" si="56"/>
        <v>182</v>
      </c>
      <c r="Q233" s="68">
        <f t="shared" si="56"/>
        <v>36.4</v>
      </c>
      <c r="R233" s="255">
        <f>+Q233+P233</f>
        <v>218.4</v>
      </c>
      <c r="S233" s="519" t="s">
        <v>730</v>
      </c>
      <c r="T233" s="520"/>
    </row>
    <row r="234" spans="1:20" s="401" customFormat="1" ht="22.5" customHeight="1">
      <c r="A234" s="99" t="s">
        <v>788</v>
      </c>
      <c r="B234" s="100"/>
      <c r="C234" s="139" t="s">
        <v>205</v>
      </c>
      <c r="D234" s="102" t="s">
        <v>789</v>
      </c>
      <c r="E234" s="102" t="s">
        <v>790</v>
      </c>
      <c r="F234" s="101" t="s">
        <v>791</v>
      </c>
      <c r="G234" s="103">
        <v>39008</v>
      </c>
      <c r="H234" s="103">
        <v>39078</v>
      </c>
      <c r="I234" s="104" t="s">
        <v>792</v>
      </c>
      <c r="J234" s="68">
        <v>9000</v>
      </c>
      <c r="K234" s="68">
        <v>1800</v>
      </c>
      <c r="L234" s="255">
        <v>10800</v>
      </c>
      <c r="M234" s="68">
        <v>9000</v>
      </c>
      <c r="N234" s="68"/>
      <c r="O234" s="255">
        <f>+N234+M234</f>
        <v>9000</v>
      </c>
      <c r="P234" s="68">
        <f>M234*0.65</f>
        <v>5850</v>
      </c>
      <c r="Q234" s="68">
        <f>N234*0.65</f>
        <v>0</v>
      </c>
      <c r="R234" s="255">
        <f>+Q234+P234</f>
        <v>5850</v>
      </c>
      <c r="S234" s="451"/>
      <c r="T234" s="450"/>
    </row>
    <row r="235" spans="1:20" s="401" customFormat="1" ht="22.5" customHeight="1">
      <c r="A235" s="99" t="s">
        <v>788</v>
      </c>
      <c r="B235" s="100"/>
      <c r="C235" s="9" t="s">
        <v>83</v>
      </c>
      <c r="D235" s="102" t="s">
        <v>804</v>
      </c>
      <c r="E235" s="102" t="s">
        <v>805</v>
      </c>
      <c r="F235" s="101" t="s">
        <v>806</v>
      </c>
      <c r="G235" s="103">
        <v>39050</v>
      </c>
      <c r="H235" s="103">
        <v>39055</v>
      </c>
      <c r="I235" s="104" t="s">
        <v>329</v>
      </c>
      <c r="J235" s="68">
        <v>62.5</v>
      </c>
      <c r="K235" s="68">
        <v>12.5</v>
      </c>
      <c r="L235" s="255">
        <v>75</v>
      </c>
      <c r="M235" s="68">
        <v>62.5</v>
      </c>
      <c r="N235" s="68">
        <v>12.5</v>
      </c>
      <c r="O235" s="255">
        <v>75</v>
      </c>
      <c r="P235" s="68">
        <f>M235*0.65</f>
        <v>40.625</v>
      </c>
      <c r="Q235" s="68">
        <f>N235*0.65</f>
        <v>8.125</v>
      </c>
      <c r="R235" s="255">
        <f>+Q235+P235</f>
        <v>48.75</v>
      </c>
      <c r="S235" s="451"/>
      <c r="T235" s="450"/>
    </row>
    <row r="236" spans="1:20" s="401" customFormat="1" ht="22.5" customHeight="1">
      <c r="A236" s="99" t="s">
        <v>788</v>
      </c>
      <c r="B236" s="100"/>
      <c r="C236" s="9" t="s">
        <v>123</v>
      </c>
      <c r="D236" s="102" t="s">
        <v>832</v>
      </c>
      <c r="E236" s="102"/>
      <c r="F236" s="101"/>
      <c r="G236" s="103"/>
      <c r="H236" s="103"/>
      <c r="I236" s="104"/>
      <c r="J236" s="68">
        <v>270.83</v>
      </c>
      <c r="K236" s="68">
        <v>54.17</v>
      </c>
      <c r="L236" s="255">
        <f>+K236+J236</f>
        <v>325</v>
      </c>
      <c r="M236" s="68"/>
      <c r="N236" s="68"/>
      <c r="O236" s="255"/>
      <c r="P236" s="68"/>
      <c r="Q236" s="68"/>
      <c r="R236" s="255"/>
      <c r="S236" s="451"/>
      <c r="T236" s="450"/>
    </row>
    <row r="237" spans="1:20" s="401" customFormat="1" ht="11.25">
      <c r="A237" s="480" t="s">
        <v>840</v>
      </c>
      <c r="B237" s="481"/>
      <c r="C237" s="484" t="s">
        <v>477</v>
      </c>
      <c r="D237" s="483"/>
      <c r="E237" s="483"/>
      <c r="F237" s="484"/>
      <c r="G237" s="485"/>
      <c r="H237" s="485"/>
      <c r="I237" s="486"/>
      <c r="J237" s="487">
        <v>11985</v>
      </c>
      <c r="K237" s="487">
        <v>2397</v>
      </c>
      <c r="L237" s="487">
        <f>+K237+J237</f>
        <v>14382</v>
      </c>
      <c r="M237" s="487">
        <v>11985</v>
      </c>
      <c r="N237" s="487">
        <v>2397</v>
      </c>
      <c r="O237" s="487">
        <f>+N237+M237</f>
        <v>14382</v>
      </c>
      <c r="P237" s="487">
        <f>M237*0.65</f>
        <v>7790.25</v>
      </c>
      <c r="Q237" s="487">
        <f>N237*0.65</f>
        <v>1558.05</v>
      </c>
      <c r="R237" s="487">
        <f>+Q237+P237</f>
        <v>9348.3</v>
      </c>
      <c r="S237" s="564" t="s">
        <v>841</v>
      </c>
      <c r="T237" s="565"/>
    </row>
    <row r="238" spans="1:20" s="401" customFormat="1" ht="34.5" customHeight="1">
      <c r="A238" s="99" t="s">
        <v>840</v>
      </c>
      <c r="B238" s="100"/>
      <c r="C238" s="139" t="s">
        <v>205</v>
      </c>
      <c r="D238" s="102" t="s">
        <v>789</v>
      </c>
      <c r="E238" s="102" t="s">
        <v>790</v>
      </c>
      <c r="F238" s="101" t="s">
        <v>969</v>
      </c>
      <c r="G238" s="103">
        <v>38886</v>
      </c>
      <c r="H238" s="103">
        <v>39078</v>
      </c>
      <c r="I238" s="104" t="s">
        <v>970</v>
      </c>
      <c r="J238" s="68">
        <v>9000</v>
      </c>
      <c r="K238" s="68">
        <v>1800</v>
      </c>
      <c r="L238" s="255">
        <v>10800</v>
      </c>
      <c r="M238" s="68"/>
      <c r="N238" s="68"/>
      <c r="O238" s="255"/>
      <c r="P238" s="68"/>
      <c r="Q238" s="68"/>
      <c r="R238" s="255"/>
      <c r="S238" s="474" t="s">
        <v>1242</v>
      </c>
      <c r="T238" s="475"/>
    </row>
    <row r="239" spans="1:20" s="401" customFormat="1" ht="34.5" customHeight="1">
      <c r="A239" s="99" t="s">
        <v>840</v>
      </c>
      <c r="B239" s="100"/>
      <c r="C239" s="139" t="s">
        <v>205</v>
      </c>
      <c r="D239" s="102" t="s">
        <v>971</v>
      </c>
      <c r="E239" s="102" t="s">
        <v>972</v>
      </c>
      <c r="F239" s="101">
        <v>30</v>
      </c>
      <c r="G239" s="103">
        <v>0.8771643518518518</v>
      </c>
      <c r="H239" s="103">
        <v>0.16952546296296298</v>
      </c>
      <c r="I239" s="104" t="s">
        <v>61</v>
      </c>
      <c r="J239" s="68">
        <v>650</v>
      </c>
      <c r="K239" s="68">
        <v>130</v>
      </c>
      <c r="L239" s="255">
        <v>780</v>
      </c>
      <c r="M239" s="68"/>
      <c r="N239" s="68"/>
      <c r="O239" s="255"/>
      <c r="P239" s="68"/>
      <c r="Q239" s="68"/>
      <c r="R239" s="255"/>
      <c r="S239" s="474" t="s">
        <v>1242</v>
      </c>
      <c r="T239" s="475"/>
    </row>
    <row r="240" spans="1:20" s="401" customFormat="1" ht="34.5" customHeight="1">
      <c r="A240" s="99" t="s">
        <v>840</v>
      </c>
      <c r="B240" s="100"/>
      <c r="C240" s="139" t="s">
        <v>205</v>
      </c>
      <c r="D240" s="102" t="s">
        <v>973</v>
      </c>
      <c r="E240" s="102" t="s">
        <v>972</v>
      </c>
      <c r="F240" s="101">
        <v>37</v>
      </c>
      <c r="G240" s="103">
        <v>0.08619212962962963</v>
      </c>
      <c r="H240" s="103">
        <v>0.4216087962962963</v>
      </c>
      <c r="I240" s="104" t="s">
        <v>61</v>
      </c>
      <c r="J240" s="68">
        <v>2335</v>
      </c>
      <c r="K240" s="68">
        <v>467</v>
      </c>
      <c r="L240" s="255">
        <v>2802</v>
      </c>
      <c r="M240" s="68"/>
      <c r="N240" s="68"/>
      <c r="O240" s="255"/>
      <c r="P240" s="68"/>
      <c r="Q240" s="68"/>
      <c r="R240" s="255"/>
      <c r="S240" s="474" t="s">
        <v>1242</v>
      </c>
      <c r="T240" s="475"/>
    </row>
    <row r="241" spans="1:20" s="401" customFormat="1" ht="11.25">
      <c r="A241" s="480" t="s">
        <v>977</v>
      </c>
      <c r="B241" s="481"/>
      <c r="C241" s="484" t="s">
        <v>980</v>
      </c>
      <c r="D241" s="483"/>
      <c r="E241" s="483"/>
      <c r="F241" s="484"/>
      <c r="G241" s="485"/>
      <c r="H241" s="485"/>
      <c r="I241" s="486"/>
      <c r="J241" s="487"/>
      <c r="K241" s="487"/>
      <c r="L241" s="487"/>
      <c r="M241" s="487"/>
      <c r="N241" s="487"/>
      <c r="O241" s="487"/>
      <c r="P241" s="487"/>
      <c r="Q241" s="487"/>
      <c r="R241" s="487"/>
      <c r="S241" s="474" t="s">
        <v>1242</v>
      </c>
      <c r="T241" s="475"/>
    </row>
    <row r="242" spans="1:20" s="401" customFormat="1" ht="34.5" customHeight="1">
      <c r="A242" s="99" t="s">
        <v>977</v>
      </c>
      <c r="B242" s="100"/>
      <c r="C242" s="101" t="s">
        <v>205</v>
      </c>
      <c r="D242" s="102" t="s">
        <v>1212</v>
      </c>
      <c r="E242" s="102" t="s">
        <v>972</v>
      </c>
      <c r="F242" s="101">
        <v>101</v>
      </c>
      <c r="G242" s="103">
        <v>39400</v>
      </c>
      <c r="H242" s="103">
        <v>39638</v>
      </c>
      <c r="I242" s="104" t="s">
        <v>1213</v>
      </c>
      <c r="J242" s="68">
        <v>598</v>
      </c>
      <c r="K242" s="68">
        <v>119.6</v>
      </c>
      <c r="L242" s="255">
        <v>717.6</v>
      </c>
      <c r="M242" s="68">
        <v>598</v>
      </c>
      <c r="N242" s="68"/>
      <c r="O242" s="255">
        <f>+N242+M242</f>
        <v>598</v>
      </c>
      <c r="P242" s="68">
        <f>+M242*0.65</f>
        <v>388.7</v>
      </c>
      <c r="Q242" s="409"/>
      <c r="R242" s="256">
        <f>+Q242+P242</f>
        <v>388.7</v>
      </c>
      <c r="S242" s="474" t="s">
        <v>1242</v>
      </c>
      <c r="T242" s="475"/>
    </row>
    <row r="243" spans="1:20" s="401" customFormat="1" ht="34.5" customHeight="1">
      <c r="A243" s="99" t="s">
        <v>977</v>
      </c>
      <c r="B243" s="100"/>
      <c r="C243" s="101" t="s">
        <v>205</v>
      </c>
      <c r="D243" s="102" t="s">
        <v>1214</v>
      </c>
      <c r="E243" s="102" t="s">
        <v>1215</v>
      </c>
      <c r="F243" s="101">
        <v>35</v>
      </c>
      <c r="G243" s="103">
        <v>39430</v>
      </c>
      <c r="H243" s="103">
        <v>39493</v>
      </c>
      <c r="I243" s="104" t="s">
        <v>1216</v>
      </c>
      <c r="J243" s="68">
        <v>5000</v>
      </c>
      <c r="K243" s="68">
        <v>1000</v>
      </c>
      <c r="L243" s="255">
        <v>6000</v>
      </c>
      <c r="M243" s="68">
        <v>5000</v>
      </c>
      <c r="N243" s="68"/>
      <c r="O243" s="255">
        <f>+N243+M243</f>
        <v>5000</v>
      </c>
      <c r="P243" s="68">
        <f>+M243*0.65</f>
        <v>3250</v>
      </c>
      <c r="Q243" s="409"/>
      <c r="R243" s="256">
        <f>+Q243+P243</f>
        <v>3250</v>
      </c>
      <c r="S243" s="474" t="s">
        <v>1242</v>
      </c>
      <c r="T243" s="475"/>
    </row>
    <row r="244" spans="1:20" ht="11.25">
      <c r="A244" s="44"/>
      <c r="B244" s="8"/>
      <c r="C244" s="9"/>
      <c r="D244" s="13"/>
      <c r="E244" s="13"/>
      <c r="F244" s="9"/>
      <c r="G244" s="10"/>
      <c r="H244" s="11"/>
      <c r="I244" s="16"/>
      <c r="J244" s="12"/>
      <c r="K244" s="12"/>
      <c r="L244" s="263"/>
      <c r="M244" s="12"/>
      <c r="N244" s="12"/>
      <c r="O244" s="263"/>
      <c r="P244" s="12"/>
      <c r="Q244" s="12"/>
      <c r="R244" s="263"/>
      <c r="S244" s="544"/>
      <c r="T244" s="544"/>
    </row>
    <row r="245" ht="11.25">
      <c r="S245" s="21"/>
    </row>
    <row r="246" spans="1:20" ht="11.25">
      <c r="A246" s="555" t="s">
        <v>8</v>
      </c>
      <c r="B246" s="556"/>
      <c r="C246" s="556"/>
      <c r="D246" s="556"/>
      <c r="E246" s="556"/>
      <c r="F246" s="556"/>
      <c r="G246" s="556"/>
      <c r="H246" s="556"/>
      <c r="I246" s="556"/>
      <c r="J246" s="556"/>
      <c r="K246" s="556"/>
      <c r="L246" s="557"/>
      <c r="M246" s="69" t="s">
        <v>45</v>
      </c>
      <c r="N246" s="20" t="s">
        <v>40</v>
      </c>
      <c r="O246" s="259" t="s">
        <v>46</v>
      </c>
      <c r="P246" s="20" t="s">
        <v>47</v>
      </c>
      <c r="Q246" s="20" t="s">
        <v>48</v>
      </c>
      <c r="R246" s="259" t="s">
        <v>42</v>
      </c>
      <c r="S246" s="71" t="s">
        <v>25</v>
      </c>
      <c r="T246" s="72" t="s">
        <v>26</v>
      </c>
    </row>
    <row r="247" spans="1:21" ht="11.25">
      <c r="A247" s="525"/>
      <c r="B247" s="526"/>
      <c r="C247" s="560"/>
      <c r="D247" s="561"/>
      <c r="E247" s="561"/>
      <c r="F247" s="561"/>
      <c r="G247" s="561"/>
      <c r="H247" s="561"/>
      <c r="I247" s="561"/>
      <c r="J247" s="561"/>
      <c r="K247" s="562"/>
      <c r="L247" s="274" t="s">
        <v>12</v>
      </c>
      <c r="M247" s="3">
        <v>0</v>
      </c>
      <c r="N247" s="97">
        <f>M247*0.2</f>
        <v>0</v>
      </c>
      <c r="O247" s="251">
        <f>SUM(M247:N247)</f>
        <v>0</v>
      </c>
      <c r="P247" s="3">
        <f>M247*0.65</f>
        <v>0</v>
      </c>
      <c r="Q247" s="3">
        <f>N247*0.65</f>
        <v>0</v>
      </c>
      <c r="R247" s="251">
        <f>SUM(P247:Q247)</f>
        <v>0</v>
      </c>
      <c r="S247" s="73"/>
      <c r="T247" s="73"/>
      <c r="U247" s="21"/>
    </row>
    <row r="248" spans="1:21" ht="11.25">
      <c r="A248" s="525"/>
      <c r="B248" s="526"/>
      <c r="C248" s="34"/>
      <c r="D248" s="86"/>
      <c r="E248" s="86"/>
      <c r="F248" s="33"/>
      <c r="G248" s="33"/>
      <c r="H248" s="33"/>
      <c r="I248" s="92"/>
      <c r="J248" s="33"/>
      <c r="K248" s="4">
        <f>SUM(K257:K258)</f>
        <v>0</v>
      </c>
      <c r="L248" s="266" t="s">
        <v>28</v>
      </c>
      <c r="M248" s="4">
        <f>SUM(M257:M258)</f>
        <v>0</v>
      </c>
      <c r="N248" s="4"/>
      <c r="O248" s="252"/>
      <c r="P248" s="4">
        <f>SUM(P257:P257)</f>
        <v>0</v>
      </c>
      <c r="Q248" s="67"/>
      <c r="R248" s="262"/>
      <c r="S248" s="74">
        <f>R248*0.375</f>
        <v>0</v>
      </c>
      <c r="T248" s="74">
        <f>R248-S248</f>
        <v>0</v>
      </c>
      <c r="U248" s="21"/>
    </row>
    <row r="249" spans="1:21" ht="11.25">
      <c r="A249" s="525"/>
      <c r="B249" s="526"/>
      <c r="C249" s="34"/>
      <c r="D249" s="86"/>
      <c r="E249" s="86"/>
      <c r="F249" s="33"/>
      <c r="G249" s="33"/>
      <c r="H249" s="33"/>
      <c r="I249" s="92"/>
      <c r="J249" s="33"/>
      <c r="K249" s="35"/>
      <c r="L249" s="269" t="s">
        <v>29</v>
      </c>
      <c r="M249" s="4">
        <v>0</v>
      </c>
      <c r="N249" s="4"/>
      <c r="O249" s="252"/>
      <c r="P249" s="4">
        <v>0</v>
      </c>
      <c r="Q249" s="67"/>
      <c r="R249" s="262"/>
      <c r="S249" s="75">
        <f>P249*0.375</f>
        <v>0</v>
      </c>
      <c r="T249" s="74">
        <f>P249-S249</f>
        <v>0</v>
      </c>
      <c r="U249" s="21"/>
    </row>
    <row r="250" spans="1:21" ht="11.25">
      <c r="A250" s="525"/>
      <c r="B250" s="526"/>
      <c r="C250" s="34"/>
      <c r="D250" s="86"/>
      <c r="E250" s="86"/>
      <c r="F250" s="33"/>
      <c r="G250" s="33"/>
      <c r="H250" s="33"/>
      <c r="I250" s="92"/>
      <c r="J250" s="33"/>
      <c r="K250" s="35"/>
      <c r="L250" s="269" t="s">
        <v>474</v>
      </c>
      <c r="M250" s="4"/>
      <c r="N250" s="4"/>
      <c r="O250" s="252"/>
      <c r="P250" s="4"/>
      <c r="Q250" s="67"/>
      <c r="R250" s="262"/>
      <c r="S250" s="75">
        <f>P250*0.375</f>
        <v>0</v>
      </c>
      <c r="T250" s="74">
        <f>P250-S250</f>
        <v>0</v>
      </c>
      <c r="U250" s="21"/>
    </row>
    <row r="251" spans="1:21" ht="11.25">
      <c r="A251" s="525"/>
      <c r="B251" s="526"/>
      <c r="C251" s="34"/>
      <c r="D251" s="86"/>
      <c r="E251" s="86"/>
      <c r="F251" s="33"/>
      <c r="G251" s="33"/>
      <c r="H251" s="33"/>
      <c r="I251" s="92"/>
      <c r="J251" s="33"/>
      <c r="K251" s="35"/>
      <c r="L251" s="269" t="s">
        <v>742</v>
      </c>
      <c r="M251" s="4"/>
      <c r="N251" s="4"/>
      <c r="O251" s="252"/>
      <c r="P251" s="4"/>
      <c r="Q251" s="67"/>
      <c r="R251" s="262"/>
      <c r="S251" s="458"/>
      <c r="T251" s="458"/>
      <c r="U251" s="21"/>
    </row>
    <row r="252" spans="1:21" ht="11.25">
      <c r="A252" s="525"/>
      <c r="B252" s="526"/>
      <c r="C252" s="34"/>
      <c r="D252" s="86"/>
      <c r="E252" s="86"/>
      <c r="F252" s="33"/>
      <c r="G252" s="33"/>
      <c r="H252" s="33"/>
      <c r="I252" s="92"/>
      <c r="J252" s="33"/>
      <c r="K252" s="35"/>
      <c r="L252" s="269" t="s">
        <v>834</v>
      </c>
      <c r="M252" s="4"/>
      <c r="N252" s="4"/>
      <c r="O252" s="252"/>
      <c r="P252" s="4"/>
      <c r="Q252" s="67"/>
      <c r="R252" s="262"/>
      <c r="S252" s="458"/>
      <c r="T252" s="458"/>
      <c r="U252" s="21"/>
    </row>
    <row r="253" spans="1:21" ht="11.25">
      <c r="A253" s="525"/>
      <c r="B253" s="526"/>
      <c r="C253" s="34"/>
      <c r="D253" s="86"/>
      <c r="E253" s="86"/>
      <c r="F253" s="33"/>
      <c r="G253" s="33"/>
      <c r="H253" s="33"/>
      <c r="I253" s="92"/>
      <c r="J253" s="33"/>
      <c r="K253" s="35"/>
      <c r="L253" s="269" t="s">
        <v>839</v>
      </c>
      <c r="M253" s="4"/>
      <c r="N253" s="4"/>
      <c r="O253" s="252"/>
      <c r="P253" s="4"/>
      <c r="Q253" s="67"/>
      <c r="R253" s="262"/>
      <c r="S253" s="458"/>
      <c r="T253" s="458"/>
      <c r="U253" s="21"/>
    </row>
    <row r="254" spans="1:21" ht="11.25">
      <c r="A254" s="525"/>
      <c r="B254" s="526"/>
      <c r="C254" s="34"/>
      <c r="D254" s="86"/>
      <c r="E254" s="86"/>
      <c r="F254" s="33"/>
      <c r="G254" s="33"/>
      <c r="H254" s="33"/>
      <c r="I254" s="92"/>
      <c r="J254" s="33"/>
      <c r="K254" s="35"/>
      <c r="L254" s="269" t="s">
        <v>1075</v>
      </c>
      <c r="M254" s="4"/>
      <c r="N254" s="4"/>
      <c r="O254" s="252"/>
      <c r="P254" s="4"/>
      <c r="Q254" s="67"/>
      <c r="R254" s="262"/>
      <c r="S254" s="458"/>
      <c r="T254" s="458"/>
      <c r="U254" s="21"/>
    </row>
    <row r="255" spans="1:21" ht="11.25">
      <c r="A255" s="527"/>
      <c r="B255" s="510"/>
      <c r="C255" s="514"/>
      <c r="D255" s="515"/>
      <c r="E255" s="515"/>
      <c r="F255" s="515"/>
      <c r="G255" s="515"/>
      <c r="H255" s="515"/>
      <c r="I255" s="515"/>
      <c r="J255" s="515"/>
      <c r="K255" s="516"/>
      <c r="L255" s="267" t="s">
        <v>13</v>
      </c>
      <c r="M255" s="6">
        <f aca="true" t="shared" si="57" ref="M255:R255">M247-M248-M249</f>
        <v>0</v>
      </c>
      <c r="N255" s="6">
        <f t="shared" si="57"/>
        <v>0</v>
      </c>
      <c r="O255" s="253">
        <f t="shared" si="57"/>
        <v>0</v>
      </c>
      <c r="P255" s="6">
        <f t="shared" si="57"/>
        <v>0</v>
      </c>
      <c r="Q255" s="6">
        <f t="shared" si="57"/>
        <v>0</v>
      </c>
      <c r="R255" s="253">
        <f t="shared" si="57"/>
        <v>0</v>
      </c>
      <c r="S255" s="77"/>
      <c r="T255" s="77"/>
      <c r="U255" s="21"/>
    </row>
    <row r="256" spans="1:20" ht="30" customHeight="1">
      <c r="A256" s="7" t="s">
        <v>14</v>
      </c>
      <c r="B256" s="7" t="s">
        <v>11</v>
      </c>
      <c r="C256" s="25" t="s">
        <v>24</v>
      </c>
      <c r="D256" s="25" t="s">
        <v>20</v>
      </c>
      <c r="E256" s="31" t="s">
        <v>2</v>
      </c>
      <c r="F256" s="25" t="s">
        <v>19</v>
      </c>
      <c r="G256" s="25" t="s">
        <v>18</v>
      </c>
      <c r="H256" s="31" t="s">
        <v>17</v>
      </c>
      <c r="I256" s="31" t="s">
        <v>16</v>
      </c>
      <c r="J256" s="336" t="s">
        <v>3</v>
      </c>
      <c r="K256" s="336" t="s">
        <v>4</v>
      </c>
      <c r="L256" s="337" t="s">
        <v>5</v>
      </c>
      <c r="M256" s="7" t="s">
        <v>21</v>
      </c>
      <c r="N256" s="7" t="s">
        <v>40</v>
      </c>
      <c r="O256" s="261" t="s">
        <v>43</v>
      </c>
      <c r="P256" s="7" t="s">
        <v>22</v>
      </c>
      <c r="Q256" s="19" t="s">
        <v>41</v>
      </c>
      <c r="R256" s="254" t="s">
        <v>42</v>
      </c>
      <c r="S256" s="524" t="s">
        <v>27</v>
      </c>
      <c r="T256" s="524"/>
    </row>
    <row r="257" spans="1:20" ht="11.25">
      <c r="A257" s="42"/>
      <c r="B257" s="8"/>
      <c r="C257" s="9"/>
      <c r="D257" s="14"/>
      <c r="E257" s="96"/>
      <c r="F257" s="8"/>
      <c r="G257" s="15"/>
      <c r="H257" s="16"/>
      <c r="I257" s="16"/>
      <c r="J257" s="12"/>
      <c r="K257" s="12"/>
      <c r="L257" s="263">
        <f>J257+K257</f>
        <v>0</v>
      </c>
      <c r="M257" s="12"/>
      <c r="N257" s="12"/>
      <c r="O257" s="263"/>
      <c r="P257" s="12">
        <f>M257*0.65</f>
        <v>0</v>
      </c>
      <c r="Q257" s="12"/>
      <c r="R257" s="263"/>
      <c r="S257" s="544"/>
      <c r="T257" s="544"/>
    </row>
    <row r="258" spans="1:20" ht="11.25">
      <c r="A258" s="44"/>
      <c r="B258" s="8"/>
      <c r="C258" s="9"/>
      <c r="D258" s="13"/>
      <c r="E258" s="13"/>
      <c r="F258" s="9"/>
      <c r="G258" s="10"/>
      <c r="H258" s="11"/>
      <c r="I258" s="16"/>
      <c r="J258" s="12"/>
      <c r="K258" s="12"/>
      <c r="L258" s="263"/>
      <c r="M258" s="12"/>
      <c r="N258" s="12"/>
      <c r="O258" s="263"/>
      <c r="P258" s="12"/>
      <c r="Q258" s="12"/>
      <c r="R258" s="263"/>
      <c r="S258" s="544"/>
      <c r="T258" s="544"/>
    </row>
    <row r="259" ht="11.25">
      <c r="S259" s="21"/>
    </row>
    <row r="260" spans="1:20" ht="11.25">
      <c r="A260" s="555" t="s">
        <v>23</v>
      </c>
      <c r="B260" s="556"/>
      <c r="C260" s="556"/>
      <c r="D260" s="556"/>
      <c r="E260" s="556"/>
      <c r="F260" s="556"/>
      <c r="G260" s="556"/>
      <c r="H260" s="556"/>
      <c r="I260" s="556"/>
      <c r="J260" s="556"/>
      <c r="K260" s="556"/>
      <c r="L260" s="557"/>
      <c r="M260" s="69" t="s">
        <v>45</v>
      </c>
      <c r="N260" s="20" t="s">
        <v>40</v>
      </c>
      <c r="O260" s="259" t="s">
        <v>46</v>
      </c>
      <c r="P260" s="20" t="s">
        <v>47</v>
      </c>
      <c r="Q260" s="20" t="s">
        <v>48</v>
      </c>
      <c r="R260" s="259" t="s">
        <v>42</v>
      </c>
      <c r="S260" s="79" t="s">
        <v>25</v>
      </c>
      <c r="T260" s="80" t="s">
        <v>26</v>
      </c>
    </row>
    <row r="261" spans="1:21" ht="11.25">
      <c r="A261" s="525"/>
      <c r="B261" s="526"/>
      <c r="C261" s="511"/>
      <c r="D261" s="512"/>
      <c r="E261" s="512"/>
      <c r="F261" s="512"/>
      <c r="G261" s="512"/>
      <c r="H261" s="512"/>
      <c r="I261" s="512"/>
      <c r="J261" s="512"/>
      <c r="K261" s="513"/>
      <c r="L261" s="274" t="s">
        <v>12</v>
      </c>
      <c r="M261" s="3">
        <v>75300</v>
      </c>
      <c r="N261" s="97"/>
      <c r="O261" s="251"/>
      <c r="P261" s="3"/>
      <c r="Q261" s="3"/>
      <c r="R261" s="251"/>
      <c r="S261" s="81"/>
      <c r="T261" s="81"/>
      <c r="U261" s="21"/>
    </row>
    <row r="262" spans="1:21" ht="11.25">
      <c r="A262" s="525"/>
      <c r="B262" s="526"/>
      <c r="C262" s="34"/>
      <c r="D262" s="86"/>
      <c r="E262" s="86"/>
      <c r="F262" s="33"/>
      <c r="G262" s="33"/>
      <c r="H262" s="33"/>
      <c r="I262" s="92"/>
      <c r="J262" s="33"/>
      <c r="K262" s="4"/>
      <c r="L262" s="266" t="s">
        <v>28</v>
      </c>
      <c r="M262" s="4"/>
      <c r="N262" s="4"/>
      <c r="O262" s="252"/>
      <c r="P262" s="4"/>
      <c r="Q262" s="67"/>
      <c r="R262" s="262"/>
      <c r="S262" s="74">
        <f aca="true" t="shared" si="58" ref="S262:S268">R262*0.375</f>
        <v>0</v>
      </c>
      <c r="T262" s="74">
        <f aca="true" t="shared" si="59" ref="T262:T267">R262-S262</f>
        <v>0</v>
      </c>
      <c r="U262" s="21"/>
    </row>
    <row r="263" spans="1:21" ht="11.25">
      <c r="A263" s="525"/>
      <c r="B263" s="526"/>
      <c r="C263" s="34"/>
      <c r="D263" s="86"/>
      <c r="E263" s="86"/>
      <c r="F263" s="33"/>
      <c r="G263" s="33"/>
      <c r="H263" s="33"/>
      <c r="I263" s="92"/>
      <c r="J263" s="33"/>
      <c r="K263" s="35"/>
      <c r="L263" s="266" t="s">
        <v>29</v>
      </c>
      <c r="M263" s="4">
        <f>SUM(M310:M310)</f>
        <v>0</v>
      </c>
      <c r="N263" s="4"/>
      <c r="O263" s="252"/>
      <c r="P263" s="4">
        <f>SUM(P310:P310)</f>
        <v>0</v>
      </c>
      <c r="Q263" s="67"/>
      <c r="R263" s="262"/>
      <c r="S263" s="74">
        <f t="shared" si="58"/>
        <v>0</v>
      </c>
      <c r="T263" s="74">
        <f t="shared" si="59"/>
        <v>0</v>
      </c>
      <c r="U263" s="21"/>
    </row>
    <row r="264" spans="1:21" ht="11.25">
      <c r="A264" s="525"/>
      <c r="B264" s="526"/>
      <c r="C264" s="34"/>
      <c r="D264" s="86"/>
      <c r="E264" s="86"/>
      <c r="F264" s="33"/>
      <c r="G264" s="33"/>
      <c r="H264" s="33"/>
      <c r="I264" s="92"/>
      <c r="J264" s="33"/>
      <c r="K264" s="35"/>
      <c r="L264" s="266" t="s">
        <v>474</v>
      </c>
      <c r="M264" s="4"/>
      <c r="N264" s="4"/>
      <c r="O264" s="252"/>
      <c r="P264" s="4"/>
      <c r="Q264" s="67"/>
      <c r="R264" s="262"/>
      <c r="S264" s="74">
        <f t="shared" si="58"/>
        <v>0</v>
      </c>
      <c r="T264" s="74">
        <f t="shared" si="59"/>
        <v>0</v>
      </c>
      <c r="U264" s="21"/>
    </row>
    <row r="265" spans="1:21" ht="11.25">
      <c r="A265" s="525"/>
      <c r="B265" s="526"/>
      <c r="C265" s="34"/>
      <c r="D265" s="86"/>
      <c r="E265" s="86"/>
      <c r="F265" s="33"/>
      <c r="G265" s="33"/>
      <c r="H265" s="33"/>
      <c r="I265" s="92"/>
      <c r="J265" s="33"/>
      <c r="K265" s="35"/>
      <c r="L265" s="266" t="s">
        <v>742</v>
      </c>
      <c r="M265" s="4">
        <f>SUM(M271:M281)</f>
        <v>3400</v>
      </c>
      <c r="N265" s="4">
        <f>SUM(N271:N281)</f>
        <v>680</v>
      </c>
      <c r="O265" s="252">
        <f>+N265+M265</f>
        <v>4080</v>
      </c>
      <c r="P265" s="4">
        <f>SUM(P271:P281)</f>
        <v>2210</v>
      </c>
      <c r="Q265" s="4">
        <f>SUM(Q271:Q281)</f>
        <v>442</v>
      </c>
      <c r="R265" s="252">
        <f>+Q265+P265</f>
        <v>2652</v>
      </c>
      <c r="S265" s="74">
        <f t="shared" si="58"/>
        <v>994.5</v>
      </c>
      <c r="T265" s="74">
        <f t="shared" si="59"/>
        <v>1657.5</v>
      </c>
      <c r="U265" s="21"/>
    </row>
    <row r="266" spans="1:21" ht="11.25">
      <c r="A266" s="525"/>
      <c r="B266" s="526"/>
      <c r="C266" s="34"/>
      <c r="D266" s="86"/>
      <c r="E266" s="86"/>
      <c r="F266" s="33"/>
      <c r="G266" s="33"/>
      <c r="H266" s="33"/>
      <c r="I266" s="92"/>
      <c r="J266" s="33"/>
      <c r="K266" s="35"/>
      <c r="L266" s="266" t="s">
        <v>834</v>
      </c>
      <c r="M266" s="4"/>
      <c r="N266" s="4"/>
      <c r="O266" s="252"/>
      <c r="P266" s="4"/>
      <c r="Q266" s="4"/>
      <c r="R266" s="252"/>
      <c r="S266" s="74">
        <f t="shared" si="58"/>
        <v>0</v>
      </c>
      <c r="T266" s="74">
        <f t="shared" si="59"/>
        <v>0</v>
      </c>
      <c r="U266" s="21"/>
    </row>
    <row r="267" spans="1:21" ht="11.25">
      <c r="A267" s="525"/>
      <c r="B267" s="526"/>
      <c r="C267" s="34"/>
      <c r="D267" s="86"/>
      <c r="E267" s="86"/>
      <c r="F267" s="33"/>
      <c r="G267" s="33"/>
      <c r="H267" s="33"/>
      <c r="I267" s="92"/>
      <c r="J267" s="33"/>
      <c r="K267" s="35"/>
      <c r="L267" s="266" t="s">
        <v>839</v>
      </c>
      <c r="M267" s="4">
        <f>+M282</f>
        <v>12000</v>
      </c>
      <c r="N267" s="4">
        <f>+N282</f>
        <v>2400</v>
      </c>
      <c r="O267" s="252">
        <f>+N267+M267</f>
        <v>14400</v>
      </c>
      <c r="P267" s="4">
        <f>+P282</f>
        <v>7800</v>
      </c>
      <c r="Q267" s="4">
        <f>+Q282</f>
        <v>1560</v>
      </c>
      <c r="R267" s="252">
        <f>+Q267+P267</f>
        <v>9360</v>
      </c>
      <c r="S267" s="74">
        <f t="shared" si="58"/>
        <v>3510</v>
      </c>
      <c r="T267" s="74">
        <f t="shared" si="59"/>
        <v>5850</v>
      </c>
      <c r="U267" s="21"/>
    </row>
    <row r="268" spans="1:21" ht="11.25">
      <c r="A268" s="525"/>
      <c r="B268" s="526"/>
      <c r="C268" s="34"/>
      <c r="D268" s="86"/>
      <c r="E268" s="86"/>
      <c r="F268" s="33"/>
      <c r="G268" s="33"/>
      <c r="H268" s="33"/>
      <c r="I268" s="92"/>
      <c r="J268" s="33"/>
      <c r="K268" s="35"/>
      <c r="L268" s="266" t="s">
        <v>1075</v>
      </c>
      <c r="M268" s="4">
        <f>SUM(M286:M307)</f>
        <v>57500</v>
      </c>
      <c r="N268" s="4">
        <f>SUM(N286:N307)</f>
        <v>7620</v>
      </c>
      <c r="O268" s="252">
        <f>+N268+M268</f>
        <v>65120</v>
      </c>
      <c r="P268" s="4">
        <f>SUM(P286:P307)</f>
        <v>37375</v>
      </c>
      <c r="Q268" s="4">
        <f>SUM(Q286:Q307)</f>
        <v>4953</v>
      </c>
      <c r="R268" s="252">
        <f>+Q268+P268</f>
        <v>42328</v>
      </c>
      <c r="S268" s="74">
        <f t="shared" si="58"/>
        <v>15873</v>
      </c>
      <c r="T268" s="74">
        <f>R268-S268</f>
        <v>26455</v>
      </c>
      <c r="U268" s="21"/>
    </row>
    <row r="269" spans="1:21" ht="11.25">
      <c r="A269" s="527"/>
      <c r="B269" s="510"/>
      <c r="C269" s="36"/>
      <c r="D269" s="87"/>
      <c r="E269" s="87"/>
      <c r="F269" s="37"/>
      <c r="G269" s="37"/>
      <c r="H269" s="37"/>
      <c r="I269" s="93"/>
      <c r="J269" s="37"/>
      <c r="K269" s="38"/>
      <c r="L269" s="267" t="s">
        <v>13</v>
      </c>
      <c r="M269" s="6">
        <f>M261-M262-M263-M264-M265-M266-M267-M268</f>
        <v>2400</v>
      </c>
      <c r="N269" s="6"/>
      <c r="O269" s="253"/>
      <c r="P269" s="6"/>
      <c r="Q269" s="6"/>
      <c r="R269" s="253"/>
      <c r="S269" s="77"/>
      <c r="T269" s="77"/>
      <c r="U269" s="21"/>
    </row>
    <row r="270" spans="1:20" ht="22.5">
      <c r="A270" s="7" t="s">
        <v>14</v>
      </c>
      <c r="B270" s="7" t="s">
        <v>11</v>
      </c>
      <c r="C270" s="25" t="s">
        <v>24</v>
      </c>
      <c r="D270" s="25" t="s">
        <v>20</v>
      </c>
      <c r="E270" s="31" t="s">
        <v>2</v>
      </c>
      <c r="F270" s="25" t="s">
        <v>19</v>
      </c>
      <c r="G270" s="25" t="s">
        <v>18</v>
      </c>
      <c r="H270" s="31" t="s">
        <v>17</v>
      </c>
      <c r="I270" s="31" t="s">
        <v>16</v>
      </c>
      <c r="J270" s="336" t="s">
        <v>3</v>
      </c>
      <c r="K270" s="336" t="s">
        <v>4</v>
      </c>
      <c r="L270" s="337" t="s">
        <v>5</v>
      </c>
      <c r="M270" s="7" t="s">
        <v>21</v>
      </c>
      <c r="N270" s="7" t="s">
        <v>40</v>
      </c>
      <c r="O270" s="261" t="s">
        <v>43</v>
      </c>
      <c r="P270" s="7" t="s">
        <v>22</v>
      </c>
      <c r="Q270" s="19" t="s">
        <v>41</v>
      </c>
      <c r="R270" s="254" t="s">
        <v>42</v>
      </c>
      <c r="S270" s="524" t="s">
        <v>27</v>
      </c>
      <c r="T270" s="524"/>
    </row>
    <row r="271" spans="1:20" s="401" customFormat="1" ht="22.5" customHeight="1">
      <c r="A271" s="99" t="s">
        <v>635</v>
      </c>
      <c r="B271" s="100"/>
      <c r="C271" s="9" t="s">
        <v>65</v>
      </c>
      <c r="D271" s="102" t="s">
        <v>699</v>
      </c>
      <c r="E271" s="102" t="s">
        <v>693</v>
      </c>
      <c r="F271" s="101">
        <v>24</v>
      </c>
      <c r="G271" s="103">
        <v>38609</v>
      </c>
      <c r="H271" s="103">
        <v>38658</v>
      </c>
      <c r="I271" s="104" t="s">
        <v>78</v>
      </c>
      <c r="J271" s="68">
        <v>400</v>
      </c>
      <c r="K271" s="68">
        <v>80</v>
      </c>
      <c r="L271" s="255">
        <v>480</v>
      </c>
      <c r="M271" s="68">
        <v>400</v>
      </c>
      <c r="N271" s="68">
        <v>80</v>
      </c>
      <c r="O271" s="255">
        <f>+N271+M271</f>
        <v>480</v>
      </c>
      <c r="P271" s="68">
        <f>M271*0.65</f>
        <v>260</v>
      </c>
      <c r="Q271" s="68">
        <f>N271*0.65</f>
        <v>52</v>
      </c>
      <c r="R271" s="255">
        <f>+Q271+P271</f>
        <v>312</v>
      </c>
      <c r="S271" s="519" t="s">
        <v>730</v>
      </c>
      <c r="T271" s="520"/>
    </row>
    <row r="272" spans="1:20" s="401" customFormat="1" ht="22.5" customHeight="1">
      <c r="A272" s="99" t="s">
        <v>635</v>
      </c>
      <c r="B272" s="100"/>
      <c r="C272" s="9" t="s">
        <v>65</v>
      </c>
      <c r="D272" s="102" t="s">
        <v>700</v>
      </c>
      <c r="E272" s="102" t="s">
        <v>693</v>
      </c>
      <c r="F272" s="101">
        <v>29</v>
      </c>
      <c r="G272" s="103">
        <v>38629</v>
      </c>
      <c r="H272" s="103">
        <v>38658</v>
      </c>
      <c r="I272" s="104" t="s">
        <v>78</v>
      </c>
      <c r="J272" s="68">
        <v>250</v>
      </c>
      <c r="K272" s="68">
        <v>50</v>
      </c>
      <c r="L272" s="255">
        <v>300</v>
      </c>
      <c r="M272" s="68">
        <v>250</v>
      </c>
      <c r="N272" s="68">
        <v>50</v>
      </c>
      <c r="O272" s="255">
        <f aca="true" t="shared" si="60" ref="O272:O281">+N272+M272</f>
        <v>300</v>
      </c>
      <c r="P272" s="68">
        <f aca="true" t="shared" si="61" ref="P272:P281">M272*0.65</f>
        <v>162.5</v>
      </c>
      <c r="Q272" s="68">
        <f aca="true" t="shared" si="62" ref="Q272:Q281">N272*0.65</f>
        <v>32.5</v>
      </c>
      <c r="R272" s="255">
        <f aca="true" t="shared" si="63" ref="R272:R281">+Q272+P272</f>
        <v>195</v>
      </c>
      <c r="S272" s="519" t="s">
        <v>730</v>
      </c>
      <c r="T272" s="520"/>
    </row>
    <row r="273" spans="1:20" s="401" customFormat="1" ht="22.5" customHeight="1">
      <c r="A273" s="99" t="s">
        <v>635</v>
      </c>
      <c r="B273" s="100"/>
      <c r="C273" s="9" t="s">
        <v>65</v>
      </c>
      <c r="D273" s="102" t="s">
        <v>701</v>
      </c>
      <c r="E273" s="102" t="s">
        <v>693</v>
      </c>
      <c r="F273" s="101">
        <v>34</v>
      </c>
      <c r="G273" s="103">
        <v>38691</v>
      </c>
      <c r="H273" s="103">
        <v>38702</v>
      </c>
      <c r="I273" s="104" t="s">
        <v>82</v>
      </c>
      <c r="J273" s="68">
        <v>500</v>
      </c>
      <c r="K273" s="68">
        <v>100</v>
      </c>
      <c r="L273" s="255">
        <v>600</v>
      </c>
      <c r="M273" s="68">
        <v>500</v>
      </c>
      <c r="N273" s="68">
        <v>100</v>
      </c>
      <c r="O273" s="255">
        <f t="shared" si="60"/>
        <v>600</v>
      </c>
      <c r="P273" s="68">
        <f t="shared" si="61"/>
        <v>325</v>
      </c>
      <c r="Q273" s="68">
        <f t="shared" si="62"/>
        <v>65</v>
      </c>
      <c r="R273" s="255">
        <f t="shared" si="63"/>
        <v>390</v>
      </c>
      <c r="S273" s="519" t="s">
        <v>730</v>
      </c>
      <c r="T273" s="520"/>
    </row>
    <row r="274" spans="1:20" s="401" customFormat="1" ht="22.5" customHeight="1">
      <c r="A274" s="99" t="s">
        <v>635</v>
      </c>
      <c r="B274" s="100"/>
      <c r="C274" s="9" t="s">
        <v>65</v>
      </c>
      <c r="D274" s="102" t="s">
        <v>702</v>
      </c>
      <c r="E274" s="102" t="s">
        <v>693</v>
      </c>
      <c r="F274" s="101">
        <v>4</v>
      </c>
      <c r="G274" s="103">
        <v>38740</v>
      </c>
      <c r="H274" s="103">
        <v>38776</v>
      </c>
      <c r="I274" s="104" t="s">
        <v>82</v>
      </c>
      <c r="J274" s="68">
        <v>250</v>
      </c>
      <c r="K274" s="68">
        <v>50</v>
      </c>
      <c r="L274" s="255">
        <v>300</v>
      </c>
      <c r="M274" s="68">
        <v>250</v>
      </c>
      <c r="N274" s="68">
        <v>50</v>
      </c>
      <c r="O274" s="255">
        <f t="shared" si="60"/>
        <v>300</v>
      </c>
      <c r="P274" s="68">
        <f t="shared" si="61"/>
        <v>162.5</v>
      </c>
      <c r="Q274" s="68">
        <f t="shared" si="62"/>
        <v>32.5</v>
      </c>
      <c r="R274" s="255">
        <f t="shared" si="63"/>
        <v>195</v>
      </c>
      <c r="S274" s="519" t="s">
        <v>730</v>
      </c>
      <c r="T274" s="520"/>
    </row>
    <row r="275" spans="1:20" s="401" customFormat="1" ht="22.5" customHeight="1">
      <c r="A275" s="99" t="s">
        <v>635</v>
      </c>
      <c r="B275" s="100"/>
      <c r="C275" s="9" t="s">
        <v>65</v>
      </c>
      <c r="D275" s="102" t="s">
        <v>703</v>
      </c>
      <c r="E275" s="102" t="s">
        <v>693</v>
      </c>
      <c r="F275" s="101">
        <v>7</v>
      </c>
      <c r="G275" s="103">
        <v>38761</v>
      </c>
      <c r="H275" s="103">
        <v>38805</v>
      </c>
      <c r="I275" s="104" t="s">
        <v>78</v>
      </c>
      <c r="J275" s="68">
        <v>250</v>
      </c>
      <c r="K275" s="68">
        <v>50</v>
      </c>
      <c r="L275" s="255">
        <v>300</v>
      </c>
      <c r="M275" s="68">
        <v>250</v>
      </c>
      <c r="N275" s="68">
        <v>50</v>
      </c>
      <c r="O275" s="255">
        <f t="shared" si="60"/>
        <v>300</v>
      </c>
      <c r="P275" s="68">
        <f t="shared" si="61"/>
        <v>162.5</v>
      </c>
      <c r="Q275" s="68">
        <f t="shared" si="62"/>
        <v>32.5</v>
      </c>
      <c r="R275" s="255">
        <f t="shared" si="63"/>
        <v>195</v>
      </c>
      <c r="S275" s="519" t="s">
        <v>730</v>
      </c>
      <c r="T275" s="520"/>
    </row>
    <row r="276" spans="1:20" s="401" customFormat="1" ht="22.5" customHeight="1">
      <c r="A276" s="99" t="s">
        <v>635</v>
      </c>
      <c r="B276" s="100"/>
      <c r="C276" s="9" t="s">
        <v>65</v>
      </c>
      <c r="D276" s="102" t="s">
        <v>704</v>
      </c>
      <c r="E276" s="102" t="s">
        <v>693</v>
      </c>
      <c r="F276" s="101">
        <v>10</v>
      </c>
      <c r="G276" s="103">
        <v>38789</v>
      </c>
      <c r="H276" s="103">
        <v>38805</v>
      </c>
      <c r="I276" s="104" t="s">
        <v>78</v>
      </c>
      <c r="J276" s="68">
        <v>250</v>
      </c>
      <c r="K276" s="68">
        <v>50</v>
      </c>
      <c r="L276" s="255">
        <v>300</v>
      </c>
      <c r="M276" s="68">
        <v>250</v>
      </c>
      <c r="N276" s="68">
        <v>50</v>
      </c>
      <c r="O276" s="255">
        <f t="shared" si="60"/>
        <v>300</v>
      </c>
      <c r="P276" s="68">
        <f t="shared" si="61"/>
        <v>162.5</v>
      </c>
      <c r="Q276" s="68">
        <f t="shared" si="62"/>
        <v>32.5</v>
      </c>
      <c r="R276" s="255">
        <f t="shared" si="63"/>
        <v>195</v>
      </c>
      <c r="S276" s="519" t="s">
        <v>730</v>
      </c>
      <c r="T276" s="520"/>
    </row>
    <row r="277" spans="1:20" s="401" customFormat="1" ht="22.5" customHeight="1">
      <c r="A277" s="99" t="s">
        <v>635</v>
      </c>
      <c r="B277" s="100"/>
      <c r="C277" s="9" t="s">
        <v>65</v>
      </c>
      <c r="D277" s="102" t="s">
        <v>705</v>
      </c>
      <c r="E277" s="102" t="s">
        <v>693</v>
      </c>
      <c r="F277" s="101">
        <v>26</v>
      </c>
      <c r="G277" s="103">
        <v>38842</v>
      </c>
      <c r="H277" s="103"/>
      <c r="I277" s="104" t="s">
        <v>82</v>
      </c>
      <c r="J277" s="68">
        <v>500</v>
      </c>
      <c r="K277" s="68">
        <v>100</v>
      </c>
      <c r="L277" s="255">
        <v>600</v>
      </c>
      <c r="M277" s="68">
        <v>500</v>
      </c>
      <c r="N277" s="68">
        <v>100</v>
      </c>
      <c r="O277" s="255">
        <f t="shared" si="60"/>
        <v>600</v>
      </c>
      <c r="P277" s="68">
        <f t="shared" si="61"/>
        <v>325</v>
      </c>
      <c r="Q277" s="68">
        <f t="shared" si="62"/>
        <v>65</v>
      </c>
      <c r="R277" s="255">
        <f t="shared" si="63"/>
        <v>390</v>
      </c>
      <c r="S277" s="519" t="s">
        <v>730</v>
      </c>
      <c r="T277" s="520"/>
    </row>
    <row r="278" spans="1:20" s="401" customFormat="1" ht="22.5" customHeight="1">
      <c r="A278" s="99" t="s">
        <v>635</v>
      </c>
      <c r="B278" s="100"/>
      <c r="C278" s="9" t="s">
        <v>65</v>
      </c>
      <c r="D278" s="102" t="s">
        <v>706</v>
      </c>
      <c r="E278" s="102" t="s">
        <v>693</v>
      </c>
      <c r="F278" s="101">
        <v>28</v>
      </c>
      <c r="G278" s="103">
        <v>38874</v>
      </c>
      <c r="H278" s="103">
        <v>38929</v>
      </c>
      <c r="I278" s="104" t="s">
        <v>78</v>
      </c>
      <c r="J278" s="68">
        <v>250</v>
      </c>
      <c r="K278" s="68">
        <v>50</v>
      </c>
      <c r="L278" s="255">
        <v>300</v>
      </c>
      <c r="M278" s="68">
        <v>250</v>
      </c>
      <c r="N278" s="68">
        <v>50</v>
      </c>
      <c r="O278" s="255">
        <f t="shared" si="60"/>
        <v>300</v>
      </c>
      <c r="P278" s="68">
        <f t="shared" si="61"/>
        <v>162.5</v>
      </c>
      <c r="Q278" s="68">
        <f t="shared" si="62"/>
        <v>32.5</v>
      </c>
      <c r="R278" s="255">
        <f t="shared" si="63"/>
        <v>195</v>
      </c>
      <c r="S278" s="519" t="s">
        <v>730</v>
      </c>
      <c r="T278" s="520"/>
    </row>
    <row r="279" spans="1:20" s="401" customFormat="1" ht="22.5" customHeight="1">
      <c r="A279" s="99" t="s">
        <v>635</v>
      </c>
      <c r="B279" s="100"/>
      <c r="C279" s="9" t="s">
        <v>65</v>
      </c>
      <c r="D279" s="102" t="s">
        <v>707</v>
      </c>
      <c r="E279" s="102" t="s">
        <v>693</v>
      </c>
      <c r="F279" s="101">
        <v>39</v>
      </c>
      <c r="G279" s="103">
        <v>38918</v>
      </c>
      <c r="H279" s="103">
        <v>38929</v>
      </c>
      <c r="I279" s="104" t="s">
        <v>78</v>
      </c>
      <c r="J279" s="68">
        <v>250</v>
      </c>
      <c r="K279" s="68">
        <v>50</v>
      </c>
      <c r="L279" s="255">
        <v>300</v>
      </c>
      <c r="M279" s="68">
        <v>250</v>
      </c>
      <c r="N279" s="68">
        <v>50</v>
      </c>
      <c r="O279" s="255">
        <f t="shared" si="60"/>
        <v>300</v>
      </c>
      <c r="P279" s="68">
        <f t="shared" si="61"/>
        <v>162.5</v>
      </c>
      <c r="Q279" s="68">
        <f t="shared" si="62"/>
        <v>32.5</v>
      </c>
      <c r="R279" s="255">
        <f t="shared" si="63"/>
        <v>195</v>
      </c>
      <c r="S279" s="519" t="s">
        <v>730</v>
      </c>
      <c r="T279" s="520"/>
    </row>
    <row r="280" spans="1:20" s="401" customFormat="1" ht="22.5" customHeight="1">
      <c r="A280" s="99" t="s">
        <v>635</v>
      </c>
      <c r="B280" s="100"/>
      <c r="C280" s="9" t="s">
        <v>65</v>
      </c>
      <c r="D280" s="102" t="s">
        <v>708</v>
      </c>
      <c r="E280" s="102" t="s">
        <v>693</v>
      </c>
      <c r="F280" s="101">
        <v>47</v>
      </c>
      <c r="G280" s="103">
        <v>39006</v>
      </c>
      <c r="H280" s="103">
        <v>39010</v>
      </c>
      <c r="I280" s="104" t="s">
        <v>82</v>
      </c>
      <c r="J280" s="68">
        <v>250</v>
      </c>
      <c r="K280" s="68">
        <v>50</v>
      </c>
      <c r="L280" s="255">
        <v>300</v>
      </c>
      <c r="M280" s="68">
        <v>250</v>
      </c>
      <c r="N280" s="68">
        <v>50</v>
      </c>
      <c r="O280" s="255">
        <f t="shared" si="60"/>
        <v>300</v>
      </c>
      <c r="P280" s="68">
        <f t="shared" si="61"/>
        <v>162.5</v>
      </c>
      <c r="Q280" s="68">
        <f t="shared" si="62"/>
        <v>32.5</v>
      </c>
      <c r="R280" s="255">
        <f t="shared" si="63"/>
        <v>195</v>
      </c>
      <c r="S280" s="519" t="s">
        <v>730</v>
      </c>
      <c r="T280" s="520"/>
    </row>
    <row r="281" spans="1:20" s="401" customFormat="1" ht="22.5" customHeight="1">
      <c r="A281" s="99" t="s">
        <v>635</v>
      </c>
      <c r="B281" s="100"/>
      <c r="C281" s="9" t="s">
        <v>65</v>
      </c>
      <c r="D281" s="102" t="s">
        <v>709</v>
      </c>
      <c r="E281" s="102" t="s">
        <v>693</v>
      </c>
      <c r="F281" s="101">
        <v>46</v>
      </c>
      <c r="G281" s="103">
        <v>39006</v>
      </c>
      <c r="H281" s="103">
        <v>39010</v>
      </c>
      <c r="I281" s="104" t="s">
        <v>82</v>
      </c>
      <c r="J281" s="68">
        <v>250</v>
      </c>
      <c r="K281" s="68">
        <v>50</v>
      </c>
      <c r="L281" s="255">
        <v>300</v>
      </c>
      <c r="M281" s="68">
        <v>250</v>
      </c>
      <c r="N281" s="68">
        <v>50</v>
      </c>
      <c r="O281" s="255">
        <f t="shared" si="60"/>
        <v>300</v>
      </c>
      <c r="P281" s="68">
        <f t="shared" si="61"/>
        <v>162.5</v>
      </c>
      <c r="Q281" s="68">
        <f t="shared" si="62"/>
        <v>32.5</v>
      </c>
      <c r="R281" s="255">
        <f t="shared" si="63"/>
        <v>195</v>
      </c>
      <c r="S281" s="519" t="s">
        <v>730</v>
      </c>
      <c r="T281" s="520"/>
    </row>
    <row r="282" spans="1:20" ht="11.25">
      <c r="A282" s="502" t="s">
        <v>840</v>
      </c>
      <c r="B282" s="502"/>
      <c r="C282" s="503" t="s">
        <v>477</v>
      </c>
      <c r="D282" s="504"/>
      <c r="E282" s="505"/>
      <c r="F282" s="504"/>
      <c r="G282" s="504"/>
      <c r="H282" s="505"/>
      <c r="I282" s="505"/>
      <c r="J282" s="487">
        <v>12000</v>
      </c>
      <c r="K282" s="487">
        <v>2400</v>
      </c>
      <c r="L282" s="487">
        <f>+K282+J282</f>
        <v>14400</v>
      </c>
      <c r="M282" s="487">
        <v>12000</v>
      </c>
      <c r="N282" s="487">
        <v>2400</v>
      </c>
      <c r="O282" s="487">
        <f>+N282+M282</f>
        <v>14400</v>
      </c>
      <c r="P282" s="487">
        <f aca="true" t="shared" si="64" ref="P282:Q285">M282*0.65</f>
        <v>7800</v>
      </c>
      <c r="Q282" s="487">
        <f t="shared" si="64"/>
        <v>1560</v>
      </c>
      <c r="R282" s="487">
        <f>+Q282+P282</f>
        <v>9360</v>
      </c>
      <c r="S282" s="591" t="s">
        <v>841</v>
      </c>
      <c r="T282" s="592"/>
    </row>
    <row r="283" spans="1:20" ht="33.75">
      <c r="A283" s="7" t="s">
        <v>840</v>
      </c>
      <c r="B283" s="7"/>
      <c r="C283" s="139" t="s">
        <v>205</v>
      </c>
      <c r="D283" s="476" t="s">
        <v>974</v>
      </c>
      <c r="E283" s="477" t="s">
        <v>790</v>
      </c>
      <c r="F283" s="476" t="s">
        <v>975</v>
      </c>
      <c r="G283" s="476">
        <v>39008</v>
      </c>
      <c r="H283" s="477">
        <v>39238</v>
      </c>
      <c r="I283" s="477" t="s">
        <v>970</v>
      </c>
      <c r="J283" s="68">
        <v>4000</v>
      </c>
      <c r="K283" s="68">
        <v>800</v>
      </c>
      <c r="L283" s="255">
        <v>4800</v>
      </c>
      <c r="M283" s="68">
        <v>4000</v>
      </c>
      <c r="N283" s="68"/>
      <c r="O283" s="255">
        <f>+N283+M283</f>
        <v>4000</v>
      </c>
      <c r="P283" s="68">
        <f t="shared" si="64"/>
        <v>2600</v>
      </c>
      <c r="Q283" s="68">
        <f t="shared" si="64"/>
        <v>0</v>
      </c>
      <c r="R283" s="255">
        <f>+Q283+P283</f>
        <v>2600</v>
      </c>
      <c r="S283" s="474" t="s">
        <v>1242</v>
      </c>
      <c r="T283" s="475"/>
    </row>
    <row r="284" spans="1:20" ht="33.75">
      <c r="A284" s="7" t="s">
        <v>840</v>
      </c>
      <c r="B284" s="7"/>
      <c r="C284" s="139" t="s">
        <v>205</v>
      </c>
      <c r="D284" s="476" t="s">
        <v>974</v>
      </c>
      <c r="E284" s="477" t="s">
        <v>790</v>
      </c>
      <c r="F284" s="476">
        <v>7</v>
      </c>
      <c r="G284" s="476">
        <v>39235</v>
      </c>
      <c r="H284" s="477">
        <v>39238</v>
      </c>
      <c r="I284" s="477" t="s">
        <v>970</v>
      </c>
      <c r="J284" s="68">
        <v>4000</v>
      </c>
      <c r="K284" s="68">
        <v>800</v>
      </c>
      <c r="L284" s="255">
        <v>4800</v>
      </c>
      <c r="M284" s="68">
        <v>4000</v>
      </c>
      <c r="N284" s="68"/>
      <c r="O284" s="255">
        <f>+N284+M284</f>
        <v>4000</v>
      </c>
      <c r="P284" s="68">
        <f t="shared" si="64"/>
        <v>2600</v>
      </c>
      <c r="Q284" s="68">
        <f t="shared" si="64"/>
        <v>0</v>
      </c>
      <c r="R284" s="255">
        <f>+Q284+P284</f>
        <v>2600</v>
      </c>
      <c r="S284" s="474" t="s">
        <v>1242</v>
      </c>
      <c r="T284" s="475"/>
    </row>
    <row r="285" spans="1:20" ht="33.75">
      <c r="A285" s="7" t="s">
        <v>840</v>
      </c>
      <c r="B285" s="7"/>
      <c r="C285" s="139" t="s">
        <v>205</v>
      </c>
      <c r="D285" s="476" t="s">
        <v>974</v>
      </c>
      <c r="E285" s="477" t="s">
        <v>790</v>
      </c>
      <c r="F285" s="476">
        <v>3</v>
      </c>
      <c r="G285" s="476">
        <v>39107</v>
      </c>
      <c r="H285" s="477">
        <v>39238</v>
      </c>
      <c r="I285" s="477" t="s">
        <v>970</v>
      </c>
      <c r="J285" s="68">
        <v>4000</v>
      </c>
      <c r="K285" s="68">
        <v>800</v>
      </c>
      <c r="L285" s="255">
        <v>4800</v>
      </c>
      <c r="M285" s="68">
        <v>4000</v>
      </c>
      <c r="N285" s="68"/>
      <c r="O285" s="255">
        <f>+N285+M285</f>
        <v>4000</v>
      </c>
      <c r="P285" s="68">
        <f t="shared" si="64"/>
        <v>2600</v>
      </c>
      <c r="Q285" s="68">
        <f t="shared" si="64"/>
        <v>0</v>
      </c>
      <c r="R285" s="255">
        <f>+Q285+P285</f>
        <v>2600</v>
      </c>
      <c r="S285" s="474" t="s">
        <v>1242</v>
      </c>
      <c r="T285" s="475"/>
    </row>
    <row r="286" spans="1:20" ht="11.25">
      <c r="A286" s="502" t="s">
        <v>977</v>
      </c>
      <c r="B286" s="502"/>
      <c r="C286" s="503" t="s">
        <v>980</v>
      </c>
      <c r="D286" s="504"/>
      <c r="E286" s="505"/>
      <c r="F286" s="504"/>
      <c r="G286" s="504"/>
      <c r="H286" s="505"/>
      <c r="I286" s="505"/>
      <c r="J286" s="487">
        <f aca="true" t="shared" si="65" ref="J286:R286">SUM(J283:J285)-J282</f>
        <v>0</v>
      </c>
      <c r="K286" s="487">
        <f t="shared" si="65"/>
        <v>0</v>
      </c>
      <c r="L286" s="487">
        <f t="shared" si="65"/>
        <v>0</v>
      </c>
      <c r="M286" s="487">
        <f t="shared" si="65"/>
        <v>0</v>
      </c>
      <c r="N286" s="487">
        <f t="shared" si="65"/>
        <v>-2400</v>
      </c>
      <c r="O286" s="487">
        <f t="shared" si="65"/>
        <v>-2400</v>
      </c>
      <c r="P286" s="487">
        <f t="shared" si="65"/>
        <v>0</v>
      </c>
      <c r="Q286" s="487">
        <f t="shared" si="65"/>
        <v>-1560</v>
      </c>
      <c r="R286" s="487">
        <f t="shared" si="65"/>
        <v>-1560</v>
      </c>
      <c r="S286" s="507" t="s">
        <v>1242</v>
      </c>
      <c r="T286" s="475"/>
    </row>
    <row r="287" spans="1:20" ht="22.5">
      <c r="A287" s="99" t="s">
        <v>977</v>
      </c>
      <c r="B287" s="100"/>
      <c r="C287" s="232" t="s">
        <v>256</v>
      </c>
      <c r="D287" s="476" t="s">
        <v>985</v>
      </c>
      <c r="E287" s="477" t="s">
        <v>986</v>
      </c>
      <c r="F287" s="476">
        <v>445607</v>
      </c>
      <c r="G287" s="476">
        <v>39333</v>
      </c>
      <c r="H287" s="477">
        <v>39408</v>
      </c>
      <c r="I287" s="477" t="s">
        <v>78</v>
      </c>
      <c r="J287" s="68">
        <v>1710</v>
      </c>
      <c r="K287" s="68">
        <v>342</v>
      </c>
      <c r="L287" s="255">
        <v>2052</v>
      </c>
      <c r="M287" s="68">
        <v>1710</v>
      </c>
      <c r="N287" s="68">
        <v>342</v>
      </c>
      <c r="O287" s="255">
        <f aca="true" t="shared" si="66" ref="O287:O307">+N287+M287</f>
        <v>2052</v>
      </c>
      <c r="P287" s="68">
        <f aca="true" t="shared" si="67" ref="P287:P307">+M287*0.65</f>
        <v>1111.5</v>
      </c>
      <c r="Q287" s="409">
        <f>+N287*0.65</f>
        <v>222.3</v>
      </c>
      <c r="R287" s="256">
        <f aca="true" t="shared" si="68" ref="R287:R307">+Q287+P287</f>
        <v>1333.8</v>
      </c>
      <c r="S287" s="474" t="s">
        <v>1242</v>
      </c>
      <c r="T287" s="475"/>
    </row>
    <row r="288" spans="1:20" ht="22.5">
      <c r="A288" s="99" t="s">
        <v>977</v>
      </c>
      <c r="B288" s="100"/>
      <c r="C288" s="232" t="s">
        <v>256</v>
      </c>
      <c r="D288" s="476" t="s">
        <v>985</v>
      </c>
      <c r="E288" s="477" t="s">
        <v>986</v>
      </c>
      <c r="F288" s="476">
        <v>491355</v>
      </c>
      <c r="G288" s="476">
        <v>39361</v>
      </c>
      <c r="H288" s="477">
        <v>39408</v>
      </c>
      <c r="I288" s="477" t="s">
        <v>78</v>
      </c>
      <c r="J288" s="68">
        <v>1710</v>
      </c>
      <c r="K288" s="68">
        <v>342</v>
      </c>
      <c r="L288" s="255">
        <v>2052</v>
      </c>
      <c r="M288" s="68">
        <v>1710</v>
      </c>
      <c r="N288" s="68">
        <v>342</v>
      </c>
      <c r="O288" s="255">
        <f t="shared" si="66"/>
        <v>2052</v>
      </c>
      <c r="P288" s="68">
        <f t="shared" si="67"/>
        <v>1111.5</v>
      </c>
      <c r="Q288" s="409">
        <f aca="true" t="shared" si="69" ref="Q288:Q307">+N288*0.65</f>
        <v>222.3</v>
      </c>
      <c r="R288" s="256">
        <f t="shared" si="68"/>
        <v>1333.8</v>
      </c>
      <c r="S288" s="474" t="s">
        <v>1242</v>
      </c>
      <c r="T288" s="475"/>
    </row>
    <row r="289" spans="1:20" ht="22.5">
      <c r="A289" s="99" t="s">
        <v>977</v>
      </c>
      <c r="B289" s="100"/>
      <c r="C289" s="232" t="s">
        <v>256</v>
      </c>
      <c r="D289" s="476" t="s">
        <v>985</v>
      </c>
      <c r="E289" s="477" t="s">
        <v>986</v>
      </c>
      <c r="F289" s="476">
        <v>586787</v>
      </c>
      <c r="G289" s="476">
        <v>39424</v>
      </c>
      <c r="H289" s="477">
        <v>39454</v>
      </c>
      <c r="I289" s="477" t="s">
        <v>78</v>
      </c>
      <c r="J289" s="68">
        <v>1710</v>
      </c>
      <c r="K289" s="68">
        <v>342</v>
      </c>
      <c r="L289" s="255">
        <v>2052</v>
      </c>
      <c r="M289" s="68">
        <v>1710</v>
      </c>
      <c r="N289" s="68">
        <v>342</v>
      </c>
      <c r="O289" s="255">
        <f t="shared" si="66"/>
        <v>2052</v>
      </c>
      <c r="P289" s="68">
        <f t="shared" si="67"/>
        <v>1111.5</v>
      </c>
      <c r="Q289" s="409">
        <f t="shared" si="69"/>
        <v>222.3</v>
      </c>
      <c r="R289" s="256">
        <f t="shared" si="68"/>
        <v>1333.8</v>
      </c>
      <c r="S289" s="474" t="s">
        <v>1242</v>
      </c>
      <c r="T289" s="475"/>
    </row>
    <row r="290" spans="1:20" ht="22.5">
      <c r="A290" s="99" t="s">
        <v>977</v>
      </c>
      <c r="B290" s="100"/>
      <c r="C290" s="232" t="s">
        <v>256</v>
      </c>
      <c r="D290" s="476" t="s">
        <v>985</v>
      </c>
      <c r="E290" s="477" t="s">
        <v>986</v>
      </c>
      <c r="F290" s="476">
        <v>540782</v>
      </c>
      <c r="G290" s="476">
        <v>39396</v>
      </c>
      <c r="H290" s="477">
        <v>39423</v>
      </c>
      <c r="I290" s="477" t="s">
        <v>78</v>
      </c>
      <c r="J290" s="68">
        <v>1710</v>
      </c>
      <c r="K290" s="68">
        <v>342</v>
      </c>
      <c r="L290" s="255">
        <v>2052</v>
      </c>
      <c r="M290" s="68">
        <v>1710</v>
      </c>
      <c r="N290" s="68">
        <v>342</v>
      </c>
      <c r="O290" s="255">
        <f t="shared" si="66"/>
        <v>2052</v>
      </c>
      <c r="P290" s="68">
        <f t="shared" si="67"/>
        <v>1111.5</v>
      </c>
      <c r="Q290" s="409">
        <f t="shared" si="69"/>
        <v>222.3</v>
      </c>
      <c r="R290" s="256">
        <f t="shared" si="68"/>
        <v>1333.8</v>
      </c>
      <c r="S290" s="474" t="s">
        <v>1242</v>
      </c>
      <c r="T290" s="475"/>
    </row>
    <row r="291" spans="1:20" ht="11.25">
      <c r="A291" s="99" t="s">
        <v>977</v>
      </c>
      <c r="B291" s="100"/>
      <c r="C291" s="9" t="s">
        <v>65</v>
      </c>
      <c r="D291" s="476" t="s">
        <v>988</v>
      </c>
      <c r="E291" s="477" t="s">
        <v>896</v>
      </c>
      <c r="F291" s="476">
        <v>44</v>
      </c>
      <c r="G291" s="476">
        <v>39359</v>
      </c>
      <c r="H291" s="477">
        <v>39391</v>
      </c>
      <c r="I291" s="477" t="s">
        <v>82</v>
      </c>
      <c r="J291" s="68">
        <v>500</v>
      </c>
      <c r="K291" s="68">
        <v>100</v>
      </c>
      <c r="L291" s="255">
        <v>600</v>
      </c>
      <c r="M291" s="68">
        <v>500</v>
      </c>
      <c r="N291" s="68">
        <v>100</v>
      </c>
      <c r="O291" s="255">
        <f t="shared" si="66"/>
        <v>600</v>
      </c>
      <c r="P291" s="68">
        <f t="shared" si="67"/>
        <v>325</v>
      </c>
      <c r="Q291" s="409">
        <f t="shared" si="69"/>
        <v>65</v>
      </c>
      <c r="R291" s="256">
        <f t="shared" si="68"/>
        <v>390</v>
      </c>
      <c r="S291" s="474" t="s">
        <v>1242</v>
      </c>
      <c r="T291" s="475"/>
    </row>
    <row r="292" spans="1:20" ht="11.25">
      <c r="A292" s="99" t="s">
        <v>977</v>
      </c>
      <c r="B292" s="100"/>
      <c r="C292" s="9" t="s">
        <v>65</v>
      </c>
      <c r="D292" s="476" t="s">
        <v>988</v>
      </c>
      <c r="E292" s="477" t="s">
        <v>896</v>
      </c>
      <c r="F292" s="476">
        <v>55</v>
      </c>
      <c r="G292" s="476">
        <v>39407</v>
      </c>
      <c r="H292" s="477">
        <v>39436</v>
      </c>
      <c r="I292" s="477" t="s">
        <v>82</v>
      </c>
      <c r="J292" s="68">
        <v>500</v>
      </c>
      <c r="K292" s="68">
        <v>100</v>
      </c>
      <c r="L292" s="255">
        <v>600</v>
      </c>
      <c r="M292" s="68">
        <v>500</v>
      </c>
      <c r="N292" s="68">
        <v>100</v>
      </c>
      <c r="O292" s="255">
        <f t="shared" si="66"/>
        <v>600</v>
      </c>
      <c r="P292" s="68">
        <f t="shared" si="67"/>
        <v>325</v>
      </c>
      <c r="Q292" s="409">
        <f t="shared" si="69"/>
        <v>65</v>
      </c>
      <c r="R292" s="256">
        <f t="shared" si="68"/>
        <v>390</v>
      </c>
      <c r="S292" s="474" t="s">
        <v>1242</v>
      </c>
      <c r="T292" s="475"/>
    </row>
    <row r="293" spans="1:20" ht="11.25">
      <c r="A293" s="99" t="s">
        <v>977</v>
      </c>
      <c r="B293" s="100"/>
      <c r="C293" s="9" t="s">
        <v>65</v>
      </c>
      <c r="D293" s="88" t="s">
        <v>988</v>
      </c>
      <c r="E293" s="13" t="s">
        <v>896</v>
      </c>
      <c r="F293" s="17">
        <v>38</v>
      </c>
      <c r="G293" s="18">
        <v>39694</v>
      </c>
      <c r="H293" s="15">
        <v>39339</v>
      </c>
      <c r="I293" s="16" t="s">
        <v>82</v>
      </c>
      <c r="J293" s="340">
        <v>500</v>
      </c>
      <c r="K293" s="341">
        <v>100</v>
      </c>
      <c r="L293" s="342">
        <v>600</v>
      </c>
      <c r="M293" s="340">
        <v>500</v>
      </c>
      <c r="N293" s="341">
        <v>100</v>
      </c>
      <c r="O293" s="255">
        <f t="shared" si="66"/>
        <v>600</v>
      </c>
      <c r="P293" s="68">
        <f t="shared" si="67"/>
        <v>325</v>
      </c>
      <c r="Q293" s="409">
        <f t="shared" si="69"/>
        <v>65</v>
      </c>
      <c r="R293" s="256">
        <f t="shared" si="68"/>
        <v>390</v>
      </c>
      <c r="S293" s="540" t="s">
        <v>1242</v>
      </c>
      <c r="T293" s="540"/>
    </row>
    <row r="294" spans="1:20" ht="23.25" customHeight="1">
      <c r="A294" s="99" t="s">
        <v>977</v>
      </c>
      <c r="B294" s="100"/>
      <c r="C294" s="232" t="s">
        <v>256</v>
      </c>
      <c r="D294" s="88" t="s">
        <v>1091</v>
      </c>
      <c r="E294" s="13" t="s">
        <v>986</v>
      </c>
      <c r="F294" s="17">
        <v>85188</v>
      </c>
      <c r="G294" s="18">
        <v>39487</v>
      </c>
      <c r="H294" s="15">
        <v>39485</v>
      </c>
      <c r="I294" s="16" t="s">
        <v>78</v>
      </c>
      <c r="J294" s="340">
        <v>1710</v>
      </c>
      <c r="K294" s="341">
        <v>342</v>
      </c>
      <c r="L294" s="342">
        <v>2052</v>
      </c>
      <c r="M294" s="340">
        <v>1710</v>
      </c>
      <c r="N294" s="341">
        <v>342</v>
      </c>
      <c r="O294" s="255">
        <f t="shared" si="66"/>
        <v>2052</v>
      </c>
      <c r="P294" s="68">
        <f t="shared" si="67"/>
        <v>1111.5</v>
      </c>
      <c r="Q294" s="409">
        <f t="shared" si="69"/>
        <v>222.3</v>
      </c>
      <c r="R294" s="256">
        <f t="shared" si="68"/>
        <v>1333.8</v>
      </c>
      <c r="S294" s="540" t="s">
        <v>1242</v>
      </c>
      <c r="T294" s="540"/>
    </row>
    <row r="295" spans="1:20" ht="22.5">
      <c r="A295" s="99" t="s">
        <v>977</v>
      </c>
      <c r="B295" s="100"/>
      <c r="C295" s="232" t="s">
        <v>256</v>
      </c>
      <c r="D295" s="88" t="s">
        <v>1091</v>
      </c>
      <c r="E295" s="13" t="s">
        <v>986</v>
      </c>
      <c r="F295" s="17">
        <v>129523</v>
      </c>
      <c r="G295" s="18">
        <v>39515</v>
      </c>
      <c r="H295" s="15">
        <v>39546</v>
      </c>
      <c r="I295" s="16" t="s">
        <v>78</v>
      </c>
      <c r="J295" s="340">
        <v>1710</v>
      </c>
      <c r="K295" s="341">
        <v>342</v>
      </c>
      <c r="L295" s="342">
        <v>2052</v>
      </c>
      <c r="M295" s="340">
        <v>1710</v>
      </c>
      <c r="N295" s="341">
        <v>342</v>
      </c>
      <c r="O295" s="255">
        <f t="shared" si="66"/>
        <v>2052</v>
      </c>
      <c r="P295" s="68">
        <f t="shared" si="67"/>
        <v>1111.5</v>
      </c>
      <c r="Q295" s="409">
        <f t="shared" si="69"/>
        <v>222.3</v>
      </c>
      <c r="R295" s="256">
        <f t="shared" si="68"/>
        <v>1333.8</v>
      </c>
      <c r="S295" s="540" t="s">
        <v>1242</v>
      </c>
      <c r="T295" s="540"/>
    </row>
    <row r="296" spans="1:20" ht="22.5">
      <c r="A296" s="99" t="s">
        <v>977</v>
      </c>
      <c r="B296" s="100"/>
      <c r="C296" s="232" t="s">
        <v>256</v>
      </c>
      <c r="D296" s="88" t="s">
        <v>1091</v>
      </c>
      <c r="E296" s="13" t="s">
        <v>986</v>
      </c>
      <c r="F296" s="17">
        <v>175275</v>
      </c>
      <c r="G296" s="18">
        <v>39550</v>
      </c>
      <c r="H296" s="15">
        <v>39576</v>
      </c>
      <c r="I296" s="16" t="s">
        <v>78</v>
      </c>
      <c r="J296" s="340">
        <v>1710</v>
      </c>
      <c r="K296" s="341">
        <v>342</v>
      </c>
      <c r="L296" s="342">
        <v>2052</v>
      </c>
      <c r="M296" s="340">
        <v>1710</v>
      </c>
      <c r="N296" s="341">
        <v>342</v>
      </c>
      <c r="O296" s="255">
        <f t="shared" si="66"/>
        <v>2052</v>
      </c>
      <c r="P296" s="68">
        <f t="shared" si="67"/>
        <v>1111.5</v>
      </c>
      <c r="Q296" s="409">
        <f t="shared" si="69"/>
        <v>222.3</v>
      </c>
      <c r="R296" s="256">
        <f t="shared" si="68"/>
        <v>1333.8</v>
      </c>
      <c r="S296" s="540" t="s">
        <v>1242</v>
      </c>
      <c r="T296" s="540"/>
    </row>
    <row r="297" spans="1:20" ht="22.5">
      <c r="A297" s="99" t="s">
        <v>977</v>
      </c>
      <c r="B297" s="100"/>
      <c r="C297" s="232" t="s">
        <v>256</v>
      </c>
      <c r="D297" s="88" t="s">
        <v>1091</v>
      </c>
      <c r="E297" s="13" t="s">
        <v>986</v>
      </c>
      <c r="F297" s="17">
        <v>217285</v>
      </c>
      <c r="G297" s="18">
        <v>39578</v>
      </c>
      <c r="H297" s="15">
        <v>39612</v>
      </c>
      <c r="I297" s="16" t="s">
        <v>78</v>
      </c>
      <c r="J297" s="340">
        <v>1710</v>
      </c>
      <c r="K297" s="341">
        <v>342</v>
      </c>
      <c r="L297" s="342">
        <v>2052</v>
      </c>
      <c r="M297" s="340">
        <v>1710</v>
      </c>
      <c r="N297" s="341">
        <v>342</v>
      </c>
      <c r="O297" s="255">
        <f t="shared" si="66"/>
        <v>2052</v>
      </c>
      <c r="P297" s="68">
        <f t="shared" si="67"/>
        <v>1111.5</v>
      </c>
      <c r="Q297" s="409">
        <f t="shared" si="69"/>
        <v>222.3</v>
      </c>
      <c r="R297" s="256">
        <f t="shared" si="68"/>
        <v>1333.8</v>
      </c>
      <c r="S297" s="540" t="s">
        <v>1242</v>
      </c>
      <c r="T297" s="540"/>
    </row>
    <row r="298" spans="1:20" ht="22.5">
      <c r="A298" s="99" t="s">
        <v>977</v>
      </c>
      <c r="B298" s="100"/>
      <c r="C298" s="232" t="s">
        <v>256</v>
      </c>
      <c r="D298" s="88" t="s">
        <v>1091</v>
      </c>
      <c r="E298" s="13" t="s">
        <v>986</v>
      </c>
      <c r="F298" s="17">
        <v>260077</v>
      </c>
      <c r="G298" s="18">
        <v>39611</v>
      </c>
      <c r="H298" s="15">
        <v>39636</v>
      </c>
      <c r="I298" s="16" t="s">
        <v>78</v>
      </c>
      <c r="J298" s="340">
        <v>1710</v>
      </c>
      <c r="K298" s="341">
        <v>342</v>
      </c>
      <c r="L298" s="342">
        <v>2052</v>
      </c>
      <c r="M298" s="340">
        <v>1710</v>
      </c>
      <c r="N298" s="341">
        <v>342</v>
      </c>
      <c r="O298" s="255">
        <f t="shared" si="66"/>
        <v>2052</v>
      </c>
      <c r="P298" s="68">
        <f t="shared" si="67"/>
        <v>1111.5</v>
      </c>
      <c r="Q298" s="409">
        <f t="shared" si="69"/>
        <v>222.3</v>
      </c>
      <c r="R298" s="256">
        <f t="shared" si="68"/>
        <v>1333.8</v>
      </c>
      <c r="S298" s="540" t="s">
        <v>1242</v>
      </c>
      <c r="T298" s="540"/>
    </row>
    <row r="299" spans="1:20" ht="22.5">
      <c r="A299" s="99" t="s">
        <v>977</v>
      </c>
      <c r="B299" s="100"/>
      <c r="C299" s="232" t="s">
        <v>256</v>
      </c>
      <c r="D299" s="88" t="s">
        <v>1091</v>
      </c>
      <c r="E299" s="13" t="s">
        <v>986</v>
      </c>
      <c r="F299" s="17">
        <v>301322</v>
      </c>
      <c r="G299" s="18">
        <v>39637</v>
      </c>
      <c r="H299" s="15">
        <v>39735</v>
      </c>
      <c r="I299" s="16" t="s">
        <v>78</v>
      </c>
      <c r="J299" s="340">
        <v>1710</v>
      </c>
      <c r="K299" s="341">
        <v>342</v>
      </c>
      <c r="L299" s="342">
        <v>2052</v>
      </c>
      <c r="M299" s="340">
        <v>1710</v>
      </c>
      <c r="N299" s="341">
        <v>342</v>
      </c>
      <c r="O299" s="255">
        <f t="shared" si="66"/>
        <v>2052</v>
      </c>
      <c r="P299" s="68">
        <f t="shared" si="67"/>
        <v>1111.5</v>
      </c>
      <c r="Q299" s="409">
        <f t="shared" si="69"/>
        <v>222.3</v>
      </c>
      <c r="R299" s="256">
        <f t="shared" si="68"/>
        <v>1333.8</v>
      </c>
      <c r="S299" s="540" t="s">
        <v>1242</v>
      </c>
      <c r="T299" s="540"/>
    </row>
    <row r="300" spans="1:20" ht="33.75">
      <c r="A300" s="99" t="s">
        <v>977</v>
      </c>
      <c r="B300" s="100"/>
      <c r="C300" s="232" t="s">
        <v>256</v>
      </c>
      <c r="D300" s="88" t="s">
        <v>1092</v>
      </c>
      <c r="E300" s="13" t="s">
        <v>1093</v>
      </c>
      <c r="F300" s="17">
        <v>108</v>
      </c>
      <c r="G300" s="18">
        <v>39640</v>
      </c>
      <c r="H300" s="15">
        <v>39660</v>
      </c>
      <c r="I300" s="16" t="s">
        <v>78</v>
      </c>
      <c r="J300" s="340">
        <v>10000</v>
      </c>
      <c r="K300" s="341">
        <v>2000</v>
      </c>
      <c r="L300" s="342">
        <v>12000</v>
      </c>
      <c r="M300" s="340">
        <v>10000</v>
      </c>
      <c r="N300" s="341">
        <v>2000</v>
      </c>
      <c r="O300" s="255">
        <f t="shared" si="66"/>
        <v>12000</v>
      </c>
      <c r="P300" s="68">
        <f t="shared" si="67"/>
        <v>6500</v>
      </c>
      <c r="Q300" s="409">
        <f t="shared" si="69"/>
        <v>1300</v>
      </c>
      <c r="R300" s="256">
        <f t="shared" si="68"/>
        <v>7800</v>
      </c>
      <c r="S300" s="540" t="s">
        <v>1242</v>
      </c>
      <c r="T300" s="540"/>
    </row>
    <row r="301" spans="1:20" ht="33.75">
      <c r="A301" s="99" t="s">
        <v>977</v>
      </c>
      <c r="B301" s="100"/>
      <c r="C301" s="232" t="s">
        <v>256</v>
      </c>
      <c r="D301" s="88" t="s">
        <v>1094</v>
      </c>
      <c r="E301" s="13" t="s">
        <v>1093</v>
      </c>
      <c r="F301" s="17">
        <v>115</v>
      </c>
      <c r="G301" s="18">
        <v>39650</v>
      </c>
      <c r="H301" s="15">
        <v>39660</v>
      </c>
      <c r="I301" s="16" t="s">
        <v>78</v>
      </c>
      <c r="J301" s="340">
        <v>10000</v>
      </c>
      <c r="K301" s="341">
        <v>2000</v>
      </c>
      <c r="L301" s="342">
        <v>12000</v>
      </c>
      <c r="M301" s="340">
        <v>10000</v>
      </c>
      <c r="N301" s="341">
        <v>2000</v>
      </c>
      <c r="O301" s="255">
        <f t="shared" si="66"/>
        <v>12000</v>
      </c>
      <c r="P301" s="68">
        <f t="shared" si="67"/>
        <v>6500</v>
      </c>
      <c r="Q301" s="409">
        <f t="shared" si="69"/>
        <v>1300</v>
      </c>
      <c r="R301" s="256">
        <f t="shared" si="68"/>
        <v>7800</v>
      </c>
      <c r="S301" s="540" t="s">
        <v>1242</v>
      </c>
      <c r="T301" s="540"/>
    </row>
    <row r="302" spans="1:20" ht="33.75">
      <c r="A302" s="99" t="s">
        <v>977</v>
      </c>
      <c r="B302" s="100"/>
      <c r="C302" s="232" t="s">
        <v>256</v>
      </c>
      <c r="D302" s="88" t="s">
        <v>1095</v>
      </c>
      <c r="E302" s="13" t="s">
        <v>1093</v>
      </c>
      <c r="F302" s="17">
        <v>126</v>
      </c>
      <c r="G302" s="18">
        <v>39657</v>
      </c>
      <c r="H302" s="15">
        <v>39660</v>
      </c>
      <c r="I302" s="16" t="s">
        <v>78</v>
      </c>
      <c r="J302" s="340">
        <v>10000</v>
      </c>
      <c r="K302" s="341">
        <v>2000</v>
      </c>
      <c r="L302" s="342">
        <v>12000</v>
      </c>
      <c r="M302" s="340">
        <v>10000</v>
      </c>
      <c r="N302" s="341">
        <v>2000</v>
      </c>
      <c r="O302" s="255">
        <f t="shared" si="66"/>
        <v>12000</v>
      </c>
      <c r="P302" s="68">
        <f t="shared" si="67"/>
        <v>6500</v>
      </c>
      <c r="Q302" s="409">
        <f t="shared" si="69"/>
        <v>1300</v>
      </c>
      <c r="R302" s="256">
        <f t="shared" si="68"/>
        <v>7800</v>
      </c>
      <c r="S302" s="540" t="s">
        <v>1242</v>
      </c>
      <c r="T302" s="540"/>
    </row>
    <row r="303" spans="1:20" ht="11.25">
      <c r="A303" s="99" t="s">
        <v>977</v>
      </c>
      <c r="B303" s="100"/>
      <c r="C303" s="9" t="s">
        <v>65</v>
      </c>
      <c r="D303" s="88" t="s">
        <v>988</v>
      </c>
      <c r="E303" s="13" t="s">
        <v>896</v>
      </c>
      <c r="F303" s="17">
        <v>18</v>
      </c>
      <c r="G303" s="18">
        <v>39594</v>
      </c>
      <c r="H303" s="15">
        <v>39608</v>
      </c>
      <c r="I303" s="16" t="s">
        <v>82</v>
      </c>
      <c r="J303" s="340">
        <v>500</v>
      </c>
      <c r="K303" s="341">
        <v>100</v>
      </c>
      <c r="L303" s="342">
        <v>600</v>
      </c>
      <c r="M303" s="340">
        <v>500</v>
      </c>
      <c r="N303" s="341">
        <v>100</v>
      </c>
      <c r="O303" s="255">
        <f t="shared" si="66"/>
        <v>600</v>
      </c>
      <c r="P303" s="68">
        <f t="shared" si="67"/>
        <v>325</v>
      </c>
      <c r="Q303" s="409">
        <f t="shared" si="69"/>
        <v>65</v>
      </c>
      <c r="R303" s="256">
        <f t="shared" si="68"/>
        <v>390</v>
      </c>
      <c r="S303" s="540" t="s">
        <v>1242</v>
      </c>
      <c r="T303" s="540"/>
    </row>
    <row r="304" spans="1:20" ht="11.25">
      <c r="A304" s="99" t="s">
        <v>977</v>
      </c>
      <c r="B304" s="100"/>
      <c r="C304" s="9" t="s">
        <v>65</v>
      </c>
      <c r="D304" s="88" t="s">
        <v>988</v>
      </c>
      <c r="E304" s="13" t="s">
        <v>896</v>
      </c>
      <c r="F304" s="17"/>
      <c r="G304" s="18"/>
      <c r="H304" s="15"/>
      <c r="I304" s="16" t="s">
        <v>82</v>
      </c>
      <c r="J304" s="340">
        <v>500</v>
      </c>
      <c r="K304" s="341">
        <v>100</v>
      </c>
      <c r="L304" s="342">
        <v>600</v>
      </c>
      <c r="M304" s="340">
        <v>500</v>
      </c>
      <c r="N304" s="341">
        <v>100</v>
      </c>
      <c r="O304" s="255">
        <f t="shared" si="66"/>
        <v>600</v>
      </c>
      <c r="P304" s="68">
        <f t="shared" si="67"/>
        <v>325</v>
      </c>
      <c r="Q304" s="409">
        <f t="shared" si="69"/>
        <v>65</v>
      </c>
      <c r="R304" s="256">
        <f t="shared" si="68"/>
        <v>390</v>
      </c>
      <c r="S304" s="540" t="s">
        <v>1242</v>
      </c>
      <c r="T304" s="540"/>
    </row>
    <row r="305" spans="1:20" ht="11.25">
      <c r="A305" s="99" t="s">
        <v>977</v>
      </c>
      <c r="B305" s="100"/>
      <c r="C305" s="9" t="s">
        <v>65</v>
      </c>
      <c r="D305" s="88" t="s">
        <v>988</v>
      </c>
      <c r="E305" s="13" t="s">
        <v>896</v>
      </c>
      <c r="F305" s="17">
        <v>26</v>
      </c>
      <c r="G305" s="18">
        <v>39638</v>
      </c>
      <c r="H305" s="15">
        <v>39644</v>
      </c>
      <c r="I305" s="16" t="s">
        <v>82</v>
      </c>
      <c r="J305" s="340">
        <v>500</v>
      </c>
      <c r="K305" s="341">
        <v>100</v>
      </c>
      <c r="L305" s="342">
        <v>600</v>
      </c>
      <c r="M305" s="340">
        <v>500</v>
      </c>
      <c r="N305" s="341">
        <v>100</v>
      </c>
      <c r="O305" s="255">
        <f t="shared" si="66"/>
        <v>600</v>
      </c>
      <c r="P305" s="68">
        <f t="shared" si="67"/>
        <v>325</v>
      </c>
      <c r="Q305" s="409">
        <f t="shared" si="69"/>
        <v>65</v>
      </c>
      <c r="R305" s="256">
        <f t="shared" si="68"/>
        <v>390</v>
      </c>
      <c r="S305" s="540" t="s">
        <v>1242</v>
      </c>
      <c r="T305" s="540"/>
    </row>
    <row r="306" spans="1:20" ht="22.5">
      <c r="A306" s="99" t="s">
        <v>977</v>
      </c>
      <c r="B306" s="100"/>
      <c r="C306" s="101" t="s">
        <v>205</v>
      </c>
      <c r="D306" s="88" t="s">
        <v>1217</v>
      </c>
      <c r="E306" s="13" t="s">
        <v>1218</v>
      </c>
      <c r="F306" s="17">
        <v>103</v>
      </c>
      <c r="G306" s="18">
        <v>39625</v>
      </c>
      <c r="H306" s="15">
        <v>39720</v>
      </c>
      <c r="I306" s="16" t="s">
        <v>1219</v>
      </c>
      <c r="J306" s="340">
        <v>3400</v>
      </c>
      <c r="K306" s="341">
        <v>680</v>
      </c>
      <c r="L306" s="342">
        <v>4080</v>
      </c>
      <c r="M306" s="340">
        <v>3400</v>
      </c>
      <c r="N306" s="12"/>
      <c r="O306" s="255">
        <f t="shared" si="66"/>
        <v>3400</v>
      </c>
      <c r="P306" s="68">
        <f t="shared" si="67"/>
        <v>2210</v>
      </c>
      <c r="Q306" s="409">
        <f t="shared" si="69"/>
        <v>0</v>
      </c>
      <c r="R306" s="256">
        <f t="shared" si="68"/>
        <v>2210</v>
      </c>
      <c r="S306" s="540" t="s">
        <v>1242</v>
      </c>
      <c r="T306" s="540"/>
    </row>
    <row r="307" spans="1:20" ht="22.5">
      <c r="A307" s="99" t="s">
        <v>977</v>
      </c>
      <c r="B307" s="100"/>
      <c r="C307" s="101" t="s">
        <v>205</v>
      </c>
      <c r="D307" s="88" t="s">
        <v>1220</v>
      </c>
      <c r="E307" s="13" t="s">
        <v>1221</v>
      </c>
      <c r="F307" s="17">
        <v>25</v>
      </c>
      <c r="G307" s="18">
        <v>39378</v>
      </c>
      <c r="H307" s="15">
        <v>39493</v>
      </c>
      <c r="I307" s="16" t="s">
        <v>1216</v>
      </c>
      <c r="J307" s="340">
        <v>4000</v>
      </c>
      <c r="K307" s="341">
        <v>800</v>
      </c>
      <c r="L307" s="342">
        <v>4800</v>
      </c>
      <c r="M307" s="340">
        <v>4000</v>
      </c>
      <c r="N307" s="12"/>
      <c r="O307" s="255">
        <f t="shared" si="66"/>
        <v>4000</v>
      </c>
      <c r="P307" s="68">
        <f t="shared" si="67"/>
        <v>2600</v>
      </c>
      <c r="Q307" s="409">
        <f t="shared" si="69"/>
        <v>0</v>
      </c>
      <c r="R307" s="256">
        <f t="shared" si="68"/>
        <v>2600</v>
      </c>
      <c r="S307" s="540" t="s">
        <v>1242</v>
      </c>
      <c r="T307" s="540"/>
    </row>
    <row r="308" spans="1:20" ht="11.25">
      <c r="A308" s="99"/>
      <c r="B308" s="100"/>
      <c r="C308" s="9"/>
      <c r="D308" s="88"/>
      <c r="E308" s="13"/>
      <c r="F308" s="17"/>
      <c r="G308" s="18"/>
      <c r="H308" s="15"/>
      <c r="I308" s="16"/>
      <c r="J308" s="340"/>
      <c r="K308" s="341"/>
      <c r="L308" s="342"/>
      <c r="M308" s="12"/>
      <c r="N308" s="12"/>
      <c r="O308" s="263"/>
      <c r="P308" s="12"/>
      <c r="Q308" s="12"/>
      <c r="R308" s="263"/>
      <c r="S308" s="14"/>
      <c r="T308" s="14"/>
    </row>
    <row r="309" spans="1:20" ht="11.25">
      <c r="A309" s="99"/>
      <c r="B309" s="100"/>
      <c r="C309" s="9"/>
      <c r="D309" s="88"/>
      <c r="E309" s="13"/>
      <c r="F309" s="17"/>
      <c r="G309" s="18"/>
      <c r="H309" s="15"/>
      <c r="I309" s="16"/>
      <c r="J309" s="340"/>
      <c r="K309" s="341"/>
      <c r="L309" s="342"/>
      <c r="M309" s="12"/>
      <c r="N309" s="12"/>
      <c r="O309" s="263"/>
      <c r="P309" s="12"/>
      <c r="Q309" s="12"/>
      <c r="R309" s="263"/>
      <c r="S309" s="14"/>
      <c r="T309" s="14"/>
    </row>
    <row r="310" spans="1:20" ht="11.25">
      <c r="A310" s="42"/>
      <c r="B310" s="8"/>
      <c r="C310" s="9"/>
      <c r="D310" s="13"/>
      <c r="E310" s="13"/>
      <c r="F310" s="8"/>
      <c r="G310" s="15"/>
      <c r="H310" s="15"/>
      <c r="I310" s="16"/>
      <c r="J310" s="12"/>
      <c r="K310" s="341"/>
      <c r="L310" s="342"/>
      <c r="M310" s="12"/>
      <c r="N310" s="12"/>
      <c r="O310" s="263"/>
      <c r="P310" s="12"/>
      <c r="Q310" s="12"/>
      <c r="R310" s="263"/>
      <c r="S310" s="544"/>
      <c r="T310" s="544"/>
    </row>
    <row r="311" ht="11.25">
      <c r="S311" s="21"/>
    </row>
    <row r="312" spans="1:20" ht="11.25">
      <c r="A312" s="555" t="s">
        <v>9</v>
      </c>
      <c r="B312" s="556"/>
      <c r="C312" s="556"/>
      <c r="D312" s="556"/>
      <c r="E312" s="556"/>
      <c r="F312" s="556"/>
      <c r="G312" s="556"/>
      <c r="H312" s="556"/>
      <c r="I312" s="556"/>
      <c r="J312" s="556"/>
      <c r="K312" s="556"/>
      <c r="L312" s="343"/>
      <c r="M312" s="69" t="s">
        <v>45</v>
      </c>
      <c r="N312" s="20" t="s">
        <v>40</v>
      </c>
      <c r="O312" s="259" t="s">
        <v>46</v>
      </c>
      <c r="P312" s="20" t="s">
        <v>47</v>
      </c>
      <c r="Q312" s="20" t="s">
        <v>48</v>
      </c>
      <c r="R312" s="259" t="s">
        <v>42</v>
      </c>
      <c r="S312" s="82" t="s">
        <v>25</v>
      </c>
      <c r="T312" s="82" t="s">
        <v>26</v>
      </c>
    </row>
    <row r="313" spans="1:21" ht="11.25">
      <c r="A313" s="525"/>
      <c r="B313" s="526"/>
      <c r="C313" s="511"/>
      <c r="D313" s="512"/>
      <c r="E313" s="512"/>
      <c r="F313" s="512"/>
      <c r="G313" s="512"/>
      <c r="H313" s="512"/>
      <c r="I313" s="512"/>
      <c r="J313" s="512"/>
      <c r="K313" s="513"/>
      <c r="L313" s="274" t="s">
        <v>12</v>
      </c>
      <c r="M313" s="3">
        <v>311000</v>
      </c>
      <c r="N313" s="97"/>
      <c r="O313" s="251"/>
      <c r="P313" s="3"/>
      <c r="Q313" s="3"/>
      <c r="R313" s="251"/>
      <c r="S313" s="73"/>
      <c r="T313" s="73"/>
      <c r="U313" s="21"/>
    </row>
    <row r="314" spans="1:21" ht="11.25">
      <c r="A314" s="525"/>
      <c r="B314" s="526"/>
      <c r="C314" s="34"/>
      <c r="D314" s="86"/>
      <c r="E314" s="86"/>
      <c r="F314" s="33"/>
      <c r="G314" s="33"/>
      <c r="H314" s="33"/>
      <c r="I314" s="92"/>
      <c r="J314" s="33"/>
      <c r="K314" s="4"/>
      <c r="L314" s="266" t="s">
        <v>28</v>
      </c>
      <c r="M314" s="4">
        <f aca="true" t="shared" si="70" ref="M314:R314">SUM(M323)</f>
        <v>2400</v>
      </c>
      <c r="N314" s="4">
        <f t="shared" si="70"/>
        <v>0</v>
      </c>
      <c r="O314" s="252">
        <f t="shared" si="70"/>
        <v>2400</v>
      </c>
      <c r="P314" s="4">
        <f t="shared" si="70"/>
        <v>1560</v>
      </c>
      <c r="Q314" s="4">
        <f t="shared" si="70"/>
        <v>0</v>
      </c>
      <c r="R314" s="252">
        <f t="shared" si="70"/>
        <v>1560</v>
      </c>
      <c r="S314" s="74">
        <f aca="true" t="shared" si="71" ref="S314:S320">R314*0.375</f>
        <v>585</v>
      </c>
      <c r="T314" s="74">
        <f aca="true" t="shared" si="72" ref="T314:T319">R314-S314</f>
        <v>975</v>
      </c>
      <c r="U314" s="21"/>
    </row>
    <row r="315" spans="1:21" ht="11.25">
      <c r="A315" s="525"/>
      <c r="B315" s="526"/>
      <c r="C315" s="34"/>
      <c r="D315" s="86"/>
      <c r="E315" s="86"/>
      <c r="F315" s="33"/>
      <c r="G315" s="33"/>
      <c r="H315" s="33"/>
      <c r="I315" s="92"/>
      <c r="J315" s="33"/>
      <c r="K315" s="35"/>
      <c r="L315" s="266" t="s">
        <v>29</v>
      </c>
      <c r="M315" s="4"/>
      <c r="N315" s="4"/>
      <c r="O315" s="252"/>
      <c r="P315" s="4"/>
      <c r="Q315" s="67"/>
      <c r="R315" s="262"/>
      <c r="S315" s="74">
        <f t="shared" si="71"/>
        <v>0</v>
      </c>
      <c r="T315" s="74">
        <f t="shared" si="72"/>
        <v>0</v>
      </c>
      <c r="U315" s="21"/>
    </row>
    <row r="316" spans="1:21" ht="11.25">
      <c r="A316" s="525"/>
      <c r="B316" s="526"/>
      <c r="C316" s="34"/>
      <c r="D316" s="86"/>
      <c r="E316" s="86"/>
      <c r="F316" s="33"/>
      <c r="G316" s="33"/>
      <c r="H316" s="33"/>
      <c r="I316" s="92"/>
      <c r="J316" s="33"/>
      <c r="K316" s="35"/>
      <c r="L316" s="266" t="s">
        <v>474</v>
      </c>
      <c r="M316" s="4">
        <f>SUM(M325:M327)</f>
        <v>1474</v>
      </c>
      <c r="N316" s="4">
        <f>SUM(N325:N327)</f>
        <v>294.8</v>
      </c>
      <c r="O316" s="252">
        <f>+N316+M316</f>
        <v>1768.8</v>
      </c>
      <c r="P316" s="4">
        <f>SUM(P325:P327)</f>
        <v>958.1</v>
      </c>
      <c r="Q316" s="4">
        <f>SUM(Q325:Q327)</f>
        <v>191.62</v>
      </c>
      <c r="R316" s="252">
        <f>+Q316+P316</f>
        <v>1149.72</v>
      </c>
      <c r="S316" s="74">
        <f t="shared" si="71"/>
        <v>431.145</v>
      </c>
      <c r="T316" s="74">
        <f t="shared" si="72"/>
        <v>718.575</v>
      </c>
      <c r="U316" s="21"/>
    </row>
    <row r="317" spans="1:21" ht="11.25">
      <c r="A317" s="525"/>
      <c r="B317" s="526"/>
      <c r="C317" s="34"/>
      <c r="D317" s="86"/>
      <c r="E317" s="86"/>
      <c r="F317" s="33"/>
      <c r="G317" s="33"/>
      <c r="H317" s="33"/>
      <c r="I317" s="92"/>
      <c r="J317" s="33"/>
      <c r="K317" s="35"/>
      <c r="L317" s="266" t="s">
        <v>742</v>
      </c>
      <c r="M317" s="4">
        <f>SUM(M328:M337)</f>
        <v>20405.339999999997</v>
      </c>
      <c r="N317" s="4">
        <f>SUM(N328:N337)</f>
        <v>4081.0640000000003</v>
      </c>
      <c r="O317" s="252">
        <f>+N317+M317</f>
        <v>24486.403999999995</v>
      </c>
      <c r="P317" s="4">
        <f>SUM(P328:P337)</f>
        <v>13263.471000000001</v>
      </c>
      <c r="Q317" s="4">
        <f>SUM(Q328:Q337)</f>
        <v>2652.6916000000006</v>
      </c>
      <c r="R317" s="252">
        <f>+Q317+P317</f>
        <v>15916.162600000001</v>
      </c>
      <c r="S317" s="74">
        <f t="shared" si="71"/>
        <v>5968.560975</v>
      </c>
      <c r="T317" s="74">
        <f t="shared" si="72"/>
        <v>9947.601625000001</v>
      </c>
      <c r="U317" s="21"/>
    </row>
    <row r="318" spans="1:21" ht="11.25">
      <c r="A318" s="525"/>
      <c r="B318" s="526"/>
      <c r="C318" s="34"/>
      <c r="D318" s="86"/>
      <c r="E318" s="86"/>
      <c r="F318" s="33"/>
      <c r="G318" s="33"/>
      <c r="H318" s="33"/>
      <c r="I318" s="92"/>
      <c r="J318" s="33"/>
      <c r="K318" s="35"/>
      <c r="L318" s="266" t="s">
        <v>834</v>
      </c>
      <c r="M318" s="4">
        <f>SUM(M338:M339)</f>
        <v>803.5</v>
      </c>
      <c r="N318" s="4">
        <f>SUM(N338:N339)</f>
        <v>160.7</v>
      </c>
      <c r="O318" s="252">
        <f>+N318+M318</f>
        <v>964.2</v>
      </c>
      <c r="P318" s="4">
        <f>SUM(P338:P339)</f>
        <v>522.275</v>
      </c>
      <c r="Q318" s="4">
        <f>SUM(Q338:Q339)</f>
        <v>104.455</v>
      </c>
      <c r="R318" s="252">
        <f>+Q318+P318</f>
        <v>626.73</v>
      </c>
      <c r="S318" s="74">
        <f t="shared" si="71"/>
        <v>235.02375</v>
      </c>
      <c r="T318" s="74">
        <f t="shared" si="72"/>
        <v>391.70625</v>
      </c>
      <c r="U318" s="21"/>
    </row>
    <row r="319" spans="1:21" ht="11.25">
      <c r="A319" s="525"/>
      <c r="B319" s="526"/>
      <c r="C319" s="34"/>
      <c r="D319" s="86"/>
      <c r="E319" s="86"/>
      <c r="F319" s="33"/>
      <c r="G319" s="33"/>
      <c r="H319" s="33"/>
      <c r="I319" s="92"/>
      <c r="J319" s="33"/>
      <c r="K319" s="35"/>
      <c r="L319" s="266" t="s">
        <v>839</v>
      </c>
      <c r="M319" s="4">
        <f>+M340</f>
        <v>71442.17</v>
      </c>
      <c r="N319" s="4">
        <f>+N340</f>
        <v>14288.93</v>
      </c>
      <c r="O319" s="252">
        <f>+N319+M319</f>
        <v>85731.1</v>
      </c>
      <c r="P319" s="4">
        <f>+P340</f>
        <v>46437.4105</v>
      </c>
      <c r="Q319" s="4">
        <f>+Q340</f>
        <v>9287.8045</v>
      </c>
      <c r="R319" s="252">
        <f>+Q319+P319</f>
        <v>55725.215</v>
      </c>
      <c r="S319" s="74">
        <f t="shared" si="71"/>
        <v>20896.955625</v>
      </c>
      <c r="T319" s="74">
        <f t="shared" si="72"/>
        <v>34828.259374999994</v>
      </c>
      <c r="U319" s="21"/>
    </row>
    <row r="320" spans="1:21" ht="11.25">
      <c r="A320" s="525"/>
      <c r="B320" s="526"/>
      <c r="C320" s="34"/>
      <c r="D320" s="86"/>
      <c r="E320" s="86"/>
      <c r="F320" s="33"/>
      <c r="G320" s="33"/>
      <c r="H320" s="33"/>
      <c r="I320" s="92"/>
      <c r="J320" s="33"/>
      <c r="K320" s="35"/>
      <c r="L320" s="266" t="s">
        <v>1075</v>
      </c>
      <c r="M320" s="4">
        <f>SUM(M349:M376)</f>
        <v>76504.05</v>
      </c>
      <c r="N320" s="4">
        <f>SUM(N349:N376)</f>
        <v>14180.314000000002</v>
      </c>
      <c r="O320" s="252">
        <f>+N320+M320</f>
        <v>90684.364</v>
      </c>
      <c r="P320" s="4">
        <f>SUM(P349:P376)</f>
        <v>49727.63249999999</v>
      </c>
      <c r="Q320" s="4">
        <f>SUM(Q349:Q376)</f>
        <v>9217.2041</v>
      </c>
      <c r="R320" s="252">
        <f>+Q320+P320</f>
        <v>58944.836599999995</v>
      </c>
      <c r="S320" s="74">
        <f t="shared" si="71"/>
        <v>22104.313725</v>
      </c>
      <c r="T320" s="74">
        <f>R320-S320</f>
        <v>36840.522874999995</v>
      </c>
      <c r="U320" s="21"/>
    </row>
    <row r="321" spans="1:21" ht="11.25">
      <c r="A321" s="527"/>
      <c r="B321" s="510"/>
      <c r="C321" s="514"/>
      <c r="D321" s="515"/>
      <c r="E321" s="515"/>
      <c r="F321" s="515"/>
      <c r="G321" s="515"/>
      <c r="H321" s="515"/>
      <c r="I321" s="515"/>
      <c r="J321" s="515"/>
      <c r="K321" s="516"/>
      <c r="L321" s="267" t="s">
        <v>13</v>
      </c>
      <c r="M321" s="6">
        <f>M313-M314-M315-M316-M317-M318-M319-M320</f>
        <v>137970.94000000006</v>
      </c>
      <c r="N321" s="6"/>
      <c r="O321" s="253"/>
      <c r="P321" s="6"/>
      <c r="Q321" s="6"/>
      <c r="R321" s="253"/>
      <c r="S321" s="77"/>
      <c r="T321" s="77"/>
      <c r="U321" s="21"/>
    </row>
    <row r="322" spans="1:20" ht="35.25" customHeight="1">
      <c r="A322" s="7" t="s">
        <v>14</v>
      </c>
      <c r="B322" s="7" t="s">
        <v>11</v>
      </c>
      <c r="C322" s="25" t="s">
        <v>24</v>
      </c>
      <c r="D322" s="25" t="s">
        <v>20</v>
      </c>
      <c r="E322" s="31" t="s">
        <v>2</v>
      </c>
      <c r="F322" s="25" t="s">
        <v>19</v>
      </c>
      <c r="G322" s="25" t="s">
        <v>18</v>
      </c>
      <c r="H322" s="31" t="s">
        <v>17</v>
      </c>
      <c r="I322" s="31" t="s">
        <v>16</v>
      </c>
      <c r="J322" s="336" t="s">
        <v>3</v>
      </c>
      <c r="K322" s="336" t="s">
        <v>4</v>
      </c>
      <c r="L322" s="337" t="s">
        <v>5</v>
      </c>
      <c r="M322" s="7" t="s">
        <v>21</v>
      </c>
      <c r="N322" s="7" t="s">
        <v>40</v>
      </c>
      <c r="O322" s="261" t="s">
        <v>43</v>
      </c>
      <c r="P322" s="7" t="s">
        <v>22</v>
      </c>
      <c r="Q322" s="19" t="s">
        <v>41</v>
      </c>
      <c r="R322" s="254" t="s">
        <v>42</v>
      </c>
      <c r="S322" s="524" t="s">
        <v>27</v>
      </c>
      <c r="T322" s="524"/>
    </row>
    <row r="323" spans="1:20" ht="45">
      <c r="A323" s="233" t="s">
        <v>15</v>
      </c>
      <c r="B323" s="7"/>
      <c r="C323" s="232" t="s">
        <v>205</v>
      </c>
      <c r="D323" s="109" t="s">
        <v>218</v>
      </c>
      <c r="E323" s="211" t="s">
        <v>219</v>
      </c>
      <c r="F323" s="240">
        <v>84</v>
      </c>
      <c r="G323" s="241">
        <v>0.3361689814814815</v>
      </c>
      <c r="H323" s="239" t="s">
        <v>220</v>
      </c>
      <c r="I323" s="242" t="s">
        <v>274</v>
      </c>
      <c r="J323" s="68">
        <v>2862</v>
      </c>
      <c r="K323" s="207">
        <f>+J323*20%</f>
        <v>572.4</v>
      </c>
      <c r="L323" s="255">
        <f>+K323+J323</f>
        <v>3434.4</v>
      </c>
      <c r="M323" s="68">
        <v>2400</v>
      </c>
      <c r="N323" s="7"/>
      <c r="O323" s="255">
        <v>2400</v>
      </c>
      <c r="P323" s="68">
        <f>M323*0.65</f>
        <v>1560</v>
      </c>
      <c r="Q323" s="68">
        <f>N323*0.65</f>
        <v>0</v>
      </c>
      <c r="R323" s="255">
        <f>O323*0.65</f>
        <v>1560</v>
      </c>
      <c r="S323" s="547"/>
      <c r="T323" s="547"/>
    </row>
    <row r="324" spans="1:20" ht="45">
      <c r="A324" s="99" t="s">
        <v>252</v>
      </c>
      <c r="B324" s="100"/>
      <c r="C324" s="139" t="s">
        <v>205</v>
      </c>
      <c r="D324" s="139" t="s">
        <v>218</v>
      </c>
      <c r="E324" s="211" t="s">
        <v>219</v>
      </c>
      <c r="F324" s="114">
        <v>84</v>
      </c>
      <c r="G324" s="213">
        <v>0.3361689814814815</v>
      </c>
      <c r="H324" s="205" t="s">
        <v>220</v>
      </c>
      <c r="I324" s="210" t="s">
        <v>221</v>
      </c>
      <c r="J324" s="206"/>
      <c r="K324" s="207">
        <v>480</v>
      </c>
      <c r="L324" s="273">
        <f>SUM(J324:K324)</f>
        <v>480</v>
      </c>
      <c r="M324" s="212"/>
      <c r="N324" s="108"/>
      <c r="O324" s="255">
        <f>SUM(M324:N324)</f>
        <v>0</v>
      </c>
      <c r="P324" s="68">
        <f>M324*0.65</f>
        <v>0</v>
      </c>
      <c r="Q324" s="68">
        <f>N324*0.65</f>
        <v>0</v>
      </c>
      <c r="R324" s="255">
        <f>SUM(P324:Q324)</f>
        <v>0</v>
      </c>
      <c r="S324" s="541" t="s">
        <v>222</v>
      </c>
      <c r="T324" s="541"/>
    </row>
    <row r="325" spans="1:20" ht="22.5">
      <c r="A325" s="44" t="s">
        <v>273</v>
      </c>
      <c r="B325" s="8"/>
      <c r="C325" s="9" t="s">
        <v>123</v>
      </c>
      <c r="D325" s="13" t="s">
        <v>596</v>
      </c>
      <c r="E325" s="13" t="s">
        <v>595</v>
      </c>
      <c r="F325" s="9" t="s">
        <v>597</v>
      </c>
      <c r="G325" s="10">
        <v>38802</v>
      </c>
      <c r="H325" s="11">
        <v>38811</v>
      </c>
      <c r="I325" s="16" t="s">
        <v>329</v>
      </c>
      <c r="J325" s="12">
        <v>1216.67</v>
      </c>
      <c r="K325" s="12">
        <v>243.33</v>
      </c>
      <c r="L325" s="263">
        <v>1460</v>
      </c>
      <c r="M325" s="12"/>
      <c r="N325" s="12"/>
      <c r="O325" s="263"/>
      <c r="P325" s="12"/>
      <c r="Q325" s="12"/>
      <c r="R325" s="263"/>
      <c r="S325" s="544" t="s">
        <v>599</v>
      </c>
      <c r="T325" s="544"/>
    </row>
    <row r="326" spans="1:20" ht="22.5">
      <c r="A326" s="44" t="s">
        <v>273</v>
      </c>
      <c r="B326" s="8"/>
      <c r="C326" s="9" t="s">
        <v>184</v>
      </c>
      <c r="D326" s="13" t="s">
        <v>585</v>
      </c>
      <c r="E326" s="13" t="s">
        <v>584</v>
      </c>
      <c r="F326" s="9">
        <v>814</v>
      </c>
      <c r="G326" s="10">
        <v>38708</v>
      </c>
      <c r="H326" s="11">
        <v>38709</v>
      </c>
      <c r="I326" s="16" t="s">
        <v>329</v>
      </c>
      <c r="J326" s="12">
        <v>1474</v>
      </c>
      <c r="K326" s="12">
        <v>294.8</v>
      </c>
      <c r="L326" s="263">
        <v>1768.8</v>
      </c>
      <c r="M326" s="12">
        <v>1474</v>
      </c>
      <c r="N326" s="12">
        <f>+M326*0.2</f>
        <v>294.8</v>
      </c>
      <c r="O326" s="263">
        <f>+N326+M326</f>
        <v>1768.8</v>
      </c>
      <c r="P326" s="68">
        <f>M326*0.65</f>
        <v>958.1</v>
      </c>
      <c r="Q326" s="68">
        <f>N326*0.65</f>
        <v>191.62</v>
      </c>
      <c r="R326" s="255">
        <f>O326*0.65</f>
        <v>1149.72</v>
      </c>
      <c r="S326" s="544" t="s">
        <v>602</v>
      </c>
      <c r="T326" s="544"/>
    </row>
    <row r="327" spans="1:20" ht="22.5">
      <c r="A327" s="44" t="s">
        <v>273</v>
      </c>
      <c r="B327" s="8"/>
      <c r="C327" s="9" t="s">
        <v>152</v>
      </c>
      <c r="D327" s="13" t="s">
        <v>586</v>
      </c>
      <c r="E327" s="13" t="s">
        <v>587</v>
      </c>
      <c r="F327" s="9">
        <v>50</v>
      </c>
      <c r="G327" s="10">
        <v>38742</v>
      </c>
      <c r="H327" s="11"/>
      <c r="I327" s="16" t="s">
        <v>588</v>
      </c>
      <c r="J327" s="12">
        <v>2166</v>
      </c>
      <c r="K327" s="12">
        <v>433.2</v>
      </c>
      <c r="L327" s="263">
        <v>2599.2</v>
      </c>
      <c r="M327" s="12"/>
      <c r="N327" s="12"/>
      <c r="O327" s="263">
        <f>+N327+M327</f>
        <v>0</v>
      </c>
      <c r="P327" s="12"/>
      <c r="Q327" s="12"/>
      <c r="R327" s="263"/>
      <c r="S327" s="544" t="s">
        <v>599</v>
      </c>
      <c r="T327" s="544"/>
    </row>
    <row r="328" spans="1:20" ht="22.5">
      <c r="A328" s="99" t="s">
        <v>635</v>
      </c>
      <c r="B328" s="100"/>
      <c r="C328" s="9" t="s">
        <v>65</v>
      </c>
      <c r="D328" s="13" t="s">
        <v>711</v>
      </c>
      <c r="E328" s="13" t="s">
        <v>712</v>
      </c>
      <c r="F328" s="9">
        <v>965</v>
      </c>
      <c r="G328" s="10">
        <v>38903</v>
      </c>
      <c r="H328" s="11">
        <v>38930</v>
      </c>
      <c r="I328" s="16" t="s">
        <v>82</v>
      </c>
      <c r="J328" s="12">
        <v>773.33</v>
      </c>
      <c r="K328" s="12">
        <v>154.66600000000003</v>
      </c>
      <c r="L328" s="263">
        <v>927.9960000000001</v>
      </c>
      <c r="M328" s="12">
        <v>773.33</v>
      </c>
      <c r="N328" s="12">
        <v>154.66600000000003</v>
      </c>
      <c r="O328" s="263">
        <v>927.9960000000001</v>
      </c>
      <c r="P328" s="68">
        <f aca="true" t="shared" si="73" ref="P328:P337">M328*0.65</f>
        <v>502.66450000000003</v>
      </c>
      <c r="Q328" s="68">
        <f aca="true" t="shared" si="74" ref="Q328:Q337">N328*0.65</f>
        <v>100.53290000000003</v>
      </c>
      <c r="R328" s="255">
        <f aca="true" t="shared" si="75" ref="R328:R337">O328*0.65</f>
        <v>603.1974000000001</v>
      </c>
      <c r="S328" s="542"/>
      <c r="T328" s="543"/>
    </row>
    <row r="329" spans="1:20" ht="22.5">
      <c r="A329" s="99" t="s">
        <v>635</v>
      </c>
      <c r="B329" s="100"/>
      <c r="C329" s="9" t="s">
        <v>65</v>
      </c>
      <c r="D329" s="13" t="s">
        <v>713</v>
      </c>
      <c r="E329" s="13" t="s">
        <v>714</v>
      </c>
      <c r="F329" s="9">
        <v>682</v>
      </c>
      <c r="G329" s="10">
        <v>38975</v>
      </c>
      <c r="H329" s="11">
        <v>38978</v>
      </c>
      <c r="I329" s="16" t="s">
        <v>82</v>
      </c>
      <c r="J329" s="12">
        <v>1140</v>
      </c>
      <c r="K329" s="12">
        <v>228</v>
      </c>
      <c r="L329" s="263">
        <v>1368</v>
      </c>
      <c r="M329" s="12">
        <v>1140</v>
      </c>
      <c r="N329" s="12">
        <v>228</v>
      </c>
      <c r="O329" s="263">
        <v>1368</v>
      </c>
      <c r="P329" s="68">
        <f t="shared" si="73"/>
        <v>741</v>
      </c>
      <c r="Q329" s="68">
        <f t="shared" si="74"/>
        <v>148.20000000000002</v>
      </c>
      <c r="R329" s="255">
        <f t="shared" si="75"/>
        <v>889.2</v>
      </c>
      <c r="S329" s="542"/>
      <c r="T329" s="543"/>
    </row>
    <row r="330" spans="1:20" ht="45">
      <c r="A330" s="99" t="s">
        <v>635</v>
      </c>
      <c r="B330" s="100"/>
      <c r="C330" s="9" t="s">
        <v>65</v>
      </c>
      <c r="D330" s="13" t="s">
        <v>715</v>
      </c>
      <c r="E330" s="13" t="s">
        <v>714</v>
      </c>
      <c r="F330" s="9">
        <v>537</v>
      </c>
      <c r="G330" s="10">
        <v>38896</v>
      </c>
      <c r="H330" s="11">
        <v>38901</v>
      </c>
      <c r="I330" s="16" t="s">
        <v>82</v>
      </c>
      <c r="J330" s="12">
        <v>4820</v>
      </c>
      <c r="K330" s="12">
        <v>964</v>
      </c>
      <c r="L330" s="263">
        <v>5784</v>
      </c>
      <c r="M330" s="12">
        <v>4820</v>
      </c>
      <c r="N330" s="12">
        <v>964</v>
      </c>
      <c r="O330" s="263">
        <v>5784</v>
      </c>
      <c r="P330" s="68">
        <f t="shared" si="73"/>
        <v>3133</v>
      </c>
      <c r="Q330" s="68">
        <f t="shared" si="74"/>
        <v>626.6</v>
      </c>
      <c r="R330" s="255">
        <f t="shared" si="75"/>
        <v>3759.6</v>
      </c>
      <c r="S330" s="542"/>
      <c r="T330" s="543"/>
    </row>
    <row r="331" spans="1:20" ht="22.5">
      <c r="A331" s="99" t="s">
        <v>635</v>
      </c>
      <c r="B331" s="100"/>
      <c r="C331" s="9" t="s">
        <v>65</v>
      </c>
      <c r="D331" s="13" t="s">
        <v>716</v>
      </c>
      <c r="E331" s="13" t="s">
        <v>714</v>
      </c>
      <c r="F331" s="9">
        <v>538</v>
      </c>
      <c r="G331" s="10">
        <v>38896</v>
      </c>
      <c r="H331" s="11">
        <v>38901</v>
      </c>
      <c r="I331" s="16" t="s">
        <v>82</v>
      </c>
      <c r="J331" s="12">
        <v>2500</v>
      </c>
      <c r="K331" s="12">
        <v>500</v>
      </c>
      <c r="L331" s="263">
        <v>3000</v>
      </c>
      <c r="M331" s="12">
        <v>2500</v>
      </c>
      <c r="N331" s="12">
        <v>500</v>
      </c>
      <c r="O331" s="263">
        <v>3000</v>
      </c>
      <c r="P331" s="68">
        <f t="shared" si="73"/>
        <v>1625</v>
      </c>
      <c r="Q331" s="68">
        <f t="shared" si="74"/>
        <v>325</v>
      </c>
      <c r="R331" s="255">
        <f t="shared" si="75"/>
        <v>1950</v>
      </c>
      <c r="S331" s="542"/>
      <c r="T331" s="543"/>
    </row>
    <row r="332" spans="1:20" ht="22.5">
      <c r="A332" s="99" t="s">
        <v>635</v>
      </c>
      <c r="B332" s="100"/>
      <c r="C332" s="9" t="s">
        <v>65</v>
      </c>
      <c r="D332" s="13" t="s">
        <v>717</v>
      </c>
      <c r="E332" s="13" t="s">
        <v>714</v>
      </c>
      <c r="F332" s="9">
        <v>732</v>
      </c>
      <c r="G332" s="10">
        <v>38994</v>
      </c>
      <c r="H332" s="11">
        <v>39028</v>
      </c>
      <c r="I332" s="16" t="s">
        <v>82</v>
      </c>
      <c r="J332" s="12">
        <v>79.17</v>
      </c>
      <c r="K332" s="12">
        <v>15.83</v>
      </c>
      <c r="L332" s="263">
        <f>+K332+J332</f>
        <v>95</v>
      </c>
      <c r="M332" s="12">
        <v>79.17</v>
      </c>
      <c r="N332" s="12">
        <v>15.83</v>
      </c>
      <c r="O332" s="263">
        <f>+N332+M332</f>
        <v>95</v>
      </c>
      <c r="P332" s="68">
        <f t="shared" si="73"/>
        <v>51.4605</v>
      </c>
      <c r="Q332" s="68">
        <f t="shared" si="74"/>
        <v>10.2895</v>
      </c>
      <c r="R332" s="255">
        <f t="shared" si="75"/>
        <v>61.75</v>
      </c>
      <c r="S332" s="542"/>
      <c r="T332" s="543"/>
    </row>
    <row r="333" spans="1:20" ht="22.5">
      <c r="A333" s="99" t="s">
        <v>635</v>
      </c>
      <c r="B333" s="100"/>
      <c r="C333" s="9" t="s">
        <v>65</v>
      </c>
      <c r="D333" s="13" t="s">
        <v>718</v>
      </c>
      <c r="E333" s="13" t="s">
        <v>714</v>
      </c>
      <c r="F333" s="9">
        <v>784</v>
      </c>
      <c r="G333" s="10">
        <v>39015</v>
      </c>
      <c r="H333" s="11">
        <v>39028</v>
      </c>
      <c r="I333" s="16" t="s">
        <v>82</v>
      </c>
      <c r="J333" s="12">
        <v>182.5</v>
      </c>
      <c r="K333" s="12">
        <v>36.5</v>
      </c>
      <c r="L333" s="263">
        <v>219</v>
      </c>
      <c r="M333" s="12">
        <v>182.5</v>
      </c>
      <c r="N333" s="12">
        <v>36.5</v>
      </c>
      <c r="O333" s="263">
        <v>219</v>
      </c>
      <c r="P333" s="68">
        <f t="shared" si="73"/>
        <v>118.625</v>
      </c>
      <c r="Q333" s="68">
        <f t="shared" si="74"/>
        <v>23.725</v>
      </c>
      <c r="R333" s="255">
        <f t="shared" si="75"/>
        <v>142.35</v>
      </c>
      <c r="S333" s="521"/>
      <c r="T333" s="522"/>
    </row>
    <row r="334" spans="1:20" ht="19.5" customHeight="1">
      <c r="A334" s="99" t="s">
        <v>635</v>
      </c>
      <c r="B334" s="100"/>
      <c r="C334" s="9" t="s">
        <v>65</v>
      </c>
      <c r="D334" s="13" t="s">
        <v>719</v>
      </c>
      <c r="E334" s="13" t="s">
        <v>581</v>
      </c>
      <c r="F334" s="9">
        <v>563</v>
      </c>
      <c r="G334" s="10">
        <v>38695</v>
      </c>
      <c r="H334" s="11">
        <v>38698</v>
      </c>
      <c r="I334" s="16" t="s">
        <v>82</v>
      </c>
      <c r="J334" s="12">
        <v>450</v>
      </c>
      <c r="K334" s="12">
        <v>90</v>
      </c>
      <c r="L334" s="263">
        <v>540</v>
      </c>
      <c r="M334" s="12">
        <v>450</v>
      </c>
      <c r="N334" s="12">
        <v>90</v>
      </c>
      <c r="O334" s="263">
        <v>540</v>
      </c>
      <c r="P334" s="68">
        <f t="shared" si="73"/>
        <v>292.5</v>
      </c>
      <c r="Q334" s="68">
        <f t="shared" si="74"/>
        <v>58.5</v>
      </c>
      <c r="R334" s="255">
        <f t="shared" si="75"/>
        <v>351</v>
      </c>
      <c r="S334" s="521" t="s">
        <v>316</v>
      </c>
      <c r="T334" s="522"/>
    </row>
    <row r="335" spans="1:20" ht="45">
      <c r="A335" s="99" t="s">
        <v>635</v>
      </c>
      <c r="B335" s="100"/>
      <c r="C335" s="9" t="s">
        <v>83</v>
      </c>
      <c r="D335" s="13" t="s">
        <v>723</v>
      </c>
      <c r="E335" s="13" t="s">
        <v>724</v>
      </c>
      <c r="F335" s="9">
        <v>595</v>
      </c>
      <c r="G335" s="10">
        <v>38878</v>
      </c>
      <c r="H335" s="11">
        <v>38887</v>
      </c>
      <c r="I335" s="16" t="s">
        <v>329</v>
      </c>
      <c r="J335" s="12">
        <v>5877</v>
      </c>
      <c r="K335" s="12">
        <v>1175.4</v>
      </c>
      <c r="L335" s="263">
        <v>7052.4</v>
      </c>
      <c r="M335" s="12">
        <v>5877</v>
      </c>
      <c r="N335" s="12">
        <v>1175.4</v>
      </c>
      <c r="O335" s="263">
        <v>7052.4</v>
      </c>
      <c r="P335" s="68">
        <f t="shared" si="73"/>
        <v>3820.05</v>
      </c>
      <c r="Q335" s="68">
        <f t="shared" si="74"/>
        <v>764.0100000000001</v>
      </c>
      <c r="R335" s="255">
        <f t="shared" si="75"/>
        <v>4584.0599999999995</v>
      </c>
      <c r="S335" s="521" t="s">
        <v>734</v>
      </c>
      <c r="T335" s="522"/>
    </row>
    <row r="336" spans="1:20" ht="33.75">
      <c r="A336" s="99" t="s">
        <v>635</v>
      </c>
      <c r="B336" s="8"/>
      <c r="C336" s="9" t="s">
        <v>184</v>
      </c>
      <c r="D336" s="13" t="s">
        <v>725</v>
      </c>
      <c r="E336" s="13" t="s">
        <v>726</v>
      </c>
      <c r="F336" s="9">
        <v>8</v>
      </c>
      <c r="G336" s="10">
        <v>38926</v>
      </c>
      <c r="H336" s="11">
        <v>38842</v>
      </c>
      <c r="I336" s="16" t="s">
        <v>82</v>
      </c>
      <c r="J336" s="12">
        <v>1666.67</v>
      </c>
      <c r="K336" s="12">
        <v>333.33400000000006</v>
      </c>
      <c r="L336" s="263">
        <v>2000.0040000000001</v>
      </c>
      <c r="M336" s="12">
        <v>1666.67</v>
      </c>
      <c r="N336" s="12">
        <v>333.33400000000006</v>
      </c>
      <c r="O336" s="263">
        <v>2000.0040000000001</v>
      </c>
      <c r="P336" s="68">
        <f t="shared" si="73"/>
        <v>1083.3355000000001</v>
      </c>
      <c r="Q336" s="68">
        <f t="shared" si="74"/>
        <v>216.66710000000003</v>
      </c>
      <c r="R336" s="255">
        <f t="shared" si="75"/>
        <v>1300.0026</v>
      </c>
      <c r="S336" s="521"/>
      <c r="T336" s="522"/>
    </row>
    <row r="337" spans="1:20" ht="22.5">
      <c r="A337" s="99" t="s">
        <v>635</v>
      </c>
      <c r="B337" s="8"/>
      <c r="C337" s="9" t="s">
        <v>184</v>
      </c>
      <c r="D337" s="13" t="s">
        <v>727</v>
      </c>
      <c r="E337" s="13" t="s">
        <v>726</v>
      </c>
      <c r="F337" s="9">
        <v>7</v>
      </c>
      <c r="G337" s="10">
        <v>38926</v>
      </c>
      <c r="H337" s="11">
        <v>38926</v>
      </c>
      <c r="I337" s="16" t="s">
        <v>82</v>
      </c>
      <c r="J337" s="12">
        <v>2916.67</v>
      </c>
      <c r="K337" s="12">
        <v>583.3340000000001</v>
      </c>
      <c r="L337" s="263">
        <v>3500.004</v>
      </c>
      <c r="M337" s="12">
        <v>2916.67</v>
      </c>
      <c r="N337" s="12">
        <v>583.3340000000001</v>
      </c>
      <c r="O337" s="263">
        <v>3500.004</v>
      </c>
      <c r="P337" s="68">
        <f t="shared" si="73"/>
        <v>1895.8355000000001</v>
      </c>
      <c r="Q337" s="68">
        <f t="shared" si="74"/>
        <v>379.16710000000006</v>
      </c>
      <c r="R337" s="255">
        <f t="shared" si="75"/>
        <v>2275.0026</v>
      </c>
      <c r="S337" s="521"/>
      <c r="T337" s="522"/>
    </row>
    <row r="338" spans="1:20" ht="22.5">
      <c r="A338" s="99" t="s">
        <v>788</v>
      </c>
      <c r="B338" s="8"/>
      <c r="C338" s="9" t="s">
        <v>65</v>
      </c>
      <c r="D338" s="13" t="s">
        <v>812</v>
      </c>
      <c r="E338" s="13" t="s">
        <v>712</v>
      </c>
      <c r="F338" s="9">
        <v>757</v>
      </c>
      <c r="G338" s="10">
        <v>38860</v>
      </c>
      <c r="H338" s="11">
        <v>38888</v>
      </c>
      <c r="I338" s="16" t="s">
        <v>82</v>
      </c>
      <c r="J338" s="12">
        <v>803.5</v>
      </c>
      <c r="K338" s="12">
        <v>160.7</v>
      </c>
      <c r="L338" s="263">
        <v>964.2</v>
      </c>
      <c r="M338" s="12">
        <v>803.5</v>
      </c>
      <c r="N338" s="12">
        <v>160.7</v>
      </c>
      <c r="O338" s="263">
        <v>964.2</v>
      </c>
      <c r="P338" s="68">
        <f>M338*0.65</f>
        <v>522.275</v>
      </c>
      <c r="Q338" s="68">
        <f>N338*0.65</f>
        <v>104.455</v>
      </c>
      <c r="R338" s="255">
        <f>O338*0.65</f>
        <v>626.73</v>
      </c>
      <c r="S338" s="521" t="s">
        <v>823</v>
      </c>
      <c r="T338" s="522"/>
    </row>
    <row r="339" spans="1:20" ht="20.25" customHeight="1">
      <c r="A339" s="99" t="s">
        <v>788</v>
      </c>
      <c r="B339" s="100"/>
      <c r="C339" s="9" t="s">
        <v>123</v>
      </c>
      <c r="D339" s="102" t="s">
        <v>832</v>
      </c>
      <c r="E339" s="13"/>
      <c r="F339" s="9"/>
      <c r="G339" s="10"/>
      <c r="H339" s="11"/>
      <c r="I339" s="16"/>
      <c r="J339" s="12">
        <v>1458.34</v>
      </c>
      <c r="K339" s="12">
        <v>291.67</v>
      </c>
      <c r="L339" s="263">
        <f>+K339+J339</f>
        <v>1750.01</v>
      </c>
      <c r="M339" s="12"/>
      <c r="N339" s="12"/>
      <c r="O339" s="263"/>
      <c r="P339" s="68"/>
      <c r="Q339" s="68"/>
      <c r="R339" s="255"/>
      <c r="S339" s="467"/>
      <c r="T339" s="468"/>
    </row>
    <row r="340" spans="1:20" ht="11.25">
      <c r="A340" s="480" t="s">
        <v>840</v>
      </c>
      <c r="B340" s="481"/>
      <c r="C340" s="484" t="s">
        <v>477</v>
      </c>
      <c r="D340" s="483"/>
      <c r="E340" s="483"/>
      <c r="F340" s="484"/>
      <c r="G340" s="499"/>
      <c r="H340" s="485"/>
      <c r="I340" s="486"/>
      <c r="J340" s="500">
        <v>71442.17</v>
      </c>
      <c r="K340" s="500">
        <v>14288.93</v>
      </c>
      <c r="L340" s="500">
        <f>+K340+J340</f>
        <v>85731.1</v>
      </c>
      <c r="M340" s="500">
        <v>71442.17</v>
      </c>
      <c r="N340" s="500">
        <v>14288.93</v>
      </c>
      <c r="O340" s="500">
        <f>+N340+M340</f>
        <v>85731.1</v>
      </c>
      <c r="P340" s="487">
        <f>M340*0.65</f>
        <v>46437.4105</v>
      </c>
      <c r="Q340" s="487">
        <f>N340*0.65</f>
        <v>9287.8045</v>
      </c>
      <c r="R340" s="487">
        <f>O340*0.65</f>
        <v>55725.215000000004</v>
      </c>
      <c r="S340" s="564" t="s">
        <v>841</v>
      </c>
      <c r="T340" s="565"/>
    </row>
    <row r="341" spans="1:20" ht="11.25">
      <c r="A341" s="99" t="s">
        <v>840</v>
      </c>
      <c r="B341" s="100"/>
      <c r="C341" s="9" t="s">
        <v>65</v>
      </c>
      <c r="D341" s="102" t="s">
        <v>897</v>
      </c>
      <c r="E341" s="13" t="s">
        <v>896</v>
      </c>
      <c r="F341" s="9">
        <v>40</v>
      </c>
      <c r="G341" s="10">
        <v>39331</v>
      </c>
      <c r="H341" s="11" t="s">
        <v>898</v>
      </c>
      <c r="I341" s="16" t="s">
        <v>82</v>
      </c>
      <c r="J341" s="12">
        <v>595</v>
      </c>
      <c r="K341" s="12">
        <v>119</v>
      </c>
      <c r="L341" s="263">
        <v>714</v>
      </c>
      <c r="M341" s="12">
        <v>595</v>
      </c>
      <c r="N341" s="12">
        <v>119</v>
      </c>
      <c r="O341" s="263">
        <f>+N341+M341</f>
        <v>714</v>
      </c>
      <c r="P341" s="68">
        <f aca="true" t="shared" si="76" ref="P341:P348">M341*0.65</f>
        <v>386.75</v>
      </c>
      <c r="Q341" s="68">
        <f aca="true" t="shared" si="77" ref="Q341:Q348">N341*0.65</f>
        <v>77.35000000000001</v>
      </c>
      <c r="R341" s="255">
        <f>+Q341+P341</f>
        <v>464.1</v>
      </c>
      <c r="S341" s="540" t="s">
        <v>1242</v>
      </c>
      <c r="T341" s="540"/>
    </row>
    <row r="342" spans="1:20" ht="11.25">
      <c r="A342" s="99" t="s">
        <v>840</v>
      </c>
      <c r="B342" s="100"/>
      <c r="C342" s="9" t="s">
        <v>65</v>
      </c>
      <c r="D342" s="102" t="s">
        <v>899</v>
      </c>
      <c r="E342" s="13" t="s">
        <v>896</v>
      </c>
      <c r="F342" s="9">
        <v>29</v>
      </c>
      <c r="G342" s="10">
        <v>39253</v>
      </c>
      <c r="H342" s="11">
        <v>39219</v>
      </c>
      <c r="I342" s="16" t="s">
        <v>82</v>
      </c>
      <c r="J342" s="12">
        <v>3725</v>
      </c>
      <c r="K342" s="12">
        <v>745</v>
      </c>
      <c r="L342" s="263">
        <v>4470</v>
      </c>
      <c r="M342" s="12">
        <v>3725</v>
      </c>
      <c r="N342" s="12">
        <v>745</v>
      </c>
      <c r="O342" s="263">
        <f aca="true" t="shared" si="78" ref="O342:O348">+N342+M342</f>
        <v>4470</v>
      </c>
      <c r="P342" s="68">
        <f t="shared" si="76"/>
        <v>2421.25</v>
      </c>
      <c r="Q342" s="68">
        <f t="shared" si="77"/>
        <v>484.25</v>
      </c>
      <c r="R342" s="255">
        <f aca="true" t="shared" si="79" ref="R342:R348">+Q342+P342</f>
        <v>2905.5</v>
      </c>
      <c r="S342" s="540" t="s">
        <v>1242</v>
      </c>
      <c r="T342" s="540"/>
    </row>
    <row r="343" spans="1:20" ht="22.5">
      <c r="A343" s="99" t="s">
        <v>840</v>
      </c>
      <c r="B343" s="100"/>
      <c r="C343" s="9" t="s">
        <v>65</v>
      </c>
      <c r="D343" s="102" t="s">
        <v>900</v>
      </c>
      <c r="E343" s="13" t="s">
        <v>901</v>
      </c>
      <c r="F343" s="9">
        <v>70</v>
      </c>
      <c r="G343" s="10">
        <v>39260</v>
      </c>
      <c r="H343" s="11">
        <v>39275</v>
      </c>
      <c r="I343" s="16" t="s">
        <v>82</v>
      </c>
      <c r="J343" s="12">
        <v>3550</v>
      </c>
      <c r="K343" s="12">
        <v>710</v>
      </c>
      <c r="L343" s="263">
        <v>4260</v>
      </c>
      <c r="M343" s="12">
        <v>3550</v>
      </c>
      <c r="N343" s="12">
        <v>710</v>
      </c>
      <c r="O343" s="263">
        <f t="shared" si="78"/>
        <v>4260</v>
      </c>
      <c r="P343" s="68">
        <f t="shared" si="76"/>
        <v>2307.5</v>
      </c>
      <c r="Q343" s="68">
        <f t="shared" si="77"/>
        <v>461.5</v>
      </c>
      <c r="R343" s="255">
        <f t="shared" si="79"/>
        <v>2769</v>
      </c>
      <c r="S343" s="540" t="s">
        <v>1242</v>
      </c>
      <c r="T343" s="540"/>
    </row>
    <row r="344" spans="1:20" ht="22.5">
      <c r="A344" s="99" t="s">
        <v>840</v>
      </c>
      <c r="B344" s="100"/>
      <c r="C344" s="9" t="s">
        <v>65</v>
      </c>
      <c r="D344" s="102" t="s">
        <v>902</v>
      </c>
      <c r="E344" s="13" t="s">
        <v>69</v>
      </c>
      <c r="F344" s="9">
        <v>404757</v>
      </c>
      <c r="G344" s="10">
        <v>39301</v>
      </c>
      <c r="H344" s="11">
        <v>39338</v>
      </c>
      <c r="I344" s="16" t="s">
        <v>796</v>
      </c>
      <c r="J344" s="12">
        <v>44773</v>
      </c>
      <c r="K344" s="12">
        <v>8954.6</v>
      </c>
      <c r="L344" s="263">
        <v>53727.6</v>
      </c>
      <c r="M344" s="12">
        <v>44773</v>
      </c>
      <c r="N344" s="12">
        <v>8954.6</v>
      </c>
      <c r="O344" s="263">
        <f t="shared" si="78"/>
        <v>53727.6</v>
      </c>
      <c r="P344" s="68">
        <f t="shared" si="76"/>
        <v>29102.45</v>
      </c>
      <c r="Q344" s="68">
        <f t="shared" si="77"/>
        <v>5820.490000000001</v>
      </c>
      <c r="R344" s="255">
        <f t="shared" si="79"/>
        <v>34922.94</v>
      </c>
      <c r="S344" s="540" t="s">
        <v>1242</v>
      </c>
      <c r="T344" s="540"/>
    </row>
    <row r="345" spans="1:20" ht="22.5">
      <c r="A345" s="99" t="s">
        <v>840</v>
      </c>
      <c r="B345" s="100"/>
      <c r="C345" s="9" t="s">
        <v>83</v>
      </c>
      <c r="D345" s="102" t="s">
        <v>910</v>
      </c>
      <c r="E345" s="13" t="s">
        <v>911</v>
      </c>
      <c r="F345" s="9">
        <v>206</v>
      </c>
      <c r="G345" s="10">
        <v>39136</v>
      </c>
      <c r="H345" s="11">
        <v>39142</v>
      </c>
      <c r="I345" s="16" t="s">
        <v>82</v>
      </c>
      <c r="J345" s="12">
        <v>2635</v>
      </c>
      <c r="K345" s="12">
        <v>527</v>
      </c>
      <c r="L345" s="263">
        <v>3162</v>
      </c>
      <c r="M345" s="12">
        <v>2635</v>
      </c>
      <c r="N345" s="12">
        <v>527</v>
      </c>
      <c r="O345" s="263">
        <f t="shared" si="78"/>
        <v>3162</v>
      </c>
      <c r="P345" s="68">
        <f t="shared" si="76"/>
        <v>1712.75</v>
      </c>
      <c r="Q345" s="68">
        <f t="shared" si="77"/>
        <v>342.55</v>
      </c>
      <c r="R345" s="255">
        <f t="shared" si="79"/>
        <v>2055.3</v>
      </c>
      <c r="S345" s="540" t="s">
        <v>1242</v>
      </c>
      <c r="T345" s="540"/>
    </row>
    <row r="346" spans="1:20" ht="22.5">
      <c r="A346" s="99" t="s">
        <v>840</v>
      </c>
      <c r="B346" s="100"/>
      <c r="C346" s="9" t="s">
        <v>184</v>
      </c>
      <c r="D346" s="102" t="s">
        <v>943</v>
      </c>
      <c r="E346" s="13" t="s">
        <v>944</v>
      </c>
      <c r="F346" s="9">
        <v>49</v>
      </c>
      <c r="G346" s="10">
        <v>39146</v>
      </c>
      <c r="H346" s="11">
        <v>39156</v>
      </c>
      <c r="I346" s="16" t="s">
        <v>945</v>
      </c>
      <c r="J346" s="12">
        <v>5600</v>
      </c>
      <c r="K346" s="12">
        <v>1120</v>
      </c>
      <c r="L346" s="263">
        <v>6720</v>
      </c>
      <c r="M346" s="12">
        <v>5600</v>
      </c>
      <c r="N346" s="12">
        <v>1120</v>
      </c>
      <c r="O346" s="263">
        <f t="shared" si="78"/>
        <v>6720</v>
      </c>
      <c r="P346" s="68">
        <f t="shared" si="76"/>
        <v>3640</v>
      </c>
      <c r="Q346" s="68">
        <f t="shared" si="77"/>
        <v>728</v>
      </c>
      <c r="R346" s="255">
        <f t="shared" si="79"/>
        <v>4368</v>
      </c>
      <c r="S346" s="540" t="s">
        <v>1242</v>
      </c>
      <c r="T346" s="540"/>
    </row>
    <row r="347" spans="1:20" ht="22.5">
      <c r="A347" s="99" t="s">
        <v>840</v>
      </c>
      <c r="B347" s="100"/>
      <c r="C347" s="9" t="s">
        <v>184</v>
      </c>
      <c r="D347" s="102" t="s">
        <v>946</v>
      </c>
      <c r="E347" s="13" t="s">
        <v>944</v>
      </c>
      <c r="F347" s="9">
        <v>48</v>
      </c>
      <c r="G347" s="10">
        <v>39146</v>
      </c>
      <c r="H347" s="11">
        <v>39156</v>
      </c>
      <c r="I347" s="16" t="s">
        <v>945</v>
      </c>
      <c r="J347" s="12">
        <v>1622.5</v>
      </c>
      <c r="K347" s="12">
        <v>324.5</v>
      </c>
      <c r="L347" s="263">
        <v>1947</v>
      </c>
      <c r="M347" s="12">
        <v>1622.5</v>
      </c>
      <c r="N347" s="12">
        <v>324.5</v>
      </c>
      <c r="O347" s="263">
        <f t="shared" si="78"/>
        <v>1947</v>
      </c>
      <c r="P347" s="68">
        <f t="shared" si="76"/>
        <v>1054.625</v>
      </c>
      <c r="Q347" s="68">
        <f t="shared" si="77"/>
        <v>210.925</v>
      </c>
      <c r="R347" s="255">
        <f t="shared" si="79"/>
        <v>1265.55</v>
      </c>
      <c r="S347" s="540" t="s">
        <v>1242</v>
      </c>
      <c r="T347" s="540"/>
    </row>
    <row r="348" spans="1:20" ht="33.75">
      <c r="A348" s="99" t="s">
        <v>840</v>
      </c>
      <c r="B348" s="100"/>
      <c r="C348" s="139" t="s">
        <v>205</v>
      </c>
      <c r="D348" s="102" t="s">
        <v>976</v>
      </c>
      <c r="E348" s="13" t="s">
        <v>972</v>
      </c>
      <c r="F348" s="9">
        <v>29</v>
      </c>
      <c r="G348" s="10">
        <v>0.8771643518518518</v>
      </c>
      <c r="H348" s="11">
        <v>0.711886574074074</v>
      </c>
      <c r="I348" s="16" t="s">
        <v>61</v>
      </c>
      <c r="J348" s="12">
        <v>5600</v>
      </c>
      <c r="K348" s="12">
        <v>1120</v>
      </c>
      <c r="L348" s="263">
        <v>6720</v>
      </c>
      <c r="M348" s="12">
        <v>5600</v>
      </c>
      <c r="N348" s="12"/>
      <c r="O348" s="263">
        <f t="shared" si="78"/>
        <v>5600</v>
      </c>
      <c r="P348" s="68">
        <f t="shared" si="76"/>
        <v>3640</v>
      </c>
      <c r="Q348" s="68">
        <f t="shared" si="77"/>
        <v>0</v>
      </c>
      <c r="R348" s="255">
        <f t="shared" si="79"/>
        <v>3640</v>
      </c>
      <c r="S348" s="540" t="s">
        <v>1242</v>
      </c>
      <c r="T348" s="540"/>
    </row>
    <row r="349" spans="1:20" ht="11.25">
      <c r="A349" s="480" t="s">
        <v>977</v>
      </c>
      <c r="B349" s="481"/>
      <c r="C349" s="484" t="s">
        <v>980</v>
      </c>
      <c r="D349" s="483"/>
      <c r="E349" s="483"/>
      <c r="F349" s="484"/>
      <c r="G349" s="499"/>
      <c r="H349" s="485"/>
      <c r="I349" s="486"/>
      <c r="J349" s="500">
        <f>SUM(J341:J348)-J340</f>
        <v>-3341.6699999999983</v>
      </c>
      <c r="K349" s="500">
        <f aca="true" t="shared" si="80" ref="K349:R349">SUM(K341:K348)-K340</f>
        <v>-668.8299999999999</v>
      </c>
      <c r="L349" s="500">
        <f t="shared" si="80"/>
        <v>-4010.5</v>
      </c>
      <c r="M349" s="500">
        <f t="shared" si="80"/>
        <v>-3341.6699999999983</v>
      </c>
      <c r="N349" s="500">
        <f t="shared" si="80"/>
        <v>-1788.83</v>
      </c>
      <c r="O349" s="500">
        <f t="shared" si="80"/>
        <v>-5130.5</v>
      </c>
      <c r="P349" s="500">
        <f t="shared" si="80"/>
        <v>-2172.085500000001</v>
      </c>
      <c r="Q349" s="500">
        <f t="shared" si="80"/>
        <v>-1162.7394999999988</v>
      </c>
      <c r="R349" s="500">
        <f t="shared" si="80"/>
        <v>-3334.824999999997</v>
      </c>
      <c r="S349" s="540" t="s">
        <v>1242</v>
      </c>
      <c r="T349" s="540"/>
    </row>
    <row r="350" spans="1:20" ht="11.25">
      <c r="A350" s="99" t="s">
        <v>977</v>
      </c>
      <c r="B350" s="100"/>
      <c r="C350" s="9" t="s">
        <v>65</v>
      </c>
      <c r="D350" s="102" t="s">
        <v>989</v>
      </c>
      <c r="E350" s="13" t="s">
        <v>990</v>
      </c>
      <c r="F350" s="9">
        <v>74</v>
      </c>
      <c r="G350" s="10">
        <v>39436</v>
      </c>
      <c r="H350" s="11">
        <v>39437</v>
      </c>
      <c r="I350" s="16" t="s">
        <v>82</v>
      </c>
      <c r="J350" s="12">
        <v>8875.05</v>
      </c>
      <c r="K350" s="12">
        <v>1775.01</v>
      </c>
      <c r="L350" s="263">
        <v>10650.06</v>
      </c>
      <c r="M350" s="12">
        <v>8875.05</v>
      </c>
      <c r="N350" s="12">
        <v>1775.01</v>
      </c>
      <c r="O350" s="255">
        <f aca="true" t="shared" si="81" ref="O350:O376">+N350+M350</f>
        <v>10650.06</v>
      </c>
      <c r="P350" s="68">
        <f aca="true" t="shared" si="82" ref="P350:P376">+M350*0.65</f>
        <v>5768.782499999999</v>
      </c>
      <c r="Q350" s="409">
        <f aca="true" t="shared" si="83" ref="Q350:Q376">+N350*65%</f>
        <v>1153.7565</v>
      </c>
      <c r="R350" s="256">
        <f aca="true" t="shared" si="84" ref="R350:R376">+Q350+P350</f>
        <v>6922.538999999999</v>
      </c>
      <c r="S350" s="540" t="s">
        <v>1242</v>
      </c>
      <c r="T350" s="540"/>
    </row>
    <row r="351" spans="1:20" ht="11.25">
      <c r="A351" s="99" t="s">
        <v>977</v>
      </c>
      <c r="B351" s="100"/>
      <c r="C351" s="9" t="s">
        <v>65</v>
      </c>
      <c r="D351" s="102" t="s">
        <v>991</v>
      </c>
      <c r="E351" s="13" t="s">
        <v>693</v>
      </c>
      <c r="F351" s="9">
        <v>54</v>
      </c>
      <c r="G351" s="10">
        <v>39407</v>
      </c>
      <c r="H351" s="11">
        <v>39436</v>
      </c>
      <c r="I351" s="16" t="s">
        <v>82</v>
      </c>
      <c r="J351" s="12">
        <v>25</v>
      </c>
      <c r="K351" s="12">
        <v>5</v>
      </c>
      <c r="L351" s="263">
        <v>30</v>
      </c>
      <c r="M351" s="12">
        <v>25</v>
      </c>
      <c r="N351" s="12">
        <v>5</v>
      </c>
      <c r="O351" s="255">
        <f t="shared" si="81"/>
        <v>30</v>
      </c>
      <c r="P351" s="68">
        <f t="shared" si="82"/>
        <v>16.25</v>
      </c>
      <c r="Q351" s="409">
        <f t="shared" si="83"/>
        <v>3.25</v>
      </c>
      <c r="R351" s="256">
        <f t="shared" si="84"/>
        <v>19.5</v>
      </c>
      <c r="S351" s="540" t="s">
        <v>1242</v>
      </c>
      <c r="T351" s="540"/>
    </row>
    <row r="352" spans="1:20" ht="11.25">
      <c r="A352" s="99" t="s">
        <v>977</v>
      </c>
      <c r="B352" s="100"/>
      <c r="C352" s="9" t="s">
        <v>65</v>
      </c>
      <c r="D352" s="102" t="s">
        <v>992</v>
      </c>
      <c r="E352" s="13" t="s">
        <v>693</v>
      </c>
      <c r="F352" s="9">
        <v>46</v>
      </c>
      <c r="G352" s="10">
        <v>39363</v>
      </c>
      <c r="H352" s="11">
        <v>39391</v>
      </c>
      <c r="I352" s="16" t="s">
        <v>82</v>
      </c>
      <c r="J352" s="12">
        <v>160</v>
      </c>
      <c r="K352" s="12">
        <v>32</v>
      </c>
      <c r="L352" s="263">
        <v>192</v>
      </c>
      <c r="M352" s="12">
        <v>160</v>
      </c>
      <c r="N352" s="12">
        <v>32</v>
      </c>
      <c r="O352" s="255">
        <f t="shared" si="81"/>
        <v>192</v>
      </c>
      <c r="P352" s="68">
        <f t="shared" si="82"/>
        <v>104</v>
      </c>
      <c r="Q352" s="409">
        <f t="shared" si="83"/>
        <v>20.8</v>
      </c>
      <c r="R352" s="256">
        <f t="shared" si="84"/>
        <v>124.8</v>
      </c>
      <c r="S352" s="540" t="s">
        <v>1242</v>
      </c>
      <c r="T352" s="540"/>
    </row>
    <row r="353" spans="1:20" ht="22.5">
      <c r="A353" s="99" t="s">
        <v>977</v>
      </c>
      <c r="B353" s="100"/>
      <c r="C353" s="9" t="s">
        <v>65</v>
      </c>
      <c r="D353" s="102" t="s">
        <v>993</v>
      </c>
      <c r="E353" s="13" t="s">
        <v>69</v>
      </c>
      <c r="F353" s="9">
        <v>506944</v>
      </c>
      <c r="G353" s="10">
        <v>39372</v>
      </c>
      <c r="H353" s="11">
        <v>39408</v>
      </c>
      <c r="I353" s="16" t="s">
        <v>61</v>
      </c>
      <c r="J353" s="12">
        <v>3000</v>
      </c>
      <c r="K353" s="12">
        <v>600</v>
      </c>
      <c r="L353" s="263">
        <v>3600</v>
      </c>
      <c r="M353" s="12">
        <v>3000</v>
      </c>
      <c r="N353" s="12">
        <v>600</v>
      </c>
      <c r="O353" s="255">
        <f t="shared" si="81"/>
        <v>3600</v>
      </c>
      <c r="P353" s="68">
        <f t="shared" si="82"/>
        <v>1950</v>
      </c>
      <c r="Q353" s="409">
        <f t="shared" si="83"/>
        <v>390</v>
      </c>
      <c r="R353" s="256">
        <f t="shared" si="84"/>
        <v>2340</v>
      </c>
      <c r="S353" s="540" t="s">
        <v>1242</v>
      </c>
      <c r="T353" s="540"/>
    </row>
    <row r="354" spans="1:20" ht="33.75">
      <c r="A354" s="99" t="s">
        <v>977</v>
      </c>
      <c r="B354" s="100"/>
      <c r="C354" s="9" t="s">
        <v>123</v>
      </c>
      <c r="D354" s="102" t="s">
        <v>1016</v>
      </c>
      <c r="E354" s="13" t="s">
        <v>693</v>
      </c>
      <c r="F354" s="9">
        <v>56</v>
      </c>
      <c r="G354" s="10">
        <v>39407</v>
      </c>
      <c r="H354" s="11">
        <v>39402</v>
      </c>
      <c r="I354" s="16" t="s">
        <v>61</v>
      </c>
      <c r="J354" s="12">
        <v>1500</v>
      </c>
      <c r="K354" s="12">
        <v>300</v>
      </c>
      <c r="L354" s="263">
        <v>1800</v>
      </c>
      <c r="M354" s="12">
        <v>1500</v>
      </c>
      <c r="N354" s="12">
        <v>300</v>
      </c>
      <c r="O354" s="255">
        <f t="shared" si="81"/>
        <v>1800</v>
      </c>
      <c r="P354" s="68">
        <f t="shared" si="82"/>
        <v>975</v>
      </c>
      <c r="Q354" s="409">
        <f t="shared" si="83"/>
        <v>195</v>
      </c>
      <c r="R354" s="256">
        <f t="shared" si="84"/>
        <v>1170</v>
      </c>
      <c r="S354" s="540" t="s">
        <v>1242</v>
      </c>
      <c r="T354" s="540"/>
    </row>
    <row r="355" spans="1:20" ht="33.75">
      <c r="A355" s="99" t="s">
        <v>977</v>
      </c>
      <c r="B355" s="100"/>
      <c r="C355" s="9" t="s">
        <v>123</v>
      </c>
      <c r="D355" s="102" t="s">
        <v>1017</v>
      </c>
      <c r="E355" s="13" t="s">
        <v>693</v>
      </c>
      <c r="F355" s="9">
        <v>2</v>
      </c>
      <c r="G355" s="10">
        <v>39105</v>
      </c>
      <c r="H355" s="11">
        <v>39128</v>
      </c>
      <c r="I355" s="16" t="s">
        <v>61</v>
      </c>
      <c r="J355" s="12">
        <v>2080</v>
      </c>
      <c r="K355" s="12">
        <v>416</v>
      </c>
      <c r="L355" s="263">
        <v>2496</v>
      </c>
      <c r="M355" s="12">
        <v>2080</v>
      </c>
      <c r="N355" s="12">
        <v>416</v>
      </c>
      <c r="O355" s="255">
        <f t="shared" si="81"/>
        <v>2496</v>
      </c>
      <c r="P355" s="68">
        <f t="shared" si="82"/>
        <v>1352</v>
      </c>
      <c r="Q355" s="409">
        <f t="shared" si="83"/>
        <v>270.40000000000003</v>
      </c>
      <c r="R355" s="256">
        <f t="shared" si="84"/>
        <v>1622.4</v>
      </c>
      <c r="S355" s="540" t="s">
        <v>1242</v>
      </c>
      <c r="T355" s="540"/>
    </row>
    <row r="356" spans="1:20" ht="22.5">
      <c r="A356" s="99" t="s">
        <v>977</v>
      </c>
      <c r="B356" s="100"/>
      <c r="C356" s="9" t="s">
        <v>123</v>
      </c>
      <c r="D356" s="102" t="s">
        <v>1018</v>
      </c>
      <c r="E356" s="13" t="s">
        <v>1019</v>
      </c>
      <c r="F356" s="9">
        <v>15</v>
      </c>
      <c r="G356" s="10">
        <v>39365</v>
      </c>
      <c r="H356" s="11">
        <v>39371</v>
      </c>
      <c r="I356" s="16" t="s">
        <v>82</v>
      </c>
      <c r="J356" s="12">
        <v>816.67</v>
      </c>
      <c r="K356" s="12">
        <v>163.334</v>
      </c>
      <c r="L356" s="263">
        <v>980.0039999999999</v>
      </c>
      <c r="M356" s="12">
        <v>816.67</v>
      </c>
      <c r="N356" s="12">
        <v>163.334</v>
      </c>
      <c r="O356" s="255">
        <f t="shared" si="81"/>
        <v>980.0039999999999</v>
      </c>
      <c r="P356" s="68">
        <f t="shared" si="82"/>
        <v>530.8355</v>
      </c>
      <c r="Q356" s="409">
        <f t="shared" si="83"/>
        <v>106.1671</v>
      </c>
      <c r="R356" s="256">
        <f t="shared" si="84"/>
        <v>637.0026</v>
      </c>
      <c r="S356" s="540" t="s">
        <v>1242</v>
      </c>
      <c r="T356" s="540"/>
    </row>
    <row r="357" spans="1:20" ht="11.25">
      <c r="A357" s="99" t="s">
        <v>977</v>
      </c>
      <c r="B357" s="100"/>
      <c r="C357" s="9" t="s">
        <v>123</v>
      </c>
      <c r="D357" s="102" t="s">
        <v>1020</v>
      </c>
      <c r="E357" s="13" t="s">
        <v>1021</v>
      </c>
      <c r="F357" s="9" t="s">
        <v>1022</v>
      </c>
      <c r="G357" s="10">
        <v>39461</v>
      </c>
      <c r="H357" s="11">
        <v>39468</v>
      </c>
      <c r="I357" s="16" t="s">
        <v>82</v>
      </c>
      <c r="J357" s="12">
        <v>816.67</v>
      </c>
      <c r="K357" s="12">
        <v>163.334</v>
      </c>
      <c r="L357" s="263">
        <v>980.0039999999999</v>
      </c>
      <c r="M357" s="12">
        <v>816.67</v>
      </c>
      <c r="N357" s="12">
        <v>163.334</v>
      </c>
      <c r="O357" s="255">
        <f t="shared" si="81"/>
        <v>980.0039999999999</v>
      </c>
      <c r="P357" s="68">
        <f t="shared" si="82"/>
        <v>530.8355</v>
      </c>
      <c r="Q357" s="409">
        <f t="shared" si="83"/>
        <v>106.1671</v>
      </c>
      <c r="R357" s="256">
        <f t="shared" si="84"/>
        <v>637.0026</v>
      </c>
      <c r="S357" s="540" t="s">
        <v>1242</v>
      </c>
      <c r="T357" s="540"/>
    </row>
    <row r="358" spans="1:20" ht="22.5">
      <c r="A358" s="99" t="s">
        <v>977</v>
      </c>
      <c r="B358" s="100"/>
      <c r="C358" s="9" t="s">
        <v>184</v>
      </c>
      <c r="D358" s="102" t="s">
        <v>1057</v>
      </c>
      <c r="E358" s="13" t="s">
        <v>944</v>
      </c>
      <c r="F358" s="9">
        <v>243</v>
      </c>
      <c r="G358" s="10">
        <v>39410</v>
      </c>
      <c r="H358" s="11">
        <v>39434</v>
      </c>
      <c r="I358" s="16" t="s">
        <v>61</v>
      </c>
      <c r="J358" s="12">
        <v>89</v>
      </c>
      <c r="K358" s="12">
        <v>17.8</v>
      </c>
      <c r="L358" s="263">
        <v>106.8</v>
      </c>
      <c r="M358" s="12">
        <v>89</v>
      </c>
      <c r="N358" s="12">
        <v>17.8</v>
      </c>
      <c r="O358" s="255">
        <f t="shared" si="81"/>
        <v>106.8</v>
      </c>
      <c r="P358" s="68">
        <f t="shared" si="82"/>
        <v>57.85</v>
      </c>
      <c r="Q358" s="409">
        <f t="shared" si="83"/>
        <v>11.57</v>
      </c>
      <c r="R358" s="256">
        <f t="shared" si="84"/>
        <v>69.42</v>
      </c>
      <c r="S358" s="540" t="s">
        <v>1242</v>
      </c>
      <c r="T358" s="540"/>
    </row>
    <row r="359" spans="1:20" ht="33.75">
      <c r="A359" s="99" t="s">
        <v>977</v>
      </c>
      <c r="B359" s="100"/>
      <c r="C359" s="9" t="s">
        <v>184</v>
      </c>
      <c r="D359" s="102" t="s">
        <v>1058</v>
      </c>
      <c r="E359" s="13" t="s">
        <v>944</v>
      </c>
      <c r="F359" s="9">
        <v>183</v>
      </c>
      <c r="G359" s="10">
        <v>39336</v>
      </c>
      <c r="H359" s="11">
        <v>39434</v>
      </c>
      <c r="I359" s="16" t="s">
        <v>61</v>
      </c>
      <c r="J359" s="12">
        <v>490</v>
      </c>
      <c r="K359" s="12">
        <v>98</v>
      </c>
      <c r="L359" s="263">
        <v>588</v>
      </c>
      <c r="M359" s="12">
        <v>490</v>
      </c>
      <c r="N359" s="12">
        <v>98</v>
      </c>
      <c r="O359" s="255">
        <f t="shared" si="81"/>
        <v>588</v>
      </c>
      <c r="P359" s="68">
        <f t="shared" si="82"/>
        <v>318.5</v>
      </c>
      <c r="Q359" s="409">
        <f t="shared" si="83"/>
        <v>63.7</v>
      </c>
      <c r="R359" s="256">
        <f t="shared" si="84"/>
        <v>382.2</v>
      </c>
      <c r="S359" s="540" t="s">
        <v>1242</v>
      </c>
      <c r="T359" s="540"/>
    </row>
    <row r="360" spans="1:20" ht="31.5" customHeight="1">
      <c r="A360" s="99" t="s">
        <v>977</v>
      </c>
      <c r="B360" s="100"/>
      <c r="C360" s="9" t="s">
        <v>65</v>
      </c>
      <c r="D360" s="102" t="s">
        <v>1101</v>
      </c>
      <c r="E360" s="13" t="s">
        <v>693</v>
      </c>
      <c r="F360" s="9">
        <v>25</v>
      </c>
      <c r="G360" s="10">
        <v>39619</v>
      </c>
      <c r="H360" s="11">
        <v>39622</v>
      </c>
      <c r="I360" s="16" t="s">
        <v>82</v>
      </c>
      <c r="J360" s="12">
        <v>6780</v>
      </c>
      <c r="K360" s="12">
        <v>1356</v>
      </c>
      <c r="L360" s="263">
        <v>8136</v>
      </c>
      <c r="M360" s="12">
        <v>6780</v>
      </c>
      <c r="N360" s="12">
        <v>1356</v>
      </c>
      <c r="O360" s="255">
        <f t="shared" si="81"/>
        <v>8136</v>
      </c>
      <c r="P360" s="68">
        <f t="shared" si="82"/>
        <v>4407</v>
      </c>
      <c r="Q360" s="409">
        <f t="shared" si="83"/>
        <v>881.4</v>
      </c>
      <c r="R360" s="256">
        <f t="shared" si="84"/>
        <v>5288.4</v>
      </c>
      <c r="S360" s="540" t="s">
        <v>1242</v>
      </c>
      <c r="T360" s="540"/>
    </row>
    <row r="361" spans="1:20" ht="22.5">
      <c r="A361" s="99" t="s">
        <v>977</v>
      </c>
      <c r="B361" s="100"/>
      <c r="C361" s="9" t="s">
        <v>65</v>
      </c>
      <c r="D361" s="102" t="s">
        <v>1101</v>
      </c>
      <c r="E361" s="13" t="s">
        <v>693</v>
      </c>
      <c r="F361" s="9">
        <v>28</v>
      </c>
      <c r="G361" s="10">
        <v>39644</v>
      </c>
      <c r="H361" s="11">
        <v>39646</v>
      </c>
      <c r="I361" s="16" t="s">
        <v>82</v>
      </c>
      <c r="J361" s="12">
        <v>6780</v>
      </c>
      <c r="K361" s="12">
        <v>1356</v>
      </c>
      <c r="L361" s="263">
        <v>8136</v>
      </c>
      <c r="M361" s="12">
        <v>6780</v>
      </c>
      <c r="N361" s="12">
        <v>1356</v>
      </c>
      <c r="O361" s="255">
        <f t="shared" si="81"/>
        <v>8136</v>
      </c>
      <c r="P361" s="68">
        <f t="shared" si="82"/>
        <v>4407</v>
      </c>
      <c r="Q361" s="409">
        <f t="shared" si="83"/>
        <v>881.4</v>
      </c>
      <c r="R361" s="256">
        <f t="shared" si="84"/>
        <v>5288.4</v>
      </c>
      <c r="S361" s="540" t="s">
        <v>1242</v>
      </c>
      <c r="T361" s="540"/>
    </row>
    <row r="362" spans="1:20" ht="22.5">
      <c r="A362" s="99" t="s">
        <v>977</v>
      </c>
      <c r="B362" s="100"/>
      <c r="C362" s="9" t="s">
        <v>65</v>
      </c>
      <c r="D362" s="102" t="s">
        <v>1101</v>
      </c>
      <c r="E362" s="13" t="s">
        <v>693</v>
      </c>
      <c r="F362" s="9">
        <v>32</v>
      </c>
      <c r="G362" s="10">
        <v>39658</v>
      </c>
      <c r="H362" s="11"/>
      <c r="I362" s="16" t="s">
        <v>82</v>
      </c>
      <c r="J362" s="12">
        <v>9040</v>
      </c>
      <c r="K362" s="12">
        <v>1808</v>
      </c>
      <c r="L362" s="263">
        <v>10848</v>
      </c>
      <c r="M362" s="12">
        <v>9040</v>
      </c>
      <c r="N362" s="12">
        <v>1808</v>
      </c>
      <c r="O362" s="255">
        <f t="shared" si="81"/>
        <v>10848</v>
      </c>
      <c r="P362" s="68">
        <f t="shared" si="82"/>
        <v>5876</v>
      </c>
      <c r="Q362" s="409">
        <f t="shared" si="83"/>
        <v>1175.2</v>
      </c>
      <c r="R362" s="256">
        <f t="shared" si="84"/>
        <v>7051.2</v>
      </c>
      <c r="S362" s="540" t="s">
        <v>1242</v>
      </c>
      <c r="T362" s="540"/>
    </row>
    <row r="363" spans="1:20" ht="11.25">
      <c r="A363" s="99" t="s">
        <v>977</v>
      </c>
      <c r="B363" s="100"/>
      <c r="C363" s="9" t="s">
        <v>123</v>
      </c>
      <c r="D363" s="102" t="s">
        <v>1117</v>
      </c>
      <c r="E363" s="13" t="s">
        <v>595</v>
      </c>
      <c r="F363" s="9">
        <v>130</v>
      </c>
      <c r="G363" s="10">
        <v>39648</v>
      </c>
      <c r="H363" s="11">
        <v>39653</v>
      </c>
      <c r="I363" s="16" t="s">
        <v>82</v>
      </c>
      <c r="J363" s="12">
        <v>983.33</v>
      </c>
      <c r="K363" s="12">
        <v>196.66600000000003</v>
      </c>
      <c r="L363" s="263">
        <v>1179.996</v>
      </c>
      <c r="M363" s="12">
        <v>983.33</v>
      </c>
      <c r="N363" s="12">
        <v>196.66600000000003</v>
      </c>
      <c r="O363" s="255">
        <f t="shared" si="81"/>
        <v>1179.996</v>
      </c>
      <c r="P363" s="68">
        <f t="shared" si="82"/>
        <v>639.1645000000001</v>
      </c>
      <c r="Q363" s="409">
        <f t="shared" si="83"/>
        <v>127.83290000000002</v>
      </c>
      <c r="R363" s="256">
        <f t="shared" si="84"/>
        <v>766.9974000000001</v>
      </c>
      <c r="S363" s="540" t="s">
        <v>1242</v>
      </c>
      <c r="T363" s="540"/>
    </row>
    <row r="364" spans="1:20" ht="22.5">
      <c r="A364" s="99" t="s">
        <v>977</v>
      </c>
      <c r="B364" s="100"/>
      <c r="C364" s="9" t="s">
        <v>123</v>
      </c>
      <c r="D364" s="102" t="s">
        <v>1118</v>
      </c>
      <c r="E364" s="13" t="s">
        <v>1119</v>
      </c>
      <c r="F364" s="9">
        <v>48</v>
      </c>
      <c r="G364" s="10">
        <v>39650</v>
      </c>
      <c r="H364" s="11">
        <v>39652</v>
      </c>
      <c r="I364" s="16" t="s">
        <v>82</v>
      </c>
      <c r="J364" s="12">
        <v>1526</v>
      </c>
      <c r="K364" s="12">
        <v>305.2</v>
      </c>
      <c r="L364" s="263">
        <v>1831.2</v>
      </c>
      <c r="M364" s="12">
        <v>1526</v>
      </c>
      <c r="N364" s="12">
        <v>305.2</v>
      </c>
      <c r="O364" s="255">
        <f t="shared" si="81"/>
        <v>1831.2</v>
      </c>
      <c r="P364" s="68">
        <f t="shared" si="82"/>
        <v>991.9</v>
      </c>
      <c r="Q364" s="409">
        <f t="shared" si="83"/>
        <v>198.38</v>
      </c>
      <c r="R364" s="256">
        <f t="shared" si="84"/>
        <v>1190.28</v>
      </c>
      <c r="S364" s="540" t="s">
        <v>1242</v>
      </c>
      <c r="T364" s="540"/>
    </row>
    <row r="365" spans="1:20" ht="22.5">
      <c r="A365" s="99" t="s">
        <v>977</v>
      </c>
      <c r="B365" s="100"/>
      <c r="C365" s="9" t="s">
        <v>83</v>
      </c>
      <c r="D365" s="102" t="s">
        <v>1124</v>
      </c>
      <c r="E365" s="13" t="s">
        <v>1125</v>
      </c>
      <c r="F365" s="9">
        <v>441</v>
      </c>
      <c r="G365" s="10">
        <v>39573</v>
      </c>
      <c r="H365" s="11">
        <v>39573</v>
      </c>
      <c r="I365" s="16" t="s">
        <v>82</v>
      </c>
      <c r="J365" s="12">
        <v>1610.83</v>
      </c>
      <c r="K365" s="12">
        <v>322.166</v>
      </c>
      <c r="L365" s="263">
        <v>1932.9959999999999</v>
      </c>
      <c r="M365" s="12">
        <v>1610.83</v>
      </c>
      <c r="N365" s="12">
        <v>322.166</v>
      </c>
      <c r="O365" s="255">
        <f t="shared" si="81"/>
        <v>1932.9959999999999</v>
      </c>
      <c r="P365" s="68">
        <f t="shared" si="82"/>
        <v>1047.0395</v>
      </c>
      <c r="Q365" s="409">
        <f t="shared" si="83"/>
        <v>209.4079</v>
      </c>
      <c r="R365" s="256">
        <f t="shared" si="84"/>
        <v>1256.4474</v>
      </c>
      <c r="S365" s="540" t="s">
        <v>1242</v>
      </c>
      <c r="T365" s="540"/>
    </row>
    <row r="366" spans="1:20" ht="11.25">
      <c r="A366" s="99" t="s">
        <v>977</v>
      </c>
      <c r="B366" s="100"/>
      <c r="C366" s="9" t="s">
        <v>83</v>
      </c>
      <c r="D366" s="102" t="s">
        <v>1126</v>
      </c>
      <c r="E366" s="13" t="s">
        <v>1127</v>
      </c>
      <c r="F366" s="9">
        <v>30</v>
      </c>
      <c r="G366" s="10">
        <v>39657</v>
      </c>
      <c r="H366" s="11">
        <v>39658</v>
      </c>
      <c r="I366" s="16" t="s">
        <v>82</v>
      </c>
      <c r="J366" s="12">
        <v>2290</v>
      </c>
      <c r="K366" s="12">
        <v>458</v>
      </c>
      <c r="L366" s="263">
        <v>2748</v>
      </c>
      <c r="M366" s="12">
        <v>2290</v>
      </c>
      <c r="N366" s="12">
        <v>458</v>
      </c>
      <c r="O366" s="255">
        <f t="shared" si="81"/>
        <v>2748</v>
      </c>
      <c r="P366" s="68">
        <f t="shared" si="82"/>
        <v>1488.5</v>
      </c>
      <c r="Q366" s="409">
        <f t="shared" si="83"/>
        <v>297.7</v>
      </c>
      <c r="R366" s="256">
        <f t="shared" si="84"/>
        <v>1786.2</v>
      </c>
      <c r="S366" s="540" t="s">
        <v>1242</v>
      </c>
      <c r="T366" s="540"/>
    </row>
    <row r="367" spans="1:20" ht="22.5">
      <c r="A367" s="99" t="s">
        <v>977</v>
      </c>
      <c r="B367" s="100"/>
      <c r="C367" s="9" t="s">
        <v>83</v>
      </c>
      <c r="D367" s="102" t="s">
        <v>1128</v>
      </c>
      <c r="E367" s="13" t="s">
        <v>1129</v>
      </c>
      <c r="F367" s="9">
        <v>65</v>
      </c>
      <c r="G367" s="10">
        <v>39640</v>
      </c>
      <c r="H367" s="11">
        <v>39644</v>
      </c>
      <c r="I367" s="16" t="s">
        <v>82</v>
      </c>
      <c r="J367" s="12">
        <v>7522</v>
      </c>
      <c r="K367" s="12">
        <v>1504.4</v>
      </c>
      <c r="L367" s="263">
        <v>9026.4</v>
      </c>
      <c r="M367" s="12">
        <v>7522</v>
      </c>
      <c r="N367" s="12">
        <v>1504.4</v>
      </c>
      <c r="O367" s="255">
        <f t="shared" si="81"/>
        <v>9026.4</v>
      </c>
      <c r="P367" s="68">
        <f t="shared" si="82"/>
        <v>4889.3</v>
      </c>
      <c r="Q367" s="409">
        <f t="shared" si="83"/>
        <v>977.8600000000001</v>
      </c>
      <c r="R367" s="256">
        <f t="shared" si="84"/>
        <v>5867.16</v>
      </c>
      <c r="S367" s="540" t="s">
        <v>1242</v>
      </c>
      <c r="T367" s="540"/>
    </row>
    <row r="368" spans="1:20" ht="11.25">
      <c r="A368" s="99" t="s">
        <v>977</v>
      </c>
      <c r="B368" s="100"/>
      <c r="C368" s="9" t="s">
        <v>83</v>
      </c>
      <c r="D368" s="102" t="s">
        <v>1130</v>
      </c>
      <c r="E368" s="13" t="s">
        <v>1131</v>
      </c>
      <c r="F368" s="9">
        <v>389</v>
      </c>
      <c r="G368" s="10">
        <v>39568</v>
      </c>
      <c r="H368" s="11">
        <v>39570</v>
      </c>
      <c r="I368" s="16" t="s">
        <v>82</v>
      </c>
      <c r="J368" s="12">
        <v>480</v>
      </c>
      <c r="K368" s="12">
        <v>96</v>
      </c>
      <c r="L368" s="263">
        <v>576</v>
      </c>
      <c r="M368" s="12">
        <v>480</v>
      </c>
      <c r="N368" s="12">
        <v>96</v>
      </c>
      <c r="O368" s="255">
        <f t="shared" si="81"/>
        <v>576</v>
      </c>
      <c r="P368" s="68">
        <f t="shared" si="82"/>
        <v>312</v>
      </c>
      <c r="Q368" s="409">
        <f t="shared" si="83"/>
        <v>62.400000000000006</v>
      </c>
      <c r="R368" s="256">
        <f t="shared" si="84"/>
        <v>374.4</v>
      </c>
      <c r="S368" s="540" t="s">
        <v>1242</v>
      </c>
      <c r="T368" s="540"/>
    </row>
    <row r="369" spans="1:20" ht="22.5">
      <c r="A369" s="99" t="s">
        <v>977</v>
      </c>
      <c r="B369" s="100"/>
      <c r="C369" s="9" t="s">
        <v>184</v>
      </c>
      <c r="D369" s="102" t="s">
        <v>1158</v>
      </c>
      <c r="E369" s="13" t="s">
        <v>944</v>
      </c>
      <c r="F369" s="9">
        <v>90</v>
      </c>
      <c r="G369" s="10">
        <v>39571</v>
      </c>
      <c r="H369" s="11">
        <v>39609</v>
      </c>
      <c r="I369" s="16" t="s">
        <v>82</v>
      </c>
      <c r="J369" s="12">
        <v>2246</v>
      </c>
      <c r="K369" s="12">
        <v>449.2</v>
      </c>
      <c r="L369" s="263">
        <v>2695.2</v>
      </c>
      <c r="M369" s="12">
        <v>2246</v>
      </c>
      <c r="N369" s="12">
        <v>449.2</v>
      </c>
      <c r="O369" s="255">
        <f t="shared" si="81"/>
        <v>2695.2</v>
      </c>
      <c r="P369" s="68">
        <f t="shared" si="82"/>
        <v>1459.9</v>
      </c>
      <c r="Q369" s="409">
        <f t="shared" si="83"/>
        <v>291.98</v>
      </c>
      <c r="R369" s="256">
        <f t="shared" si="84"/>
        <v>1751.88</v>
      </c>
      <c r="S369" s="540" t="s">
        <v>1242</v>
      </c>
      <c r="T369" s="540"/>
    </row>
    <row r="370" spans="1:20" ht="22.5">
      <c r="A370" s="99" t="s">
        <v>977</v>
      </c>
      <c r="B370" s="100"/>
      <c r="C370" s="9" t="s">
        <v>184</v>
      </c>
      <c r="D370" s="102" t="s">
        <v>1159</v>
      </c>
      <c r="E370" s="13" t="s">
        <v>944</v>
      </c>
      <c r="F370" s="9">
        <v>114</v>
      </c>
      <c r="G370" s="10">
        <v>39605</v>
      </c>
      <c r="H370" s="11">
        <v>39609</v>
      </c>
      <c r="I370" s="16" t="s">
        <v>82</v>
      </c>
      <c r="J370" s="12">
        <v>563</v>
      </c>
      <c r="K370" s="12">
        <v>112.6</v>
      </c>
      <c r="L370" s="263">
        <v>675.6</v>
      </c>
      <c r="M370" s="12">
        <v>563</v>
      </c>
      <c r="N370" s="12">
        <v>112.6</v>
      </c>
      <c r="O370" s="255">
        <f t="shared" si="81"/>
        <v>675.6</v>
      </c>
      <c r="P370" s="68">
        <f t="shared" si="82"/>
        <v>365.95</v>
      </c>
      <c r="Q370" s="409">
        <f t="shared" si="83"/>
        <v>73.19</v>
      </c>
      <c r="R370" s="256">
        <f t="shared" si="84"/>
        <v>439.14</v>
      </c>
      <c r="S370" s="540" t="s">
        <v>1242</v>
      </c>
      <c r="T370" s="540"/>
    </row>
    <row r="371" spans="1:20" ht="22.5">
      <c r="A371" s="99" t="s">
        <v>977</v>
      </c>
      <c r="B371" s="100"/>
      <c r="C371" s="9" t="s">
        <v>184</v>
      </c>
      <c r="D371" s="102" t="s">
        <v>1160</v>
      </c>
      <c r="E371" s="13" t="s">
        <v>944</v>
      </c>
      <c r="F371" s="9">
        <v>97</v>
      </c>
      <c r="G371" s="10">
        <v>39583</v>
      </c>
      <c r="H371" s="11">
        <v>39609</v>
      </c>
      <c r="I371" s="16" t="s">
        <v>82</v>
      </c>
      <c r="J371" s="12">
        <v>283</v>
      </c>
      <c r="K371" s="12">
        <v>56.6</v>
      </c>
      <c r="L371" s="263">
        <v>339.6</v>
      </c>
      <c r="M371" s="12">
        <v>283</v>
      </c>
      <c r="N371" s="12">
        <v>56.6</v>
      </c>
      <c r="O371" s="255">
        <f t="shared" si="81"/>
        <v>339.6</v>
      </c>
      <c r="P371" s="68">
        <f t="shared" si="82"/>
        <v>183.95000000000002</v>
      </c>
      <c r="Q371" s="409">
        <f t="shared" si="83"/>
        <v>36.79</v>
      </c>
      <c r="R371" s="256">
        <f t="shared" si="84"/>
        <v>220.74</v>
      </c>
      <c r="S371" s="540" t="s">
        <v>1242</v>
      </c>
      <c r="T371" s="540"/>
    </row>
    <row r="372" spans="1:20" ht="33.75">
      <c r="A372" s="99" t="s">
        <v>977</v>
      </c>
      <c r="B372" s="100"/>
      <c r="C372" s="9" t="s">
        <v>184</v>
      </c>
      <c r="D372" s="102" t="s">
        <v>1161</v>
      </c>
      <c r="E372" s="13" t="s">
        <v>944</v>
      </c>
      <c r="F372" s="9">
        <v>50</v>
      </c>
      <c r="G372" s="10">
        <v>39517</v>
      </c>
      <c r="H372" s="11">
        <v>39546</v>
      </c>
      <c r="I372" s="16" t="s">
        <v>61</v>
      </c>
      <c r="J372" s="12">
        <v>650</v>
      </c>
      <c r="K372" s="12">
        <v>130</v>
      </c>
      <c r="L372" s="263">
        <v>780</v>
      </c>
      <c r="M372" s="12">
        <v>650</v>
      </c>
      <c r="N372" s="12">
        <v>130</v>
      </c>
      <c r="O372" s="255">
        <f t="shared" si="81"/>
        <v>780</v>
      </c>
      <c r="P372" s="68">
        <f t="shared" si="82"/>
        <v>422.5</v>
      </c>
      <c r="Q372" s="409">
        <f t="shared" si="83"/>
        <v>84.5</v>
      </c>
      <c r="R372" s="256">
        <f t="shared" si="84"/>
        <v>507</v>
      </c>
      <c r="S372" s="540" t="s">
        <v>1242</v>
      </c>
      <c r="T372" s="540"/>
    </row>
    <row r="373" spans="1:20" ht="22.5">
      <c r="A373" s="99" t="s">
        <v>977</v>
      </c>
      <c r="B373" s="100"/>
      <c r="C373" s="9" t="s">
        <v>184</v>
      </c>
      <c r="D373" s="102" t="s">
        <v>1162</v>
      </c>
      <c r="E373" s="13" t="s">
        <v>944</v>
      </c>
      <c r="F373" s="9">
        <v>43</v>
      </c>
      <c r="G373" s="10">
        <v>39506</v>
      </c>
      <c r="H373" s="11">
        <v>39547</v>
      </c>
      <c r="I373" s="16" t="s">
        <v>61</v>
      </c>
      <c r="J373" s="12">
        <v>188</v>
      </c>
      <c r="K373" s="12">
        <v>37.6</v>
      </c>
      <c r="L373" s="263">
        <v>225.6</v>
      </c>
      <c r="M373" s="12">
        <v>188</v>
      </c>
      <c r="N373" s="12">
        <v>37.6</v>
      </c>
      <c r="O373" s="255">
        <f t="shared" si="81"/>
        <v>225.6</v>
      </c>
      <c r="P373" s="68">
        <f t="shared" si="82"/>
        <v>122.2</v>
      </c>
      <c r="Q373" s="409">
        <f t="shared" si="83"/>
        <v>24.44</v>
      </c>
      <c r="R373" s="256">
        <f t="shared" si="84"/>
        <v>146.64000000000001</v>
      </c>
      <c r="S373" s="540" t="s">
        <v>1242</v>
      </c>
      <c r="T373" s="540"/>
    </row>
    <row r="374" spans="1:20" ht="22.5">
      <c r="A374" s="99" t="s">
        <v>977</v>
      </c>
      <c r="B374" s="100"/>
      <c r="C374" s="9" t="s">
        <v>184</v>
      </c>
      <c r="D374" s="102" t="s">
        <v>1163</v>
      </c>
      <c r="E374" s="13" t="s">
        <v>1164</v>
      </c>
      <c r="F374" s="9">
        <v>575</v>
      </c>
      <c r="G374" s="10">
        <v>39616</v>
      </c>
      <c r="H374" s="11">
        <v>39622</v>
      </c>
      <c r="I374" s="16" t="s">
        <v>61</v>
      </c>
      <c r="J374" s="12">
        <v>154.17</v>
      </c>
      <c r="K374" s="12">
        <v>30.834</v>
      </c>
      <c r="L374" s="263">
        <v>185.004</v>
      </c>
      <c r="M374" s="12">
        <v>154.17</v>
      </c>
      <c r="N374" s="12">
        <v>30.834</v>
      </c>
      <c r="O374" s="255">
        <f t="shared" si="81"/>
        <v>185.004</v>
      </c>
      <c r="P374" s="68">
        <f t="shared" si="82"/>
        <v>100.2105</v>
      </c>
      <c r="Q374" s="409">
        <f t="shared" si="83"/>
        <v>20.0421</v>
      </c>
      <c r="R374" s="256">
        <f t="shared" si="84"/>
        <v>120.2526</v>
      </c>
      <c r="S374" s="540" t="s">
        <v>1242</v>
      </c>
      <c r="T374" s="540"/>
    </row>
    <row r="375" spans="1:20" ht="22.5">
      <c r="A375" s="99" t="s">
        <v>977</v>
      </c>
      <c r="B375" s="100"/>
      <c r="C375" s="9" t="s">
        <v>184</v>
      </c>
      <c r="D375" s="102" t="s">
        <v>1165</v>
      </c>
      <c r="E375" s="13" t="s">
        <v>944</v>
      </c>
      <c r="F375" s="9">
        <v>88</v>
      </c>
      <c r="G375" s="10">
        <v>39568</v>
      </c>
      <c r="H375" s="11">
        <v>39609</v>
      </c>
      <c r="I375" s="16" t="s">
        <v>61</v>
      </c>
      <c r="J375" s="12">
        <v>740</v>
      </c>
      <c r="K375" s="12">
        <v>148</v>
      </c>
      <c r="L375" s="263">
        <v>888</v>
      </c>
      <c r="M375" s="12">
        <v>740</v>
      </c>
      <c r="N375" s="12">
        <v>148</v>
      </c>
      <c r="O375" s="255">
        <f t="shared" si="81"/>
        <v>888</v>
      </c>
      <c r="P375" s="68">
        <f t="shared" si="82"/>
        <v>481</v>
      </c>
      <c r="Q375" s="409">
        <f t="shared" si="83"/>
        <v>96.2</v>
      </c>
      <c r="R375" s="256">
        <f t="shared" si="84"/>
        <v>577.2</v>
      </c>
      <c r="S375" s="540" t="s">
        <v>1242</v>
      </c>
      <c r="T375" s="540"/>
    </row>
    <row r="376" spans="1:20" ht="22.5">
      <c r="A376" s="99" t="s">
        <v>977</v>
      </c>
      <c r="B376" s="100"/>
      <c r="C376" s="9" t="s">
        <v>152</v>
      </c>
      <c r="D376" s="102" t="s">
        <v>1187</v>
      </c>
      <c r="E376" s="13" t="s">
        <v>428</v>
      </c>
      <c r="F376" s="9">
        <v>679</v>
      </c>
      <c r="G376" s="10">
        <v>39608</v>
      </c>
      <c r="H376" s="11">
        <v>39617</v>
      </c>
      <c r="I376" s="16" t="s">
        <v>1188</v>
      </c>
      <c r="J376" s="12">
        <v>20157</v>
      </c>
      <c r="K376" s="12">
        <v>4031.4</v>
      </c>
      <c r="L376" s="263">
        <v>24188.4</v>
      </c>
      <c r="M376" s="12">
        <v>20157</v>
      </c>
      <c r="N376" s="12">
        <v>4031.4</v>
      </c>
      <c r="O376" s="255">
        <f t="shared" si="81"/>
        <v>24188.4</v>
      </c>
      <c r="P376" s="68">
        <f t="shared" si="82"/>
        <v>13102.050000000001</v>
      </c>
      <c r="Q376" s="409">
        <f t="shared" si="83"/>
        <v>2620.4100000000003</v>
      </c>
      <c r="R376" s="256">
        <f t="shared" si="84"/>
        <v>15722.460000000001</v>
      </c>
      <c r="S376" s="540" t="s">
        <v>1242</v>
      </c>
      <c r="T376" s="540"/>
    </row>
    <row r="377" spans="1:20" ht="11.25">
      <c r="A377" s="99"/>
      <c r="B377" s="100"/>
      <c r="C377" s="9"/>
      <c r="D377" s="102"/>
      <c r="E377" s="13"/>
      <c r="F377" s="9"/>
      <c r="G377" s="10"/>
      <c r="H377" s="11"/>
      <c r="I377" s="16"/>
      <c r="J377" s="12"/>
      <c r="K377" s="12"/>
      <c r="L377" s="263"/>
      <c r="M377" s="12"/>
      <c r="N377" s="12"/>
      <c r="O377" s="263"/>
      <c r="P377" s="68"/>
      <c r="Q377" s="68"/>
      <c r="R377" s="255"/>
      <c r="S377" s="474"/>
      <c r="T377" s="475"/>
    </row>
    <row r="378" spans="1:20" ht="11.25">
      <c r="A378" s="44"/>
      <c r="B378" s="8"/>
      <c r="C378" s="9"/>
      <c r="D378" s="13"/>
      <c r="E378" s="13"/>
      <c r="F378" s="9"/>
      <c r="G378" s="10"/>
      <c r="H378" s="11"/>
      <c r="I378" s="16"/>
      <c r="J378" s="12"/>
      <c r="K378" s="12"/>
      <c r="L378" s="263"/>
      <c r="M378" s="12"/>
      <c r="N378" s="12"/>
      <c r="O378" s="263"/>
      <c r="P378" s="12"/>
      <c r="Q378" s="12"/>
      <c r="R378" s="263"/>
      <c r="S378" s="544"/>
      <c r="T378" s="544"/>
    </row>
    <row r="379" ht="11.25">
      <c r="S379" s="21"/>
    </row>
    <row r="380" spans="1:20" ht="11.25">
      <c r="A380" s="555" t="s">
        <v>10</v>
      </c>
      <c r="B380" s="556"/>
      <c r="C380" s="556"/>
      <c r="D380" s="556"/>
      <c r="E380" s="556"/>
      <c r="F380" s="556"/>
      <c r="G380" s="556"/>
      <c r="H380" s="556"/>
      <c r="I380" s="556"/>
      <c r="J380" s="556"/>
      <c r="K380" s="556"/>
      <c r="L380" s="344"/>
      <c r="M380" s="69" t="s">
        <v>45</v>
      </c>
      <c r="N380" s="20" t="s">
        <v>40</v>
      </c>
      <c r="O380" s="259" t="s">
        <v>46</v>
      </c>
      <c r="P380" s="20" t="s">
        <v>47</v>
      </c>
      <c r="Q380" s="20" t="s">
        <v>48</v>
      </c>
      <c r="R380" s="259" t="s">
        <v>42</v>
      </c>
      <c r="S380" s="71" t="s">
        <v>25</v>
      </c>
      <c r="T380" s="72" t="s">
        <v>26</v>
      </c>
    </row>
    <row r="381" spans="1:21" ht="11.25">
      <c r="A381" s="525"/>
      <c r="B381" s="526"/>
      <c r="C381" s="511"/>
      <c r="D381" s="512"/>
      <c r="E381" s="512"/>
      <c r="F381" s="512"/>
      <c r="G381" s="512"/>
      <c r="H381" s="512"/>
      <c r="I381" s="512"/>
      <c r="J381" s="512"/>
      <c r="K381" s="513"/>
      <c r="L381" s="274" t="s">
        <v>12</v>
      </c>
      <c r="M381" s="3">
        <v>102000</v>
      </c>
      <c r="N381" s="97"/>
      <c r="O381" s="251"/>
      <c r="P381" s="3"/>
      <c r="Q381" s="3"/>
      <c r="R381" s="251"/>
      <c r="S381" s="73"/>
      <c r="T381" s="73"/>
      <c r="U381" s="21"/>
    </row>
    <row r="382" spans="1:21" ht="11.25">
      <c r="A382" s="525"/>
      <c r="B382" s="526"/>
      <c r="C382" s="34"/>
      <c r="D382" s="86"/>
      <c r="E382" s="86"/>
      <c r="F382" s="33"/>
      <c r="G382" s="33"/>
      <c r="H382" s="33"/>
      <c r="I382" s="92"/>
      <c r="J382" s="33"/>
      <c r="K382" s="4"/>
      <c r="L382" s="266" t="s">
        <v>28</v>
      </c>
      <c r="M382" s="4">
        <f aca="true" t="shared" si="85" ref="M382:R382">+M391</f>
        <v>30906.4036876</v>
      </c>
      <c r="N382" s="4">
        <f t="shared" si="85"/>
        <v>2090.9501</v>
      </c>
      <c r="O382" s="252">
        <f t="shared" si="85"/>
        <v>32997.3537876</v>
      </c>
      <c r="P382" s="4">
        <f t="shared" si="85"/>
        <v>20089.16239694</v>
      </c>
      <c r="Q382" s="4">
        <f t="shared" si="85"/>
        <v>1359.117565</v>
      </c>
      <c r="R382" s="252">
        <f t="shared" si="85"/>
        <v>21448.27996194</v>
      </c>
      <c r="S382" s="74">
        <f aca="true" t="shared" si="86" ref="S382:S388">R382*0.375</f>
        <v>8043.104985727499</v>
      </c>
      <c r="T382" s="74">
        <f aca="true" t="shared" si="87" ref="T382:T387">R382-S382</f>
        <v>13405.1749762125</v>
      </c>
      <c r="U382" s="21"/>
    </row>
    <row r="383" spans="1:21" ht="11.25">
      <c r="A383" s="525"/>
      <c r="B383" s="526"/>
      <c r="C383" s="34"/>
      <c r="D383" s="86"/>
      <c r="E383" s="86"/>
      <c r="F383" s="33"/>
      <c r="G383" s="33"/>
      <c r="H383" s="33"/>
      <c r="I383" s="92"/>
      <c r="J383" s="33"/>
      <c r="K383" s="35"/>
      <c r="L383" s="266" t="s">
        <v>29</v>
      </c>
      <c r="M383" s="4">
        <f aca="true" t="shared" si="88" ref="M383:R383">+M570</f>
        <v>11889.6905</v>
      </c>
      <c r="N383" s="4">
        <f t="shared" si="88"/>
        <v>1049.551</v>
      </c>
      <c r="O383" s="252">
        <f t="shared" si="88"/>
        <v>12939.1215</v>
      </c>
      <c r="P383" s="4">
        <f t="shared" si="88"/>
        <v>7728.298825000001</v>
      </c>
      <c r="Q383" s="4">
        <f t="shared" si="88"/>
        <v>682.2081499999999</v>
      </c>
      <c r="R383" s="252">
        <f t="shared" si="88"/>
        <v>8410.428975</v>
      </c>
      <c r="S383" s="5">
        <f t="shared" si="86"/>
        <v>3153.910865625</v>
      </c>
      <c r="T383" s="5">
        <f t="shared" si="87"/>
        <v>5256.518109375001</v>
      </c>
      <c r="U383" s="21"/>
    </row>
    <row r="384" spans="1:21" ht="11.25">
      <c r="A384" s="525"/>
      <c r="B384" s="526"/>
      <c r="C384" s="34"/>
      <c r="D384" s="86"/>
      <c r="E384" s="86"/>
      <c r="F384" s="33"/>
      <c r="G384" s="33"/>
      <c r="H384" s="33"/>
      <c r="I384" s="92"/>
      <c r="J384" s="33"/>
      <c r="K384" s="35"/>
      <c r="L384" s="266" t="s">
        <v>474</v>
      </c>
      <c r="M384" s="4">
        <f>SUM(M666:M757)</f>
        <v>15177.234458333345</v>
      </c>
      <c r="N384" s="4">
        <f>SUM(N666:N757)</f>
        <v>3000.6432916666677</v>
      </c>
      <c r="O384" s="252">
        <f>+N384+M384</f>
        <v>18177.877750000014</v>
      </c>
      <c r="P384" s="4">
        <f>SUM(P666:P757)</f>
        <v>9865.202397916695</v>
      </c>
      <c r="Q384" s="4">
        <f>SUM(Q666:Q757)</f>
        <v>1950.4181395833332</v>
      </c>
      <c r="R384" s="252">
        <f>+Q384+P384</f>
        <v>11815.620537500028</v>
      </c>
      <c r="S384" s="5">
        <f t="shared" si="86"/>
        <v>4430.857701562511</v>
      </c>
      <c r="T384" s="5">
        <f t="shared" si="87"/>
        <v>7384.762835937518</v>
      </c>
      <c r="U384" s="21"/>
    </row>
    <row r="385" spans="1:21" ht="11.25">
      <c r="A385" s="525"/>
      <c r="B385" s="526"/>
      <c r="C385" s="34"/>
      <c r="D385" s="86"/>
      <c r="E385" s="86"/>
      <c r="F385" s="33"/>
      <c r="G385" s="33"/>
      <c r="H385" s="33"/>
      <c r="I385" s="92"/>
      <c r="J385" s="33"/>
      <c r="K385" s="35"/>
      <c r="L385" s="266" t="s">
        <v>742</v>
      </c>
      <c r="M385" s="4">
        <f>SUM(M758:M856)</f>
        <v>19370.272499999977</v>
      </c>
      <c r="N385" s="4">
        <f>SUM(N758:N856)</f>
        <v>1670.31698</v>
      </c>
      <c r="O385" s="252">
        <f>+N385+M385</f>
        <v>21040.589479999977</v>
      </c>
      <c r="P385" s="4">
        <f>SUM(P758:P856)</f>
        <v>12590.677125000004</v>
      </c>
      <c r="Q385" s="4">
        <f>SUM(Q758:Q856)</f>
        <v>1085.7060370000004</v>
      </c>
      <c r="R385" s="252">
        <f>+Q385+P385</f>
        <v>13676.383162000004</v>
      </c>
      <c r="S385" s="5">
        <f t="shared" si="86"/>
        <v>5128.643685750001</v>
      </c>
      <c r="T385" s="5">
        <f t="shared" si="87"/>
        <v>8547.739476250003</v>
      </c>
      <c r="U385" s="21"/>
    </row>
    <row r="386" spans="1:21" ht="11.25">
      <c r="A386" s="525"/>
      <c r="B386" s="526"/>
      <c r="C386" s="34"/>
      <c r="D386" s="86"/>
      <c r="E386" s="86"/>
      <c r="F386" s="33"/>
      <c r="G386" s="33"/>
      <c r="H386" s="33"/>
      <c r="I386" s="92"/>
      <c r="J386" s="33"/>
      <c r="K386" s="35"/>
      <c r="L386" s="266" t="s">
        <v>834</v>
      </c>
      <c r="M386" s="4">
        <f>SUM(M857:M882)</f>
        <v>7760.603000000001</v>
      </c>
      <c r="N386" s="4">
        <f>SUM(N857:N882)</f>
        <v>1357.48</v>
      </c>
      <c r="O386" s="252">
        <f>+N386+M386</f>
        <v>9118.083</v>
      </c>
      <c r="P386" s="4">
        <f>SUM(P857:P882)</f>
        <v>5044.391950000001</v>
      </c>
      <c r="Q386" s="4">
        <f>SUM(Q857:Q882)</f>
        <v>882.3620000000001</v>
      </c>
      <c r="R386" s="252">
        <f>+Q386+P386</f>
        <v>5926.753950000001</v>
      </c>
      <c r="S386" s="5">
        <f t="shared" si="86"/>
        <v>2222.5327312500003</v>
      </c>
      <c r="T386" s="5">
        <f t="shared" si="87"/>
        <v>3704.221218750001</v>
      </c>
      <c r="U386" s="21"/>
    </row>
    <row r="387" spans="1:21" ht="11.25">
      <c r="A387" s="525"/>
      <c r="B387" s="526"/>
      <c r="C387" s="34"/>
      <c r="D387" s="86"/>
      <c r="E387" s="86"/>
      <c r="F387" s="33"/>
      <c r="G387" s="33"/>
      <c r="H387" s="33"/>
      <c r="I387" s="92"/>
      <c r="J387" s="33"/>
      <c r="K387" s="35"/>
      <c r="L387" s="266" t="s">
        <v>839</v>
      </c>
      <c r="M387" s="4">
        <f>+M883</f>
        <v>15243.08</v>
      </c>
      <c r="N387" s="4">
        <f>+N883</f>
        <v>2091.38</v>
      </c>
      <c r="O387" s="252">
        <f>+N387+M387</f>
        <v>17334.46</v>
      </c>
      <c r="P387" s="4">
        <f>+P883</f>
        <v>9908.002</v>
      </c>
      <c r="Q387" s="4">
        <f>+Q883</f>
        <v>1359.3970000000002</v>
      </c>
      <c r="R387" s="252">
        <f>+Q387+P387</f>
        <v>11267.399000000001</v>
      </c>
      <c r="S387" s="5">
        <f t="shared" si="86"/>
        <v>4225.274625</v>
      </c>
      <c r="T387" s="5">
        <f t="shared" si="87"/>
        <v>7042.124375000001</v>
      </c>
      <c r="U387" s="21"/>
    </row>
    <row r="388" spans="1:21" ht="11.25">
      <c r="A388" s="525"/>
      <c r="B388" s="526"/>
      <c r="C388" s="34"/>
      <c r="D388" s="86"/>
      <c r="E388" s="86"/>
      <c r="F388" s="33"/>
      <c r="G388" s="33"/>
      <c r="H388" s="33"/>
      <c r="I388" s="92"/>
      <c r="J388" s="33"/>
      <c r="K388" s="35"/>
      <c r="L388" s="266" t="s">
        <v>1075</v>
      </c>
      <c r="M388" s="4">
        <f>SUM(M980:M1162)</f>
        <v>56310.11449999997</v>
      </c>
      <c r="N388" s="4">
        <f>SUM(N980:N1162)</f>
        <v>6269.655899999997</v>
      </c>
      <c r="O388" s="252">
        <f>+N388+M388</f>
        <v>62579.770399999965</v>
      </c>
      <c r="P388" s="4">
        <f>SUM(P980:P1162)</f>
        <v>36601.57442500001</v>
      </c>
      <c r="Q388" s="4">
        <f>SUM(Q980:Q1162)</f>
        <v>4075.276335000005</v>
      </c>
      <c r="R388" s="252">
        <f>+Q388+P388</f>
        <v>40676.850760000016</v>
      </c>
      <c r="S388" s="5">
        <f t="shared" si="86"/>
        <v>15253.819035000006</v>
      </c>
      <c r="T388" s="5">
        <f>R388-S388</f>
        <v>25423.031725000008</v>
      </c>
      <c r="U388" s="21"/>
    </row>
    <row r="389" spans="1:21" ht="11.25">
      <c r="A389" s="527"/>
      <c r="B389" s="510"/>
      <c r="C389" s="514"/>
      <c r="D389" s="515"/>
      <c r="E389" s="515"/>
      <c r="F389" s="515"/>
      <c r="G389" s="515"/>
      <c r="H389" s="515"/>
      <c r="I389" s="515"/>
      <c r="J389" s="515"/>
      <c r="K389" s="516"/>
      <c r="L389" s="267" t="s">
        <v>13</v>
      </c>
      <c r="M389" s="6">
        <f>M381-M382-M383-M384-M385-M386-M387-M388</f>
        <v>-54657.398645933295</v>
      </c>
      <c r="N389" s="6"/>
      <c r="O389" s="253"/>
      <c r="P389" s="6"/>
      <c r="Q389" s="6"/>
      <c r="R389" s="253"/>
      <c r="S389" s="77"/>
      <c r="T389" s="77"/>
      <c r="U389" s="21"/>
    </row>
    <row r="390" spans="1:20" ht="31.5" customHeight="1">
      <c r="A390" s="19" t="s">
        <v>14</v>
      </c>
      <c r="B390" s="19" t="s">
        <v>11</v>
      </c>
      <c r="C390" s="7" t="s">
        <v>24</v>
      </c>
      <c r="D390" s="7" t="s">
        <v>20</v>
      </c>
      <c r="E390" s="202" t="s">
        <v>2</v>
      </c>
      <c r="F390" s="7" t="s">
        <v>19</v>
      </c>
      <c r="G390" s="7" t="s">
        <v>18</v>
      </c>
      <c r="H390" s="202" t="s">
        <v>17</v>
      </c>
      <c r="I390" s="202" t="s">
        <v>16</v>
      </c>
      <c r="J390" s="339" t="s">
        <v>3</v>
      </c>
      <c r="K390" s="339" t="s">
        <v>4</v>
      </c>
      <c r="L390" s="345" t="s">
        <v>5</v>
      </c>
      <c r="M390" s="7" t="s">
        <v>21</v>
      </c>
      <c r="N390" s="7" t="s">
        <v>40</v>
      </c>
      <c r="O390" s="261" t="s">
        <v>43</v>
      </c>
      <c r="P390" s="7" t="s">
        <v>22</v>
      </c>
      <c r="Q390" s="19" t="s">
        <v>41</v>
      </c>
      <c r="R390" s="254" t="s">
        <v>42</v>
      </c>
      <c r="S390" s="523" t="s">
        <v>27</v>
      </c>
      <c r="T390" s="523"/>
    </row>
    <row r="391" spans="1:20" s="393" customFormat="1" ht="11.25">
      <c r="A391" s="387" t="s">
        <v>15</v>
      </c>
      <c r="B391" s="388"/>
      <c r="C391" s="389" t="s">
        <v>477</v>
      </c>
      <c r="D391" s="390"/>
      <c r="E391" s="391"/>
      <c r="F391" s="390"/>
      <c r="G391" s="390"/>
      <c r="H391" s="391"/>
      <c r="I391" s="391"/>
      <c r="J391" s="392">
        <v>80805.4936000001</v>
      </c>
      <c r="K391" s="392">
        <v>7501.114</v>
      </c>
      <c r="L391" s="255">
        <f>+K391+J391</f>
        <v>88306.6076000001</v>
      </c>
      <c r="M391" s="392">
        <v>30906.4036876</v>
      </c>
      <c r="N391" s="392">
        <v>2090.9501</v>
      </c>
      <c r="O391" s="255">
        <f>+N391+M391</f>
        <v>32997.3537876</v>
      </c>
      <c r="P391" s="392">
        <f>M391*0.65</f>
        <v>20089.16239694</v>
      </c>
      <c r="Q391" s="392">
        <f>N391*0.65</f>
        <v>1359.117565</v>
      </c>
      <c r="R391" s="255">
        <f>O391*0.65</f>
        <v>21448.27996194</v>
      </c>
      <c r="S391" s="571" t="s">
        <v>478</v>
      </c>
      <c r="T391" s="571"/>
    </row>
    <row r="392" spans="1:20" ht="11.25">
      <c r="A392" s="233" t="s">
        <v>15</v>
      </c>
      <c r="B392" s="7"/>
      <c r="C392" s="232" t="s">
        <v>205</v>
      </c>
      <c r="D392" s="126" t="s">
        <v>223</v>
      </c>
      <c r="E392" s="126" t="s">
        <v>99</v>
      </c>
      <c r="F392" s="122">
        <v>19718</v>
      </c>
      <c r="G392" s="243">
        <v>38488</v>
      </c>
      <c r="H392" s="127">
        <v>38483</v>
      </c>
      <c r="I392" s="127" t="s">
        <v>290</v>
      </c>
      <c r="J392" s="244">
        <v>1953.75</v>
      </c>
      <c r="K392" s="244">
        <f aca="true" t="shared" si="89" ref="K392:K399">+J392*20%</f>
        <v>390.75</v>
      </c>
      <c r="L392" s="255">
        <f>+K392+J392</f>
        <v>2344.5</v>
      </c>
      <c r="M392" s="245">
        <v>195.375</v>
      </c>
      <c r="N392" s="68"/>
      <c r="O392" s="255">
        <f>+N392+M392</f>
        <v>195.375</v>
      </c>
      <c r="P392" s="68">
        <f aca="true" t="shared" si="90" ref="P392:P399">M392*0.65</f>
        <v>126.99375</v>
      </c>
      <c r="Q392" s="68">
        <f aca="true" t="shared" si="91" ref="Q392:Q399">N392*0.65</f>
        <v>0</v>
      </c>
      <c r="R392" s="255">
        <f aca="true" t="shared" si="92" ref="R392:R399">O392*0.65</f>
        <v>126.99375</v>
      </c>
      <c r="S392" s="541" t="s">
        <v>298</v>
      </c>
      <c r="T392" s="541"/>
    </row>
    <row r="393" spans="1:20" ht="11.25">
      <c r="A393" s="233" t="s">
        <v>15</v>
      </c>
      <c r="B393" s="7"/>
      <c r="C393" s="232" t="s">
        <v>205</v>
      </c>
      <c r="D393" s="126" t="s">
        <v>226</v>
      </c>
      <c r="E393" s="126" t="s">
        <v>73</v>
      </c>
      <c r="F393" s="122">
        <v>271016</v>
      </c>
      <c r="G393" s="243">
        <v>38445</v>
      </c>
      <c r="H393" s="127">
        <v>38456</v>
      </c>
      <c r="I393" s="127" t="s">
        <v>291</v>
      </c>
      <c r="J393" s="244">
        <v>378.72</v>
      </c>
      <c r="K393" s="244">
        <f t="shared" si="89"/>
        <v>75.74400000000001</v>
      </c>
      <c r="L393" s="255">
        <f aca="true" t="shared" si="93" ref="L393:L399">+K393+J393</f>
        <v>454.46400000000006</v>
      </c>
      <c r="M393" s="245">
        <v>75.74400000000001</v>
      </c>
      <c r="N393" s="68"/>
      <c r="O393" s="255">
        <f aca="true" t="shared" si="94" ref="O393:O399">+N393+M393</f>
        <v>75.74400000000001</v>
      </c>
      <c r="P393" s="68">
        <f t="shared" si="90"/>
        <v>49.23360000000001</v>
      </c>
      <c r="Q393" s="68">
        <f t="shared" si="91"/>
        <v>0</v>
      </c>
      <c r="R393" s="255">
        <f t="shared" si="92"/>
        <v>49.23360000000001</v>
      </c>
      <c r="S393" s="541" t="s">
        <v>298</v>
      </c>
      <c r="T393" s="541"/>
    </row>
    <row r="394" spans="1:20" ht="11.25">
      <c r="A394" s="233" t="s">
        <v>15</v>
      </c>
      <c r="B394" s="7"/>
      <c r="C394" s="232" t="s">
        <v>205</v>
      </c>
      <c r="D394" s="126" t="s">
        <v>226</v>
      </c>
      <c r="E394" s="126" t="s">
        <v>73</v>
      </c>
      <c r="F394" s="122">
        <v>271017</v>
      </c>
      <c r="G394" s="243">
        <v>38474</v>
      </c>
      <c r="H394" s="127">
        <v>38483</v>
      </c>
      <c r="I394" s="127" t="s">
        <v>292</v>
      </c>
      <c r="J394" s="244">
        <v>55.06</v>
      </c>
      <c r="K394" s="244">
        <f t="shared" si="89"/>
        <v>11.012</v>
      </c>
      <c r="L394" s="255">
        <f t="shared" si="93"/>
        <v>66.072</v>
      </c>
      <c r="M394" s="245">
        <v>27.53</v>
      </c>
      <c r="N394" s="68"/>
      <c r="O394" s="255">
        <f t="shared" si="94"/>
        <v>27.53</v>
      </c>
      <c r="P394" s="68">
        <f t="shared" si="90"/>
        <v>17.8945</v>
      </c>
      <c r="Q394" s="68">
        <f t="shared" si="91"/>
        <v>0</v>
      </c>
      <c r="R394" s="255">
        <f t="shared" si="92"/>
        <v>17.8945</v>
      </c>
      <c r="S394" s="541" t="s">
        <v>298</v>
      </c>
      <c r="T394" s="541"/>
    </row>
    <row r="395" spans="1:20" ht="11.25">
      <c r="A395" s="233" t="s">
        <v>15</v>
      </c>
      <c r="B395" s="7"/>
      <c r="C395" s="232" t="s">
        <v>205</v>
      </c>
      <c r="D395" s="126" t="s">
        <v>223</v>
      </c>
      <c r="E395" s="126" t="s">
        <v>99</v>
      </c>
      <c r="F395" s="122">
        <v>8762</v>
      </c>
      <c r="G395" s="243">
        <v>38390</v>
      </c>
      <c r="H395" s="127">
        <v>38434</v>
      </c>
      <c r="I395" s="127" t="s">
        <v>293</v>
      </c>
      <c r="J395" s="244">
        <v>2097.92</v>
      </c>
      <c r="K395" s="244">
        <f t="shared" si="89"/>
        <v>419.58400000000006</v>
      </c>
      <c r="L395" s="255">
        <f t="shared" si="93"/>
        <v>2517.504</v>
      </c>
      <c r="M395" s="245">
        <v>209.79200000000003</v>
      </c>
      <c r="N395" s="68"/>
      <c r="O395" s="255">
        <f t="shared" si="94"/>
        <v>209.79200000000003</v>
      </c>
      <c r="P395" s="68">
        <f t="shared" si="90"/>
        <v>136.36480000000003</v>
      </c>
      <c r="Q395" s="68">
        <f t="shared" si="91"/>
        <v>0</v>
      </c>
      <c r="R395" s="255">
        <f t="shared" si="92"/>
        <v>136.36480000000003</v>
      </c>
      <c r="S395" s="541" t="s">
        <v>298</v>
      </c>
      <c r="T395" s="541"/>
    </row>
    <row r="396" spans="1:20" ht="11.25">
      <c r="A396" s="233" t="s">
        <v>15</v>
      </c>
      <c r="B396" s="7"/>
      <c r="C396" s="232" t="s">
        <v>205</v>
      </c>
      <c r="D396" s="126" t="s">
        <v>226</v>
      </c>
      <c r="E396" s="126" t="s">
        <v>73</v>
      </c>
      <c r="F396" s="122">
        <v>271012</v>
      </c>
      <c r="G396" s="243">
        <v>38323</v>
      </c>
      <c r="H396" s="127">
        <v>38330</v>
      </c>
      <c r="I396" s="127" t="s">
        <v>294</v>
      </c>
      <c r="J396" s="244">
        <v>291.2</v>
      </c>
      <c r="K396" s="244">
        <f t="shared" si="89"/>
        <v>58.24</v>
      </c>
      <c r="L396" s="255">
        <f t="shared" si="93"/>
        <v>349.44</v>
      </c>
      <c r="M396" s="245">
        <v>72.8</v>
      </c>
      <c r="N396" s="68"/>
      <c r="O396" s="255">
        <f t="shared" si="94"/>
        <v>72.8</v>
      </c>
      <c r="P396" s="68">
        <f t="shared" si="90"/>
        <v>47.32</v>
      </c>
      <c r="Q396" s="68">
        <f t="shared" si="91"/>
        <v>0</v>
      </c>
      <c r="R396" s="255">
        <f t="shared" si="92"/>
        <v>47.32</v>
      </c>
      <c r="S396" s="541" t="s">
        <v>299</v>
      </c>
      <c r="T396" s="541"/>
    </row>
    <row r="397" spans="1:20" ht="11.25">
      <c r="A397" s="233" t="s">
        <v>15</v>
      </c>
      <c r="B397" s="7"/>
      <c r="C397" s="232" t="s">
        <v>205</v>
      </c>
      <c r="D397" s="126" t="s">
        <v>226</v>
      </c>
      <c r="E397" s="126" t="s">
        <v>73</v>
      </c>
      <c r="F397" s="122">
        <v>271013</v>
      </c>
      <c r="G397" s="243">
        <v>38357</v>
      </c>
      <c r="H397" s="127">
        <v>38371</v>
      </c>
      <c r="I397" s="127" t="s">
        <v>295</v>
      </c>
      <c r="J397" s="244">
        <v>398.56</v>
      </c>
      <c r="K397" s="244">
        <f t="shared" si="89"/>
        <v>79.712</v>
      </c>
      <c r="L397" s="255">
        <f t="shared" si="93"/>
        <v>478.272</v>
      </c>
      <c r="M397" s="245">
        <v>88.560032</v>
      </c>
      <c r="N397" s="68"/>
      <c r="O397" s="255">
        <f t="shared" si="94"/>
        <v>88.560032</v>
      </c>
      <c r="P397" s="68">
        <f t="shared" si="90"/>
        <v>57.56402080000001</v>
      </c>
      <c r="Q397" s="68">
        <f t="shared" si="91"/>
        <v>0</v>
      </c>
      <c r="R397" s="255">
        <f t="shared" si="92"/>
        <v>57.56402080000001</v>
      </c>
      <c r="S397" s="541" t="s">
        <v>299</v>
      </c>
      <c r="T397" s="541"/>
    </row>
    <row r="398" spans="1:20" ht="11.25">
      <c r="A398" s="233" t="s">
        <v>15</v>
      </c>
      <c r="B398" s="7"/>
      <c r="C398" s="232" t="s">
        <v>205</v>
      </c>
      <c r="D398" s="126" t="s">
        <v>226</v>
      </c>
      <c r="E398" s="126" t="s">
        <v>73</v>
      </c>
      <c r="F398" s="122">
        <v>271014</v>
      </c>
      <c r="G398" s="243">
        <v>38385</v>
      </c>
      <c r="H398" s="127">
        <v>38397</v>
      </c>
      <c r="I398" s="127" t="s">
        <v>296</v>
      </c>
      <c r="J398" s="244">
        <v>371.41</v>
      </c>
      <c r="K398" s="244">
        <f t="shared" si="89"/>
        <v>74.28200000000001</v>
      </c>
      <c r="L398" s="255">
        <f t="shared" si="93"/>
        <v>445.692</v>
      </c>
      <c r="M398" s="245">
        <v>74.28200000000001</v>
      </c>
      <c r="N398" s="68"/>
      <c r="O398" s="255">
        <f t="shared" si="94"/>
        <v>74.28200000000001</v>
      </c>
      <c r="P398" s="68">
        <f t="shared" si="90"/>
        <v>48.28330000000001</v>
      </c>
      <c r="Q398" s="68">
        <f t="shared" si="91"/>
        <v>0</v>
      </c>
      <c r="R398" s="255">
        <f t="shared" si="92"/>
        <v>48.28330000000001</v>
      </c>
      <c r="S398" s="541" t="s">
        <v>299</v>
      </c>
      <c r="T398" s="541"/>
    </row>
    <row r="399" spans="1:20" ht="11.25">
      <c r="A399" s="233" t="s">
        <v>15</v>
      </c>
      <c r="B399" s="7"/>
      <c r="C399" s="232" t="s">
        <v>205</v>
      </c>
      <c r="D399" s="126" t="s">
        <v>226</v>
      </c>
      <c r="E399" s="126" t="s">
        <v>73</v>
      </c>
      <c r="F399" s="122">
        <v>271015</v>
      </c>
      <c r="G399" s="243">
        <v>38413</v>
      </c>
      <c r="H399" s="127">
        <v>38421</v>
      </c>
      <c r="I399" s="127" t="s">
        <v>297</v>
      </c>
      <c r="J399" s="244">
        <v>466.66</v>
      </c>
      <c r="K399" s="244">
        <f t="shared" si="89"/>
        <v>93.33200000000001</v>
      </c>
      <c r="L399" s="255">
        <f t="shared" si="93"/>
        <v>559.9920000000001</v>
      </c>
      <c r="M399" s="245">
        <v>77.77355560000001</v>
      </c>
      <c r="N399" s="68"/>
      <c r="O399" s="255">
        <f t="shared" si="94"/>
        <v>77.77355560000001</v>
      </c>
      <c r="P399" s="68">
        <f t="shared" si="90"/>
        <v>50.55281114000001</v>
      </c>
      <c r="Q399" s="68">
        <f t="shared" si="91"/>
        <v>0</v>
      </c>
      <c r="R399" s="255">
        <f t="shared" si="92"/>
        <v>50.55281114000001</v>
      </c>
      <c r="S399" s="541" t="s">
        <v>299</v>
      </c>
      <c r="T399" s="541"/>
    </row>
    <row r="400" spans="1:20" ht="22.5">
      <c r="A400" s="233" t="s">
        <v>15</v>
      </c>
      <c r="B400" s="7"/>
      <c r="C400" s="101" t="s">
        <v>65</v>
      </c>
      <c r="D400" s="298" t="s">
        <v>275</v>
      </c>
      <c r="E400" s="281" t="s">
        <v>99</v>
      </c>
      <c r="F400" s="282" t="s">
        <v>276</v>
      </c>
      <c r="G400" s="283">
        <v>38145</v>
      </c>
      <c r="H400" s="283">
        <v>38183</v>
      </c>
      <c r="I400" s="302" t="s">
        <v>70</v>
      </c>
      <c r="J400" s="144">
        <v>89.6</v>
      </c>
      <c r="K400" s="144">
        <f>J400*20%</f>
        <v>17.919999999999998</v>
      </c>
      <c r="L400" s="307">
        <v>107.5</v>
      </c>
      <c r="M400" s="68">
        <v>26.88</v>
      </c>
      <c r="N400" s="68">
        <v>5.376</v>
      </c>
      <c r="O400" s="255">
        <v>32.256</v>
      </c>
      <c r="P400" s="68">
        <f aca="true" t="shared" si="95" ref="P400:P417">M400*0.65</f>
        <v>17.472</v>
      </c>
      <c r="Q400" s="68">
        <f aca="true" t="shared" si="96" ref="Q400:Q416">N400*0.65</f>
        <v>3.4944</v>
      </c>
      <c r="R400" s="255">
        <f aca="true" t="shared" si="97" ref="R400:R417">O400*0.65</f>
        <v>20.9664</v>
      </c>
      <c r="S400" s="541" t="s">
        <v>315</v>
      </c>
      <c r="T400" s="541"/>
    </row>
    <row r="401" spans="1:20" ht="22.5">
      <c r="A401" s="233" t="s">
        <v>15</v>
      </c>
      <c r="B401" s="7"/>
      <c r="C401" s="101" t="s">
        <v>65</v>
      </c>
      <c r="D401" s="299" t="s">
        <v>277</v>
      </c>
      <c r="E401" s="285" t="s">
        <v>99</v>
      </c>
      <c r="F401" s="286" t="s">
        <v>278</v>
      </c>
      <c r="G401" s="287">
        <v>38145</v>
      </c>
      <c r="H401" s="287">
        <v>38183</v>
      </c>
      <c r="I401" s="303" t="s">
        <v>70</v>
      </c>
      <c r="J401" s="301">
        <v>66.7</v>
      </c>
      <c r="K401" s="301">
        <v>13.3</v>
      </c>
      <c r="L401" s="346">
        <f>SUM(J401:K401)</f>
        <v>80</v>
      </c>
      <c r="M401" s="68">
        <v>20.01</v>
      </c>
      <c r="N401" s="68">
        <v>4.002000000000001</v>
      </c>
      <c r="O401" s="255">
        <v>24.012</v>
      </c>
      <c r="P401" s="68">
        <f t="shared" si="95"/>
        <v>13.0065</v>
      </c>
      <c r="Q401" s="68">
        <f t="shared" si="96"/>
        <v>2.6013000000000006</v>
      </c>
      <c r="R401" s="255">
        <f t="shared" si="97"/>
        <v>15.607800000000001</v>
      </c>
      <c r="S401" s="541" t="s">
        <v>315</v>
      </c>
      <c r="T401" s="541"/>
    </row>
    <row r="402" spans="1:20" ht="22.5">
      <c r="A402" s="233" t="s">
        <v>15</v>
      </c>
      <c r="B402" s="7"/>
      <c r="C402" s="101" t="s">
        <v>65</v>
      </c>
      <c r="D402" s="247" t="s">
        <v>279</v>
      </c>
      <c r="E402" s="288" t="s">
        <v>99</v>
      </c>
      <c r="F402" s="143" t="s">
        <v>280</v>
      </c>
      <c r="G402" s="289">
        <v>38204</v>
      </c>
      <c r="H402" s="289">
        <v>38245</v>
      </c>
      <c r="I402" s="304" t="s">
        <v>70</v>
      </c>
      <c r="J402" s="144">
        <v>88.75</v>
      </c>
      <c r="K402" s="144">
        <f aca="true" t="shared" si="98" ref="K402:K409">J402*20%</f>
        <v>17.75</v>
      </c>
      <c r="L402" s="307">
        <v>106.5</v>
      </c>
      <c r="M402" s="68">
        <v>26.625</v>
      </c>
      <c r="N402" s="68">
        <v>5.325</v>
      </c>
      <c r="O402" s="255">
        <v>31.95</v>
      </c>
      <c r="P402" s="68">
        <f t="shared" si="95"/>
        <v>17.306250000000002</v>
      </c>
      <c r="Q402" s="68">
        <f t="shared" si="96"/>
        <v>3.46125</v>
      </c>
      <c r="R402" s="255">
        <f t="shared" si="97"/>
        <v>20.767500000000002</v>
      </c>
      <c r="S402" s="541" t="s">
        <v>315</v>
      </c>
      <c r="T402" s="541"/>
    </row>
    <row r="403" spans="1:20" ht="22.5">
      <c r="A403" s="233" t="s">
        <v>15</v>
      </c>
      <c r="B403" s="7"/>
      <c r="C403" s="101" t="s">
        <v>65</v>
      </c>
      <c r="D403" s="247" t="s">
        <v>281</v>
      </c>
      <c r="E403" s="288" t="s">
        <v>99</v>
      </c>
      <c r="F403" s="143" t="s">
        <v>282</v>
      </c>
      <c r="G403" s="289">
        <v>38204</v>
      </c>
      <c r="H403" s="289">
        <v>38245</v>
      </c>
      <c r="I403" s="304" t="s">
        <v>70</v>
      </c>
      <c r="J403" s="144">
        <v>65.79</v>
      </c>
      <c r="K403" s="144">
        <v>13.21</v>
      </c>
      <c r="L403" s="307">
        <f>SUM(J403:K403)</f>
        <v>79</v>
      </c>
      <c r="M403" s="68">
        <v>19.737000000000002</v>
      </c>
      <c r="N403" s="68">
        <v>3.9474000000000005</v>
      </c>
      <c r="O403" s="255">
        <v>23.684400000000004</v>
      </c>
      <c r="P403" s="68">
        <f t="shared" si="95"/>
        <v>12.829050000000002</v>
      </c>
      <c r="Q403" s="68">
        <f t="shared" si="96"/>
        <v>2.5658100000000004</v>
      </c>
      <c r="R403" s="255">
        <f t="shared" si="97"/>
        <v>15.394860000000003</v>
      </c>
      <c r="S403" s="541" t="s">
        <v>315</v>
      </c>
      <c r="T403" s="541"/>
    </row>
    <row r="404" spans="1:20" ht="22.5">
      <c r="A404" s="233" t="s">
        <v>15</v>
      </c>
      <c r="B404" s="7"/>
      <c r="C404" s="101" t="s">
        <v>65</v>
      </c>
      <c r="D404" s="247" t="s">
        <v>300</v>
      </c>
      <c r="E404" s="288" t="s">
        <v>76</v>
      </c>
      <c r="F404" s="143" t="s">
        <v>301</v>
      </c>
      <c r="G404" s="289">
        <v>38260</v>
      </c>
      <c r="H404" s="289">
        <v>38299</v>
      </c>
      <c r="I404" s="304" t="s">
        <v>125</v>
      </c>
      <c r="J404" s="144">
        <v>400</v>
      </c>
      <c r="K404" s="144">
        <f t="shared" si="98"/>
        <v>80</v>
      </c>
      <c r="L404" s="307">
        <v>480.01</v>
      </c>
      <c r="M404" s="68">
        <v>400</v>
      </c>
      <c r="N404" s="68">
        <v>80</v>
      </c>
      <c r="O404" s="255">
        <v>480</v>
      </c>
      <c r="P404" s="68">
        <f t="shared" si="95"/>
        <v>260</v>
      </c>
      <c r="Q404" s="68">
        <f t="shared" si="96"/>
        <v>52</v>
      </c>
      <c r="R404" s="255">
        <f t="shared" si="97"/>
        <v>312</v>
      </c>
      <c r="S404" s="567"/>
      <c r="T404" s="568"/>
    </row>
    <row r="405" spans="1:20" ht="22.5">
      <c r="A405" s="233" t="s">
        <v>15</v>
      </c>
      <c r="B405" s="7"/>
      <c r="C405" s="101" t="s">
        <v>65</v>
      </c>
      <c r="D405" s="247" t="s">
        <v>302</v>
      </c>
      <c r="E405" s="288" t="s">
        <v>76</v>
      </c>
      <c r="F405" s="143" t="s">
        <v>303</v>
      </c>
      <c r="G405" s="289">
        <v>38260</v>
      </c>
      <c r="H405" s="289">
        <v>38299</v>
      </c>
      <c r="I405" s="304" t="s">
        <v>125</v>
      </c>
      <c r="J405" s="144">
        <v>204.91</v>
      </c>
      <c r="K405" s="144">
        <f t="shared" si="98"/>
        <v>40.982</v>
      </c>
      <c r="L405" s="307">
        <v>245.89</v>
      </c>
      <c r="M405" s="68">
        <v>204.91</v>
      </c>
      <c r="N405" s="68">
        <v>40.982</v>
      </c>
      <c r="O405" s="255">
        <v>245.892</v>
      </c>
      <c r="P405" s="68">
        <f t="shared" si="95"/>
        <v>133.1915</v>
      </c>
      <c r="Q405" s="68">
        <f t="shared" si="96"/>
        <v>26.6383</v>
      </c>
      <c r="R405" s="255">
        <f t="shared" si="97"/>
        <v>159.8298</v>
      </c>
      <c r="S405" s="567"/>
      <c r="T405" s="568"/>
    </row>
    <row r="406" spans="1:20" ht="22.5">
      <c r="A406" s="233" t="s">
        <v>15</v>
      </c>
      <c r="B406" s="7"/>
      <c r="C406" s="101" t="s">
        <v>65</v>
      </c>
      <c r="D406" s="247" t="s">
        <v>304</v>
      </c>
      <c r="E406" s="288" t="s">
        <v>99</v>
      </c>
      <c r="F406" s="143" t="s">
        <v>305</v>
      </c>
      <c r="G406" s="289">
        <v>38266</v>
      </c>
      <c r="H406" s="289">
        <v>38306</v>
      </c>
      <c r="I406" s="304" t="s">
        <v>306</v>
      </c>
      <c r="J406" s="144">
        <v>65.42</v>
      </c>
      <c r="K406" s="144">
        <f t="shared" si="98"/>
        <v>13.084000000000001</v>
      </c>
      <c r="L406" s="307">
        <v>78.5</v>
      </c>
      <c r="M406" s="68">
        <v>19.626</v>
      </c>
      <c r="N406" s="68">
        <v>3.9252000000000002</v>
      </c>
      <c r="O406" s="255">
        <v>23.5512</v>
      </c>
      <c r="P406" s="68">
        <f t="shared" si="95"/>
        <v>12.756900000000002</v>
      </c>
      <c r="Q406" s="68">
        <f t="shared" si="96"/>
        <v>2.5513800000000004</v>
      </c>
      <c r="R406" s="255">
        <f t="shared" si="97"/>
        <v>15.308280000000002</v>
      </c>
      <c r="S406" s="567"/>
      <c r="T406" s="568"/>
    </row>
    <row r="407" spans="1:20" ht="22.5">
      <c r="A407" s="233" t="s">
        <v>15</v>
      </c>
      <c r="B407" s="7"/>
      <c r="C407" s="101" t="s">
        <v>65</v>
      </c>
      <c r="D407" s="247" t="s">
        <v>307</v>
      </c>
      <c r="E407" s="288" t="s">
        <v>99</v>
      </c>
      <c r="F407" s="143" t="s">
        <v>308</v>
      </c>
      <c r="G407" s="289">
        <v>38266</v>
      </c>
      <c r="H407" s="289">
        <v>38306</v>
      </c>
      <c r="I407" s="304" t="s">
        <v>306</v>
      </c>
      <c r="J407" s="144">
        <v>69.99</v>
      </c>
      <c r="K407" s="144">
        <v>14.01</v>
      </c>
      <c r="L407" s="307">
        <f>SUM(J407:K407)</f>
        <v>84</v>
      </c>
      <c r="M407" s="68">
        <v>20.996999999999996</v>
      </c>
      <c r="N407" s="68">
        <v>4.1994</v>
      </c>
      <c r="O407" s="255">
        <v>25.196399999999997</v>
      </c>
      <c r="P407" s="68">
        <f t="shared" si="95"/>
        <v>13.648049999999998</v>
      </c>
      <c r="Q407" s="68">
        <f t="shared" si="96"/>
        <v>2.72961</v>
      </c>
      <c r="R407" s="255">
        <f t="shared" si="97"/>
        <v>16.37766</v>
      </c>
      <c r="S407" s="567"/>
      <c r="T407" s="568"/>
    </row>
    <row r="408" spans="1:20" ht="22.5">
      <c r="A408" s="233" t="s">
        <v>15</v>
      </c>
      <c r="B408" s="7"/>
      <c r="C408" s="101" t="s">
        <v>65</v>
      </c>
      <c r="D408" s="247" t="s">
        <v>68</v>
      </c>
      <c r="E408" s="288" t="s">
        <v>69</v>
      </c>
      <c r="F408" s="290">
        <v>604000112817</v>
      </c>
      <c r="G408" s="289">
        <v>38276</v>
      </c>
      <c r="H408" s="289">
        <v>38306</v>
      </c>
      <c r="I408" s="304" t="s">
        <v>70</v>
      </c>
      <c r="J408" s="144">
        <v>899.26</v>
      </c>
      <c r="K408" s="144">
        <f>J408*20%</f>
        <v>179.852</v>
      </c>
      <c r="L408" s="307">
        <v>1079.11</v>
      </c>
      <c r="M408" s="68">
        <v>269.77799999999996</v>
      </c>
      <c r="N408" s="68">
        <v>53.9556</v>
      </c>
      <c r="O408" s="255">
        <v>323.73359999999997</v>
      </c>
      <c r="P408" s="68">
        <f t="shared" si="95"/>
        <v>175.35569999999998</v>
      </c>
      <c r="Q408" s="68">
        <f t="shared" si="96"/>
        <v>35.07114</v>
      </c>
      <c r="R408" s="255">
        <f t="shared" si="97"/>
        <v>210.42684</v>
      </c>
      <c r="S408" s="541" t="s">
        <v>316</v>
      </c>
      <c r="T408" s="541"/>
    </row>
    <row r="409" spans="1:20" ht="22.5">
      <c r="A409" s="233" t="s">
        <v>15</v>
      </c>
      <c r="B409" s="7"/>
      <c r="C409" s="101" t="s">
        <v>65</v>
      </c>
      <c r="D409" s="247" t="s">
        <v>68</v>
      </c>
      <c r="E409" s="288" t="s">
        <v>69</v>
      </c>
      <c r="F409" s="290">
        <v>604000132155</v>
      </c>
      <c r="G409" s="289">
        <v>38336</v>
      </c>
      <c r="H409" s="289">
        <v>38366</v>
      </c>
      <c r="I409" s="304" t="s">
        <v>70</v>
      </c>
      <c r="J409" s="144">
        <v>121.6</v>
      </c>
      <c r="K409" s="144">
        <f t="shared" si="98"/>
        <v>24.32</v>
      </c>
      <c r="L409" s="307">
        <v>145.92</v>
      </c>
      <c r="M409" s="68">
        <v>36.48</v>
      </c>
      <c r="N409" s="68">
        <v>7.295999999999999</v>
      </c>
      <c r="O409" s="255">
        <v>43.775999999999996</v>
      </c>
      <c r="P409" s="68">
        <f t="shared" si="95"/>
        <v>23.712</v>
      </c>
      <c r="Q409" s="68">
        <f t="shared" si="96"/>
        <v>4.7424</v>
      </c>
      <c r="R409" s="255">
        <f t="shared" si="97"/>
        <v>28.4544</v>
      </c>
      <c r="S409" s="541" t="s">
        <v>316</v>
      </c>
      <c r="T409" s="541"/>
    </row>
    <row r="410" spans="1:20" ht="22.5">
      <c r="A410" s="233" t="s">
        <v>15</v>
      </c>
      <c r="B410" s="7"/>
      <c r="C410" s="101" t="s">
        <v>65</v>
      </c>
      <c r="D410" s="247" t="s">
        <v>283</v>
      </c>
      <c r="E410" s="288" t="s">
        <v>284</v>
      </c>
      <c r="F410" s="143">
        <v>142</v>
      </c>
      <c r="G410" s="289">
        <v>38400</v>
      </c>
      <c r="H410" s="289">
        <v>38400</v>
      </c>
      <c r="I410" s="304"/>
      <c r="J410" s="144">
        <v>68</v>
      </c>
      <c r="K410" s="144">
        <f>J410*20%</f>
        <v>13.600000000000001</v>
      </c>
      <c r="L410" s="307">
        <v>81.6</v>
      </c>
      <c r="M410" s="68">
        <v>68</v>
      </c>
      <c r="N410" s="68">
        <v>13.6</v>
      </c>
      <c r="O410" s="255">
        <v>81.6</v>
      </c>
      <c r="P410" s="68">
        <f t="shared" si="95"/>
        <v>44.2</v>
      </c>
      <c r="Q410" s="68">
        <f t="shared" si="96"/>
        <v>8.84</v>
      </c>
      <c r="R410" s="255">
        <f t="shared" si="97"/>
        <v>53.04</v>
      </c>
      <c r="S410" s="541" t="s">
        <v>316</v>
      </c>
      <c r="T410" s="541"/>
    </row>
    <row r="411" spans="1:20" ht="22.5">
      <c r="A411" s="233" t="s">
        <v>15</v>
      </c>
      <c r="B411" s="7"/>
      <c r="C411" s="101" t="s">
        <v>65</v>
      </c>
      <c r="D411" s="247" t="s">
        <v>309</v>
      </c>
      <c r="E411" s="288" t="s">
        <v>310</v>
      </c>
      <c r="F411" s="143"/>
      <c r="G411" s="289"/>
      <c r="H411" s="289">
        <v>38400</v>
      </c>
      <c r="I411" s="304" t="s">
        <v>70</v>
      </c>
      <c r="J411" s="144">
        <v>767.25</v>
      </c>
      <c r="K411" s="144">
        <v>0</v>
      </c>
      <c r="L411" s="307">
        <v>767.25</v>
      </c>
      <c r="M411" s="68">
        <v>767.25</v>
      </c>
      <c r="N411" s="68">
        <v>0</v>
      </c>
      <c r="O411" s="255">
        <v>767.25</v>
      </c>
      <c r="P411" s="68">
        <f t="shared" si="95"/>
        <v>498.71250000000003</v>
      </c>
      <c r="Q411" s="68">
        <f t="shared" si="96"/>
        <v>0</v>
      </c>
      <c r="R411" s="255">
        <f t="shared" si="97"/>
        <v>498.71250000000003</v>
      </c>
      <c r="S411" s="567"/>
      <c r="T411" s="568"/>
    </row>
    <row r="412" spans="1:20" ht="22.5">
      <c r="A412" s="233" t="s">
        <v>15</v>
      </c>
      <c r="B412" s="7"/>
      <c r="C412" s="101" t="s">
        <v>65</v>
      </c>
      <c r="D412" s="247" t="s">
        <v>285</v>
      </c>
      <c r="E412" s="247" t="s">
        <v>286</v>
      </c>
      <c r="F412" s="143">
        <v>75</v>
      </c>
      <c r="G412" s="289">
        <v>38407</v>
      </c>
      <c r="H412" s="289">
        <v>38407</v>
      </c>
      <c r="I412" s="304"/>
      <c r="J412" s="144">
        <v>200</v>
      </c>
      <c r="K412" s="144">
        <f>J412*20%</f>
        <v>40</v>
      </c>
      <c r="L412" s="307">
        <v>240</v>
      </c>
      <c r="M412" s="68"/>
      <c r="N412" s="68"/>
      <c r="O412" s="255"/>
      <c r="P412" s="68">
        <f t="shared" si="95"/>
        <v>0</v>
      </c>
      <c r="Q412" s="68">
        <f t="shared" si="96"/>
        <v>0</v>
      </c>
      <c r="R412" s="255">
        <f t="shared" si="97"/>
        <v>0</v>
      </c>
      <c r="S412" s="545" t="s">
        <v>317</v>
      </c>
      <c r="T412" s="546"/>
    </row>
    <row r="413" spans="1:20" ht="22.5">
      <c r="A413" s="233" t="s">
        <v>15</v>
      </c>
      <c r="B413" s="7"/>
      <c r="C413" s="101" t="s">
        <v>65</v>
      </c>
      <c r="D413" s="300" t="s">
        <v>311</v>
      </c>
      <c r="E413" s="291" t="s">
        <v>312</v>
      </c>
      <c r="F413" s="292"/>
      <c r="G413" s="293"/>
      <c r="H413" s="293">
        <v>38422</v>
      </c>
      <c r="I413" s="305" t="s">
        <v>61</v>
      </c>
      <c r="J413" s="294">
        <v>5500.26</v>
      </c>
      <c r="K413" s="294"/>
      <c r="L413" s="306">
        <v>5500.26</v>
      </c>
      <c r="M413" s="68">
        <v>1650.078</v>
      </c>
      <c r="N413" s="68">
        <v>0</v>
      </c>
      <c r="O413" s="255">
        <v>1650.078</v>
      </c>
      <c r="P413" s="68">
        <f t="shared" si="95"/>
        <v>1072.5507</v>
      </c>
      <c r="Q413" s="68">
        <f t="shared" si="96"/>
        <v>0</v>
      </c>
      <c r="R413" s="255">
        <f t="shared" si="97"/>
        <v>1072.5507</v>
      </c>
      <c r="S413" s="545"/>
      <c r="T413" s="546"/>
    </row>
    <row r="414" spans="1:20" ht="22.5">
      <c r="A414" s="233" t="s">
        <v>15</v>
      </c>
      <c r="B414" s="7"/>
      <c r="C414" s="101" t="s">
        <v>65</v>
      </c>
      <c r="D414" s="298" t="s">
        <v>68</v>
      </c>
      <c r="E414" s="281" t="s">
        <v>69</v>
      </c>
      <c r="F414" s="295">
        <v>605000017128</v>
      </c>
      <c r="G414" s="296">
        <v>38398</v>
      </c>
      <c r="H414" s="283">
        <v>38428</v>
      </c>
      <c r="I414" s="302" t="s">
        <v>70</v>
      </c>
      <c r="J414" s="108">
        <v>90</v>
      </c>
      <c r="K414" s="108">
        <v>18</v>
      </c>
      <c r="L414" s="263">
        <f>SUM(J414:K414)</f>
        <v>108</v>
      </c>
      <c r="M414" s="68">
        <v>27</v>
      </c>
      <c r="N414" s="68">
        <v>5.4</v>
      </c>
      <c r="O414" s="255">
        <v>32.4</v>
      </c>
      <c r="P414" s="68">
        <f t="shared" si="95"/>
        <v>17.55</v>
      </c>
      <c r="Q414" s="68">
        <f t="shared" si="96"/>
        <v>3.5100000000000002</v>
      </c>
      <c r="R414" s="255">
        <f t="shared" si="97"/>
        <v>21.06</v>
      </c>
      <c r="S414" s="541" t="s">
        <v>316</v>
      </c>
      <c r="T414" s="541"/>
    </row>
    <row r="415" spans="1:20" ht="22.5">
      <c r="A415" s="233" t="s">
        <v>15</v>
      </c>
      <c r="B415" s="7"/>
      <c r="C415" s="101" t="s">
        <v>65</v>
      </c>
      <c r="D415" s="298" t="s">
        <v>313</v>
      </c>
      <c r="E415" s="297" t="s">
        <v>314</v>
      </c>
      <c r="F415" s="282">
        <v>429</v>
      </c>
      <c r="G415" s="296">
        <v>38401</v>
      </c>
      <c r="H415" s="283">
        <v>38449</v>
      </c>
      <c r="I415" s="302" t="s">
        <v>82</v>
      </c>
      <c r="J415" s="108">
        <v>513.7</v>
      </c>
      <c r="K415" s="108">
        <v>102.74</v>
      </c>
      <c r="L415" s="263">
        <f>SUM(J415:K415)</f>
        <v>616.44</v>
      </c>
      <c r="M415" s="68">
        <v>513.7</v>
      </c>
      <c r="N415" s="68">
        <v>102.74</v>
      </c>
      <c r="O415" s="255">
        <v>616.44</v>
      </c>
      <c r="P415" s="68">
        <f t="shared" si="95"/>
        <v>333.90500000000003</v>
      </c>
      <c r="Q415" s="68">
        <f t="shared" si="96"/>
        <v>66.781</v>
      </c>
      <c r="R415" s="255">
        <f t="shared" si="97"/>
        <v>400.68600000000004</v>
      </c>
      <c r="S415" s="541" t="s">
        <v>316</v>
      </c>
      <c r="T415" s="541"/>
    </row>
    <row r="416" spans="1:20" ht="22.5">
      <c r="A416" s="233" t="s">
        <v>15</v>
      </c>
      <c r="B416" s="7"/>
      <c r="C416" s="101" t="s">
        <v>65</v>
      </c>
      <c r="D416" s="298" t="s">
        <v>68</v>
      </c>
      <c r="E416" s="281" t="s">
        <v>69</v>
      </c>
      <c r="F416" s="295">
        <v>605000036093</v>
      </c>
      <c r="G416" s="296">
        <v>38456</v>
      </c>
      <c r="H416" s="283">
        <v>38486</v>
      </c>
      <c r="I416" s="302" t="s">
        <v>70</v>
      </c>
      <c r="J416" s="108">
        <v>90</v>
      </c>
      <c r="K416" s="108">
        <v>18</v>
      </c>
      <c r="L416" s="263">
        <f>SUM(J416:K416)</f>
        <v>108</v>
      </c>
      <c r="M416" s="68">
        <v>117</v>
      </c>
      <c r="N416" s="68">
        <v>23.4</v>
      </c>
      <c r="O416" s="255">
        <v>140.4</v>
      </c>
      <c r="P416" s="68">
        <f t="shared" si="95"/>
        <v>76.05</v>
      </c>
      <c r="Q416" s="68">
        <f t="shared" si="96"/>
        <v>15.209999999999999</v>
      </c>
      <c r="R416" s="255">
        <f t="shared" si="97"/>
        <v>91.26</v>
      </c>
      <c r="S416" s="541" t="s">
        <v>316</v>
      </c>
      <c r="T416" s="541"/>
    </row>
    <row r="417" spans="1:20" ht="11.25">
      <c r="A417" s="233" t="s">
        <v>15</v>
      </c>
      <c r="B417" s="7"/>
      <c r="C417" s="101" t="s">
        <v>65</v>
      </c>
      <c r="D417" s="308" t="s">
        <v>318</v>
      </c>
      <c r="E417" s="309" t="s">
        <v>319</v>
      </c>
      <c r="F417" s="309">
        <v>13</v>
      </c>
      <c r="G417" s="310">
        <v>38413</v>
      </c>
      <c r="H417" s="311">
        <v>38426</v>
      </c>
      <c r="I417" s="311" t="s">
        <v>125</v>
      </c>
      <c r="J417" s="115">
        <v>100</v>
      </c>
      <c r="K417" s="115"/>
      <c r="L417" s="317">
        <v>100</v>
      </c>
      <c r="M417" s="68">
        <v>100</v>
      </c>
      <c r="N417" s="68"/>
      <c r="O417" s="316">
        <v>100</v>
      </c>
      <c r="P417" s="68">
        <f t="shared" si="95"/>
        <v>65</v>
      </c>
      <c r="Q417" s="68"/>
      <c r="R417" s="255">
        <f t="shared" si="97"/>
        <v>65</v>
      </c>
      <c r="S417" s="541"/>
      <c r="T417" s="541"/>
    </row>
    <row r="418" spans="1:20" ht="22.5">
      <c r="A418" s="233" t="s">
        <v>15</v>
      </c>
      <c r="B418" s="7"/>
      <c r="C418" s="101" t="s">
        <v>65</v>
      </c>
      <c r="D418" s="313" t="s">
        <v>320</v>
      </c>
      <c r="E418" s="309" t="s">
        <v>289</v>
      </c>
      <c r="F418" s="309">
        <v>733</v>
      </c>
      <c r="G418" s="310">
        <v>38411</v>
      </c>
      <c r="H418" s="311">
        <v>38426</v>
      </c>
      <c r="I418" s="311" t="s">
        <v>125</v>
      </c>
      <c r="J418" s="115">
        <f>3276+1122.13</f>
        <v>4398.13</v>
      </c>
      <c r="K418" s="115">
        <f>327.6+224.42</f>
        <v>552.02</v>
      </c>
      <c r="L418" s="317">
        <f>SUM(J418:K418)</f>
        <v>4950.15</v>
      </c>
      <c r="M418" s="115">
        <f>3276+1122.13</f>
        <v>4398.13</v>
      </c>
      <c r="N418" s="115">
        <f>327.6+224.42</f>
        <v>552.02</v>
      </c>
      <c r="O418" s="317">
        <v>4950.15</v>
      </c>
      <c r="P418" s="68">
        <f aca="true" t="shared" si="99" ref="P418:R420">M418*0.65</f>
        <v>2858.7845</v>
      </c>
      <c r="Q418" s="68">
        <f t="shared" si="99"/>
        <v>358.813</v>
      </c>
      <c r="R418" s="255">
        <f t="shared" si="99"/>
        <v>3217.5975</v>
      </c>
      <c r="S418" s="541"/>
      <c r="T418" s="541"/>
    </row>
    <row r="419" spans="1:20" ht="11.25">
      <c r="A419" s="233" t="s">
        <v>15</v>
      </c>
      <c r="B419" s="7"/>
      <c r="C419" s="101" t="s">
        <v>65</v>
      </c>
      <c r="D419" s="308" t="s">
        <v>288</v>
      </c>
      <c r="E419" s="309" t="s">
        <v>289</v>
      </c>
      <c r="F419" s="309">
        <v>722</v>
      </c>
      <c r="G419" s="310">
        <v>38409</v>
      </c>
      <c r="H419" s="311">
        <v>38409</v>
      </c>
      <c r="I419" s="311"/>
      <c r="J419" s="115">
        <v>143.36</v>
      </c>
      <c r="K419" s="115">
        <v>14.34</v>
      </c>
      <c r="L419" s="317">
        <f>SUM(J419:K419)</f>
        <v>157.70000000000002</v>
      </c>
      <c r="M419" s="312"/>
      <c r="N419" s="312"/>
      <c r="O419" s="316"/>
      <c r="P419" s="68">
        <f t="shared" si="99"/>
        <v>0</v>
      </c>
      <c r="Q419" s="68">
        <f t="shared" si="99"/>
        <v>0</v>
      </c>
      <c r="R419" s="255">
        <f t="shared" si="99"/>
        <v>0</v>
      </c>
      <c r="S419" s="541" t="s">
        <v>324</v>
      </c>
      <c r="T419" s="541"/>
    </row>
    <row r="420" spans="1:20" ht="11.25">
      <c r="A420" s="233" t="s">
        <v>15</v>
      </c>
      <c r="B420" s="7"/>
      <c r="C420" s="101" t="s">
        <v>65</v>
      </c>
      <c r="D420" s="308" t="s">
        <v>321</v>
      </c>
      <c r="E420" s="314" t="s">
        <v>322</v>
      </c>
      <c r="F420" s="314">
        <v>4</v>
      </c>
      <c r="G420" s="310">
        <v>38409</v>
      </c>
      <c r="H420" s="310">
        <v>38425</v>
      </c>
      <c r="I420" s="315" t="s">
        <v>82</v>
      </c>
      <c r="J420" s="115">
        <v>150</v>
      </c>
      <c r="K420" s="115">
        <v>30</v>
      </c>
      <c r="L420" s="317">
        <v>180</v>
      </c>
      <c r="M420" s="312">
        <v>150</v>
      </c>
      <c r="N420" s="312">
        <v>30</v>
      </c>
      <c r="O420" s="316">
        <v>180</v>
      </c>
      <c r="P420" s="68">
        <f t="shared" si="99"/>
        <v>97.5</v>
      </c>
      <c r="Q420" s="68">
        <f t="shared" si="99"/>
        <v>19.5</v>
      </c>
      <c r="R420" s="255">
        <f t="shared" si="99"/>
        <v>117</v>
      </c>
      <c r="S420" s="541"/>
      <c r="T420" s="541"/>
    </row>
    <row r="421" spans="1:20" ht="11.25">
      <c r="A421" s="233" t="s">
        <v>15</v>
      </c>
      <c r="B421" s="7"/>
      <c r="C421" s="101" t="s">
        <v>65</v>
      </c>
      <c r="D421" s="308" t="s">
        <v>323</v>
      </c>
      <c r="E421" s="309" t="s">
        <v>99</v>
      </c>
      <c r="F421" s="309"/>
      <c r="G421" s="310">
        <v>38409</v>
      </c>
      <c r="H421" s="311">
        <v>38409</v>
      </c>
      <c r="I421" s="311"/>
      <c r="J421" s="115">
        <v>10</v>
      </c>
      <c r="K421" s="115"/>
      <c r="L421" s="317">
        <v>10</v>
      </c>
      <c r="M421" s="68"/>
      <c r="N421" s="68"/>
      <c r="O421" s="316"/>
      <c r="P421" s="68">
        <f>M421*0.65</f>
        <v>0</v>
      </c>
      <c r="Q421" s="68"/>
      <c r="R421" s="255">
        <f>O421*0.65</f>
        <v>0</v>
      </c>
      <c r="S421" s="541" t="s">
        <v>317</v>
      </c>
      <c r="T421" s="541"/>
    </row>
    <row r="422" spans="1:20" ht="11.25">
      <c r="A422" s="233" t="s">
        <v>15</v>
      </c>
      <c r="B422" s="7"/>
      <c r="C422" s="101" t="s">
        <v>65</v>
      </c>
      <c r="D422" s="318" t="s">
        <v>287</v>
      </c>
      <c r="E422" s="319"/>
      <c r="F422" s="319"/>
      <c r="G422" s="320"/>
      <c r="H422" s="321">
        <v>38413</v>
      </c>
      <c r="I422" s="321"/>
      <c r="J422" s="115">
        <v>100</v>
      </c>
      <c r="K422" s="115"/>
      <c r="L422" s="317">
        <v>100</v>
      </c>
      <c r="M422" s="68"/>
      <c r="N422" s="68"/>
      <c r="O422" s="316"/>
      <c r="P422" s="68">
        <f>M422*0.65</f>
        <v>0</v>
      </c>
      <c r="Q422" s="68"/>
      <c r="R422" s="255">
        <f>O422*0.65</f>
        <v>0</v>
      </c>
      <c r="S422" s="541" t="s">
        <v>317</v>
      </c>
      <c r="T422" s="541"/>
    </row>
    <row r="423" spans="1:20" ht="22.5">
      <c r="A423" s="233" t="s">
        <v>15</v>
      </c>
      <c r="B423" s="7"/>
      <c r="C423" s="232" t="s">
        <v>256</v>
      </c>
      <c r="D423" s="322" t="s">
        <v>325</v>
      </c>
      <c r="E423" s="288" t="s">
        <v>326</v>
      </c>
      <c r="F423" s="143"/>
      <c r="G423" s="323">
        <v>38323</v>
      </c>
      <c r="H423" s="283"/>
      <c r="I423" s="284" t="s">
        <v>82</v>
      </c>
      <c r="J423" s="144">
        <v>10000</v>
      </c>
      <c r="K423" s="144"/>
      <c r="L423" s="307">
        <v>10000</v>
      </c>
      <c r="M423" s="68">
        <v>10000</v>
      </c>
      <c r="N423" s="68"/>
      <c r="O423" s="317">
        <f>+N423+M423</f>
        <v>10000</v>
      </c>
      <c r="P423" s="68">
        <f>M423*0.65</f>
        <v>6500</v>
      </c>
      <c r="Q423" s="68"/>
      <c r="R423" s="255">
        <f>O423*0.65</f>
        <v>6500</v>
      </c>
      <c r="S423" s="541" t="s">
        <v>44</v>
      </c>
      <c r="T423" s="541"/>
    </row>
    <row r="424" spans="1:20" ht="22.5">
      <c r="A424" s="233" t="s">
        <v>15</v>
      </c>
      <c r="B424" s="7"/>
      <c r="C424" s="232" t="s">
        <v>260</v>
      </c>
      <c r="D424" s="324" t="s">
        <v>327</v>
      </c>
      <c r="E424" s="102" t="s">
        <v>135</v>
      </c>
      <c r="F424" s="102"/>
      <c r="G424" s="325"/>
      <c r="H424" s="104">
        <v>38154</v>
      </c>
      <c r="I424" s="14" t="s">
        <v>125</v>
      </c>
      <c r="J424" s="326">
        <v>212</v>
      </c>
      <c r="K424" s="326">
        <v>0</v>
      </c>
      <c r="L424" s="330">
        <f aca="true" t="shared" si="100" ref="L424:L459">J424+K424</f>
        <v>212</v>
      </c>
      <c r="M424" s="68">
        <v>15.9</v>
      </c>
      <c r="N424" s="68">
        <v>0</v>
      </c>
      <c r="O424" s="255">
        <v>15.9</v>
      </c>
      <c r="P424" s="68">
        <f aca="true" t="shared" si="101" ref="P424:P459">M424*0.65</f>
        <v>10.335</v>
      </c>
      <c r="Q424" s="68"/>
      <c r="R424" s="255">
        <f aca="true" t="shared" si="102" ref="R424:R459">O424*0.65</f>
        <v>10.335</v>
      </c>
      <c r="S424" s="541" t="s">
        <v>44</v>
      </c>
      <c r="T424" s="541"/>
    </row>
    <row r="425" spans="1:20" ht="22.5">
      <c r="A425" s="233" t="s">
        <v>15</v>
      </c>
      <c r="B425" s="7"/>
      <c r="C425" s="232" t="s">
        <v>260</v>
      </c>
      <c r="D425" s="324" t="s">
        <v>328</v>
      </c>
      <c r="E425" s="102" t="s">
        <v>127</v>
      </c>
      <c r="F425" s="247"/>
      <c r="G425" s="325"/>
      <c r="H425" s="104">
        <v>38156</v>
      </c>
      <c r="I425" s="14" t="s">
        <v>125</v>
      </c>
      <c r="J425" s="326">
        <v>900</v>
      </c>
      <c r="K425" s="326">
        <v>0</v>
      </c>
      <c r="L425" s="330">
        <f t="shared" si="100"/>
        <v>900</v>
      </c>
      <c r="M425" s="68">
        <v>135</v>
      </c>
      <c r="N425" s="68">
        <v>0</v>
      </c>
      <c r="O425" s="255">
        <v>135</v>
      </c>
      <c r="P425" s="68">
        <f t="shared" si="101"/>
        <v>87.75</v>
      </c>
      <c r="Q425" s="68"/>
      <c r="R425" s="255">
        <f t="shared" si="102"/>
        <v>87.75</v>
      </c>
      <c r="S425" s="541" t="s">
        <v>44</v>
      </c>
      <c r="T425" s="541"/>
    </row>
    <row r="426" spans="1:20" ht="22.5">
      <c r="A426" s="233" t="s">
        <v>15</v>
      </c>
      <c r="B426" s="7"/>
      <c r="C426" s="232" t="s">
        <v>260</v>
      </c>
      <c r="D426" s="328" t="s">
        <v>138</v>
      </c>
      <c r="E426" s="102"/>
      <c r="F426" s="102"/>
      <c r="G426" s="325"/>
      <c r="H426" s="104">
        <v>38171</v>
      </c>
      <c r="I426" s="304" t="s">
        <v>329</v>
      </c>
      <c r="J426" s="326">
        <v>140.41</v>
      </c>
      <c r="K426" s="326">
        <f>J426*20%</f>
        <v>28.082</v>
      </c>
      <c r="L426" s="330">
        <f t="shared" si="100"/>
        <v>168.492</v>
      </c>
      <c r="M426" s="68"/>
      <c r="N426" s="68"/>
      <c r="O426" s="255"/>
      <c r="P426" s="68">
        <f t="shared" si="101"/>
        <v>0</v>
      </c>
      <c r="Q426" s="68">
        <f>+N426*0.65</f>
        <v>0</v>
      </c>
      <c r="R426" s="255">
        <f t="shared" si="102"/>
        <v>0</v>
      </c>
      <c r="S426" s="541" t="s">
        <v>476</v>
      </c>
      <c r="T426" s="541"/>
    </row>
    <row r="427" spans="1:20" ht="22.5">
      <c r="A427" s="233" t="s">
        <v>15</v>
      </c>
      <c r="B427" s="7"/>
      <c r="C427" s="232" t="s">
        <v>260</v>
      </c>
      <c r="D427" s="328" t="s">
        <v>131</v>
      </c>
      <c r="E427" s="102" t="s">
        <v>99</v>
      </c>
      <c r="F427" s="102"/>
      <c r="G427" s="325"/>
      <c r="H427" s="104">
        <v>38183</v>
      </c>
      <c r="I427" s="304" t="s">
        <v>132</v>
      </c>
      <c r="J427" s="326">
        <v>415.83</v>
      </c>
      <c r="K427" s="326">
        <f>J427*20%</f>
        <v>83.166</v>
      </c>
      <c r="L427" s="330">
        <f t="shared" si="100"/>
        <v>498.996</v>
      </c>
      <c r="M427" s="68">
        <v>20.7915</v>
      </c>
      <c r="N427" s="68">
        <v>4.1583</v>
      </c>
      <c r="O427" s="255">
        <v>24.9498</v>
      </c>
      <c r="P427" s="68">
        <f t="shared" si="101"/>
        <v>13.514475</v>
      </c>
      <c r="Q427" s="68">
        <f>+N427*0.65</f>
        <v>2.702895</v>
      </c>
      <c r="R427" s="255">
        <f t="shared" si="102"/>
        <v>16.21737</v>
      </c>
      <c r="S427" s="541"/>
      <c r="T427" s="541"/>
    </row>
    <row r="428" spans="1:20" ht="22.5">
      <c r="A428" s="233" t="s">
        <v>15</v>
      </c>
      <c r="B428" s="7"/>
      <c r="C428" s="232" t="s">
        <v>260</v>
      </c>
      <c r="D428" s="324" t="s">
        <v>330</v>
      </c>
      <c r="E428" s="102" t="s">
        <v>127</v>
      </c>
      <c r="F428" s="247"/>
      <c r="G428" s="325"/>
      <c r="H428" s="104">
        <v>38183</v>
      </c>
      <c r="I428" s="14" t="s">
        <v>125</v>
      </c>
      <c r="J428" s="326">
        <v>900</v>
      </c>
      <c r="K428" s="326">
        <v>0</v>
      </c>
      <c r="L428" s="330">
        <f t="shared" si="100"/>
        <v>900</v>
      </c>
      <c r="M428" s="68">
        <v>135</v>
      </c>
      <c r="N428" s="68">
        <v>0</v>
      </c>
      <c r="O428" s="255">
        <v>135</v>
      </c>
      <c r="P428" s="68">
        <f t="shared" si="101"/>
        <v>87.75</v>
      </c>
      <c r="Q428" s="68"/>
      <c r="R428" s="255">
        <f t="shared" si="102"/>
        <v>87.75</v>
      </c>
      <c r="S428" s="541" t="s">
        <v>44</v>
      </c>
      <c r="T428" s="541"/>
    </row>
    <row r="429" spans="1:20" ht="22.5">
      <c r="A429" s="233" t="s">
        <v>15</v>
      </c>
      <c r="B429" s="7"/>
      <c r="C429" s="232" t="s">
        <v>260</v>
      </c>
      <c r="D429" s="328" t="s">
        <v>331</v>
      </c>
      <c r="E429" s="102"/>
      <c r="F429" s="102"/>
      <c r="G429" s="325"/>
      <c r="H429" s="104">
        <v>38231</v>
      </c>
      <c r="I429" s="304" t="s">
        <v>329</v>
      </c>
      <c r="J429" s="326">
        <v>464.81</v>
      </c>
      <c r="K429" s="326">
        <f>J429*20%</f>
        <v>92.962</v>
      </c>
      <c r="L429" s="330">
        <f t="shared" si="100"/>
        <v>557.772</v>
      </c>
      <c r="M429" s="68">
        <v>23.2405</v>
      </c>
      <c r="N429" s="68">
        <v>4.6481</v>
      </c>
      <c r="O429" s="255">
        <v>27.8886</v>
      </c>
      <c r="P429" s="68">
        <f t="shared" si="101"/>
        <v>15.106325000000002</v>
      </c>
      <c r="Q429" s="68">
        <f>+N429*0.65</f>
        <v>3.0212650000000005</v>
      </c>
      <c r="R429" s="255">
        <f t="shared" si="102"/>
        <v>18.12759</v>
      </c>
      <c r="S429" s="541" t="s">
        <v>316</v>
      </c>
      <c r="T429" s="541"/>
    </row>
    <row r="430" spans="1:20" ht="22.5">
      <c r="A430" s="233" t="s">
        <v>15</v>
      </c>
      <c r="B430" s="7"/>
      <c r="C430" s="232" t="s">
        <v>260</v>
      </c>
      <c r="D430" s="324" t="s">
        <v>332</v>
      </c>
      <c r="E430" s="102" t="s">
        <v>135</v>
      </c>
      <c r="F430" s="247"/>
      <c r="G430" s="325"/>
      <c r="H430" s="104">
        <v>38232</v>
      </c>
      <c r="I430" s="14" t="s">
        <v>125</v>
      </c>
      <c r="J430" s="326">
        <v>106</v>
      </c>
      <c r="K430" s="326">
        <v>0</v>
      </c>
      <c r="L430" s="330">
        <f t="shared" si="100"/>
        <v>106</v>
      </c>
      <c r="M430" s="68">
        <v>15.9</v>
      </c>
      <c r="N430" s="68">
        <v>0</v>
      </c>
      <c r="O430" s="255">
        <v>15.9</v>
      </c>
      <c r="P430" s="68">
        <f t="shared" si="101"/>
        <v>10.335</v>
      </c>
      <c r="Q430" s="68"/>
      <c r="R430" s="255">
        <f t="shared" si="102"/>
        <v>10.335</v>
      </c>
      <c r="S430" s="541" t="s">
        <v>44</v>
      </c>
      <c r="T430" s="541"/>
    </row>
    <row r="431" spans="1:20" ht="22.5">
      <c r="A431" s="233" t="s">
        <v>15</v>
      </c>
      <c r="B431" s="7"/>
      <c r="C431" s="232" t="s">
        <v>260</v>
      </c>
      <c r="D431" s="324" t="s">
        <v>333</v>
      </c>
      <c r="E431" s="102" t="s">
        <v>127</v>
      </c>
      <c r="F431" s="247"/>
      <c r="G431" s="325"/>
      <c r="H431" s="104">
        <v>38235</v>
      </c>
      <c r="I431" s="14" t="s">
        <v>125</v>
      </c>
      <c r="J431" s="326">
        <v>900</v>
      </c>
      <c r="K431" s="326">
        <v>0</v>
      </c>
      <c r="L431" s="330">
        <f t="shared" si="100"/>
        <v>900</v>
      </c>
      <c r="M431" s="68">
        <v>180</v>
      </c>
      <c r="N431" s="68">
        <v>0</v>
      </c>
      <c r="O431" s="255">
        <v>180</v>
      </c>
      <c r="P431" s="68">
        <f t="shared" si="101"/>
        <v>117</v>
      </c>
      <c r="Q431" s="68"/>
      <c r="R431" s="255">
        <f t="shared" si="102"/>
        <v>117</v>
      </c>
      <c r="S431" s="541" t="s">
        <v>44</v>
      </c>
      <c r="T431" s="541"/>
    </row>
    <row r="432" spans="1:20" ht="22.5">
      <c r="A432" s="233" t="s">
        <v>15</v>
      </c>
      <c r="B432" s="7"/>
      <c r="C432" s="232" t="s">
        <v>260</v>
      </c>
      <c r="D432" s="324" t="s">
        <v>334</v>
      </c>
      <c r="E432" s="102" t="s">
        <v>135</v>
      </c>
      <c r="F432" s="102"/>
      <c r="G432" s="325"/>
      <c r="H432" s="104">
        <v>38235</v>
      </c>
      <c r="I432" s="14" t="s">
        <v>125</v>
      </c>
      <c r="J432" s="326">
        <v>106</v>
      </c>
      <c r="K432" s="326">
        <v>0</v>
      </c>
      <c r="L432" s="330">
        <f t="shared" si="100"/>
        <v>106</v>
      </c>
      <c r="M432" s="68">
        <v>21.2</v>
      </c>
      <c r="N432" s="68">
        <v>0</v>
      </c>
      <c r="O432" s="255">
        <v>21.2</v>
      </c>
      <c r="P432" s="68">
        <f t="shared" si="101"/>
        <v>13.78</v>
      </c>
      <c r="Q432" s="68"/>
      <c r="R432" s="255">
        <f t="shared" si="102"/>
        <v>13.78</v>
      </c>
      <c r="S432" s="541" t="s">
        <v>44</v>
      </c>
      <c r="T432" s="541"/>
    </row>
    <row r="433" spans="1:20" ht="22.5">
      <c r="A433" s="233" t="s">
        <v>15</v>
      </c>
      <c r="B433" s="7"/>
      <c r="C433" s="232" t="s">
        <v>260</v>
      </c>
      <c r="D433" s="328" t="s">
        <v>131</v>
      </c>
      <c r="E433" s="102" t="s">
        <v>99</v>
      </c>
      <c r="F433" s="102"/>
      <c r="G433" s="13"/>
      <c r="H433" s="104">
        <v>38245</v>
      </c>
      <c r="I433" s="304" t="s">
        <v>132</v>
      </c>
      <c r="J433" s="326">
        <v>480</v>
      </c>
      <c r="K433" s="326">
        <f>J433*20%</f>
        <v>96</v>
      </c>
      <c r="L433" s="330">
        <f t="shared" si="100"/>
        <v>576</v>
      </c>
      <c r="M433" s="68">
        <v>96</v>
      </c>
      <c r="N433" s="68">
        <v>19.2</v>
      </c>
      <c r="O433" s="255">
        <v>115.2</v>
      </c>
      <c r="P433" s="68">
        <f t="shared" si="101"/>
        <v>62.400000000000006</v>
      </c>
      <c r="Q433" s="68">
        <f>+N433*0.65</f>
        <v>12.48</v>
      </c>
      <c r="R433" s="255">
        <f t="shared" si="102"/>
        <v>74.88000000000001</v>
      </c>
      <c r="S433" s="541"/>
      <c r="T433" s="541"/>
    </row>
    <row r="434" spans="1:20" ht="22.5">
      <c r="A434" s="233" t="s">
        <v>15</v>
      </c>
      <c r="B434" s="7"/>
      <c r="C434" s="232" t="s">
        <v>260</v>
      </c>
      <c r="D434" s="324" t="s">
        <v>335</v>
      </c>
      <c r="E434" s="102" t="s">
        <v>127</v>
      </c>
      <c r="F434" s="247"/>
      <c r="G434" s="325"/>
      <c r="H434" s="104">
        <v>38265</v>
      </c>
      <c r="I434" s="14" t="s">
        <v>125</v>
      </c>
      <c r="J434" s="326">
        <v>900</v>
      </c>
      <c r="K434" s="326">
        <v>0</v>
      </c>
      <c r="L434" s="330">
        <f t="shared" si="100"/>
        <v>900</v>
      </c>
      <c r="M434" s="68">
        <v>180</v>
      </c>
      <c r="N434" s="68">
        <v>0</v>
      </c>
      <c r="O434" s="255">
        <v>180</v>
      </c>
      <c r="P434" s="68">
        <f t="shared" si="101"/>
        <v>117</v>
      </c>
      <c r="Q434" s="68"/>
      <c r="R434" s="255">
        <f t="shared" si="102"/>
        <v>117</v>
      </c>
      <c r="S434" s="541" t="s">
        <v>44</v>
      </c>
      <c r="T434" s="541"/>
    </row>
    <row r="435" spans="1:20" ht="22.5">
      <c r="A435" s="233" t="s">
        <v>15</v>
      </c>
      <c r="B435" s="7"/>
      <c r="C435" s="232" t="s">
        <v>260</v>
      </c>
      <c r="D435" s="324" t="s">
        <v>336</v>
      </c>
      <c r="E435" s="102" t="s">
        <v>135</v>
      </c>
      <c r="F435" s="102"/>
      <c r="G435" s="325"/>
      <c r="H435" s="104">
        <v>38265</v>
      </c>
      <c r="I435" s="14" t="s">
        <v>125</v>
      </c>
      <c r="J435" s="326">
        <v>106</v>
      </c>
      <c r="K435" s="326">
        <v>0</v>
      </c>
      <c r="L435" s="330">
        <f t="shared" si="100"/>
        <v>106</v>
      </c>
      <c r="M435" s="68">
        <v>21.2</v>
      </c>
      <c r="N435" s="68">
        <v>0</v>
      </c>
      <c r="O435" s="255">
        <v>21.2</v>
      </c>
      <c r="P435" s="68">
        <f t="shared" si="101"/>
        <v>13.78</v>
      </c>
      <c r="Q435" s="68"/>
      <c r="R435" s="255">
        <f t="shared" si="102"/>
        <v>13.78</v>
      </c>
      <c r="S435" s="541" t="s">
        <v>44</v>
      </c>
      <c r="T435" s="541"/>
    </row>
    <row r="436" spans="1:20" ht="22.5">
      <c r="A436" s="233" t="s">
        <v>15</v>
      </c>
      <c r="B436" s="7"/>
      <c r="C436" s="232" t="s">
        <v>260</v>
      </c>
      <c r="D436" s="328" t="s">
        <v>337</v>
      </c>
      <c r="E436" s="102"/>
      <c r="F436" s="247"/>
      <c r="G436" s="325"/>
      <c r="H436" s="104">
        <v>38271</v>
      </c>
      <c r="I436" s="304" t="s">
        <v>132</v>
      </c>
      <c r="J436" s="326">
        <v>54.02</v>
      </c>
      <c r="K436" s="326">
        <f>J436*20%</f>
        <v>10.804000000000002</v>
      </c>
      <c r="L436" s="330">
        <f t="shared" si="100"/>
        <v>64.82400000000001</v>
      </c>
      <c r="M436" s="68">
        <v>10.804000000000002</v>
      </c>
      <c r="N436" s="68">
        <v>2.1608000000000005</v>
      </c>
      <c r="O436" s="255">
        <v>12.964800000000002</v>
      </c>
      <c r="P436" s="68">
        <f t="shared" si="101"/>
        <v>7.0226000000000015</v>
      </c>
      <c r="Q436" s="68">
        <f>+N436*0.65</f>
        <v>1.4045200000000004</v>
      </c>
      <c r="R436" s="255">
        <f t="shared" si="102"/>
        <v>8.427120000000002</v>
      </c>
      <c r="S436" s="541"/>
      <c r="T436" s="541"/>
    </row>
    <row r="437" spans="1:20" ht="22.5">
      <c r="A437" s="233" t="s">
        <v>15</v>
      </c>
      <c r="B437" s="7"/>
      <c r="C437" s="232" t="s">
        <v>260</v>
      </c>
      <c r="D437" s="328" t="s">
        <v>331</v>
      </c>
      <c r="E437" s="102"/>
      <c r="F437" s="102"/>
      <c r="G437" s="325"/>
      <c r="H437" s="104">
        <v>38287</v>
      </c>
      <c r="I437" s="304" t="s">
        <v>329</v>
      </c>
      <c r="J437" s="326">
        <v>464.81</v>
      </c>
      <c r="K437" s="326">
        <f>J437*20%</f>
        <v>92.962</v>
      </c>
      <c r="L437" s="330">
        <f t="shared" si="100"/>
        <v>557.772</v>
      </c>
      <c r="M437" s="68">
        <v>92.962</v>
      </c>
      <c r="N437" s="68">
        <v>18.5924</v>
      </c>
      <c r="O437" s="255">
        <v>111.5544</v>
      </c>
      <c r="P437" s="68">
        <f t="shared" si="101"/>
        <v>60.42530000000001</v>
      </c>
      <c r="Q437" s="68">
        <f>+N437*0.65</f>
        <v>12.085060000000002</v>
      </c>
      <c r="R437" s="255">
        <f t="shared" si="102"/>
        <v>72.51036</v>
      </c>
      <c r="S437" s="541"/>
      <c r="T437" s="541"/>
    </row>
    <row r="438" spans="1:20" ht="22.5">
      <c r="A438" s="233" t="s">
        <v>15</v>
      </c>
      <c r="B438" s="7"/>
      <c r="C438" s="232" t="s">
        <v>260</v>
      </c>
      <c r="D438" s="324" t="s">
        <v>338</v>
      </c>
      <c r="E438" s="102" t="s">
        <v>135</v>
      </c>
      <c r="F438" s="247"/>
      <c r="G438" s="325"/>
      <c r="H438" s="104">
        <v>38296</v>
      </c>
      <c r="I438" s="14" t="s">
        <v>125</v>
      </c>
      <c r="J438" s="326">
        <v>106</v>
      </c>
      <c r="K438" s="326">
        <v>0</v>
      </c>
      <c r="L438" s="330">
        <f t="shared" si="100"/>
        <v>106</v>
      </c>
      <c r="M438" s="68">
        <v>21.2</v>
      </c>
      <c r="N438" s="68">
        <v>0</v>
      </c>
      <c r="O438" s="255">
        <v>21.2</v>
      </c>
      <c r="P438" s="68">
        <f t="shared" si="101"/>
        <v>13.78</v>
      </c>
      <c r="Q438" s="68"/>
      <c r="R438" s="255">
        <f t="shared" si="102"/>
        <v>13.78</v>
      </c>
      <c r="S438" s="541" t="s">
        <v>44</v>
      </c>
      <c r="T438" s="541"/>
    </row>
    <row r="439" spans="1:20" ht="22.5">
      <c r="A439" s="233" t="s">
        <v>15</v>
      </c>
      <c r="B439" s="7"/>
      <c r="C439" s="232" t="s">
        <v>260</v>
      </c>
      <c r="D439" s="324" t="s">
        <v>339</v>
      </c>
      <c r="E439" s="102" t="s">
        <v>127</v>
      </c>
      <c r="F439" s="247"/>
      <c r="G439" s="325"/>
      <c r="H439" s="104">
        <v>38306</v>
      </c>
      <c r="I439" s="14" t="s">
        <v>125</v>
      </c>
      <c r="J439" s="326">
        <v>900</v>
      </c>
      <c r="K439" s="326">
        <v>0</v>
      </c>
      <c r="L439" s="330">
        <f t="shared" si="100"/>
        <v>900</v>
      </c>
      <c r="M439" s="68">
        <v>180</v>
      </c>
      <c r="N439" s="68">
        <v>0</v>
      </c>
      <c r="O439" s="255">
        <v>180</v>
      </c>
      <c r="P439" s="68">
        <f t="shared" si="101"/>
        <v>117</v>
      </c>
      <c r="Q439" s="68"/>
      <c r="R439" s="255">
        <f t="shared" si="102"/>
        <v>117</v>
      </c>
      <c r="S439" s="541" t="s">
        <v>44</v>
      </c>
      <c r="T439" s="541"/>
    </row>
    <row r="440" spans="1:20" ht="22.5">
      <c r="A440" s="233" t="s">
        <v>15</v>
      </c>
      <c r="B440" s="7"/>
      <c r="C440" s="232" t="s">
        <v>260</v>
      </c>
      <c r="D440" s="328" t="s">
        <v>131</v>
      </c>
      <c r="E440" s="102" t="s">
        <v>99</v>
      </c>
      <c r="F440" s="102"/>
      <c r="G440" s="13"/>
      <c r="H440" s="104">
        <v>38306</v>
      </c>
      <c r="I440" s="304" t="s">
        <v>132</v>
      </c>
      <c r="J440" s="326">
        <v>285.42</v>
      </c>
      <c r="K440" s="326">
        <f>J440*20%</f>
        <v>57.084</v>
      </c>
      <c r="L440" s="330">
        <f t="shared" si="100"/>
        <v>342.504</v>
      </c>
      <c r="M440" s="68">
        <v>57.084</v>
      </c>
      <c r="N440" s="68">
        <v>11.416800000000002</v>
      </c>
      <c r="O440" s="255">
        <v>68.5008</v>
      </c>
      <c r="P440" s="68">
        <f t="shared" si="101"/>
        <v>37.104600000000005</v>
      </c>
      <c r="Q440" s="68">
        <f>+N440*0.65</f>
        <v>7.4209200000000015</v>
      </c>
      <c r="R440" s="255">
        <f t="shared" si="102"/>
        <v>44.52552</v>
      </c>
      <c r="S440" s="541"/>
      <c r="T440" s="541"/>
    </row>
    <row r="441" spans="1:20" ht="22.5">
      <c r="A441" s="233" t="s">
        <v>15</v>
      </c>
      <c r="B441" s="7"/>
      <c r="C441" s="232" t="s">
        <v>260</v>
      </c>
      <c r="D441" s="328" t="s">
        <v>138</v>
      </c>
      <c r="E441" s="102"/>
      <c r="F441" s="247"/>
      <c r="G441" s="325"/>
      <c r="H441" s="104">
        <v>38317</v>
      </c>
      <c r="I441" s="304" t="s">
        <v>329</v>
      </c>
      <c r="J441" s="326">
        <v>181.57</v>
      </c>
      <c r="K441" s="326">
        <f>J441*20%</f>
        <v>36.314</v>
      </c>
      <c r="L441" s="330">
        <f t="shared" si="100"/>
        <v>217.884</v>
      </c>
      <c r="M441" s="68"/>
      <c r="N441" s="68"/>
      <c r="O441" s="255"/>
      <c r="P441" s="68">
        <f t="shared" si="101"/>
        <v>0</v>
      </c>
      <c r="Q441" s="68">
        <f>+N441*0.65</f>
        <v>0</v>
      </c>
      <c r="R441" s="255">
        <f t="shared" si="102"/>
        <v>0</v>
      </c>
      <c r="S441" s="541" t="s">
        <v>476</v>
      </c>
      <c r="T441" s="541"/>
    </row>
    <row r="442" spans="1:20" ht="22.5">
      <c r="A442" s="233" t="s">
        <v>15</v>
      </c>
      <c r="B442" s="7"/>
      <c r="C442" s="232" t="s">
        <v>260</v>
      </c>
      <c r="D442" s="324" t="s">
        <v>340</v>
      </c>
      <c r="E442" s="102" t="s">
        <v>127</v>
      </c>
      <c r="F442" s="247"/>
      <c r="G442" s="325"/>
      <c r="H442" s="104">
        <v>38326</v>
      </c>
      <c r="I442" s="14" t="s">
        <v>125</v>
      </c>
      <c r="J442" s="326">
        <v>900</v>
      </c>
      <c r="K442" s="326">
        <v>0</v>
      </c>
      <c r="L442" s="330">
        <f t="shared" si="100"/>
        <v>900</v>
      </c>
      <c r="M442" s="68">
        <v>135</v>
      </c>
      <c r="N442" s="68">
        <v>0</v>
      </c>
      <c r="O442" s="255">
        <v>135</v>
      </c>
      <c r="P442" s="68">
        <f t="shared" si="101"/>
        <v>87.75</v>
      </c>
      <c r="Q442" s="68"/>
      <c r="R442" s="255">
        <f t="shared" si="102"/>
        <v>87.75</v>
      </c>
      <c r="S442" s="541" t="s">
        <v>44</v>
      </c>
      <c r="T442" s="541"/>
    </row>
    <row r="443" spans="1:20" ht="22.5">
      <c r="A443" s="233" t="s">
        <v>15</v>
      </c>
      <c r="B443" s="7"/>
      <c r="C443" s="232" t="s">
        <v>260</v>
      </c>
      <c r="D443" s="324" t="s">
        <v>341</v>
      </c>
      <c r="E443" s="102" t="s">
        <v>135</v>
      </c>
      <c r="F443" s="247"/>
      <c r="G443" s="325"/>
      <c r="H443" s="104">
        <v>38326</v>
      </c>
      <c r="I443" s="14" t="s">
        <v>125</v>
      </c>
      <c r="J443" s="326">
        <v>106</v>
      </c>
      <c r="K443" s="326">
        <v>0</v>
      </c>
      <c r="L443" s="330">
        <f t="shared" si="100"/>
        <v>106</v>
      </c>
      <c r="M443" s="68">
        <v>15.9</v>
      </c>
      <c r="N443" s="68">
        <v>0</v>
      </c>
      <c r="O443" s="255">
        <v>15.9</v>
      </c>
      <c r="P443" s="68">
        <f t="shared" si="101"/>
        <v>10.335</v>
      </c>
      <c r="Q443" s="68"/>
      <c r="R443" s="255">
        <f t="shared" si="102"/>
        <v>10.335</v>
      </c>
      <c r="S443" s="541" t="s">
        <v>44</v>
      </c>
      <c r="T443" s="541"/>
    </row>
    <row r="444" spans="1:20" ht="22.5">
      <c r="A444" s="233" t="s">
        <v>15</v>
      </c>
      <c r="B444" s="7"/>
      <c r="C444" s="232" t="s">
        <v>260</v>
      </c>
      <c r="D444" s="328" t="s">
        <v>337</v>
      </c>
      <c r="E444" s="102"/>
      <c r="F444" s="247"/>
      <c r="G444" s="325"/>
      <c r="H444" s="104">
        <v>38327</v>
      </c>
      <c r="I444" s="304" t="s">
        <v>132</v>
      </c>
      <c r="J444" s="326">
        <v>52.23</v>
      </c>
      <c r="K444" s="326">
        <f>J444*20%</f>
        <v>10.446</v>
      </c>
      <c r="L444" s="330">
        <f t="shared" si="100"/>
        <v>62.675999999999995</v>
      </c>
      <c r="M444" s="68">
        <v>7.834499999999999</v>
      </c>
      <c r="N444" s="68">
        <v>1.5669</v>
      </c>
      <c r="O444" s="255">
        <v>9.401399999999999</v>
      </c>
      <c r="P444" s="68">
        <f t="shared" si="101"/>
        <v>5.0924249999999995</v>
      </c>
      <c r="Q444" s="68">
        <f>+N444*0.65</f>
        <v>1.018485</v>
      </c>
      <c r="R444" s="255">
        <f t="shared" si="102"/>
        <v>6.11091</v>
      </c>
      <c r="S444" s="541"/>
      <c r="T444" s="541"/>
    </row>
    <row r="445" spans="1:20" ht="22.5">
      <c r="A445" s="233" t="s">
        <v>15</v>
      </c>
      <c r="B445" s="7"/>
      <c r="C445" s="232" t="s">
        <v>260</v>
      </c>
      <c r="D445" s="328" t="s">
        <v>331</v>
      </c>
      <c r="E445" s="102"/>
      <c r="F445" s="102"/>
      <c r="G445" s="325"/>
      <c r="H445" s="104">
        <v>38349</v>
      </c>
      <c r="I445" s="304" t="s">
        <v>329</v>
      </c>
      <c r="J445" s="326">
        <v>464.81</v>
      </c>
      <c r="K445" s="326">
        <f>J445*20%</f>
        <v>92.962</v>
      </c>
      <c r="L445" s="330">
        <f t="shared" si="100"/>
        <v>557.772</v>
      </c>
      <c r="M445" s="68">
        <v>69.72149999999999</v>
      </c>
      <c r="N445" s="68">
        <v>13.944299999999998</v>
      </c>
      <c r="O445" s="255">
        <v>83.66579999999999</v>
      </c>
      <c r="P445" s="68">
        <f t="shared" si="101"/>
        <v>45.318974999999995</v>
      </c>
      <c r="Q445" s="68">
        <f>+N445*0.65</f>
        <v>9.063794999999999</v>
      </c>
      <c r="R445" s="255">
        <f t="shared" si="102"/>
        <v>54.382769999999994</v>
      </c>
      <c r="S445" s="541"/>
      <c r="T445" s="541"/>
    </row>
    <row r="446" spans="1:20" ht="22.5">
      <c r="A446" s="233" t="s">
        <v>15</v>
      </c>
      <c r="B446" s="7"/>
      <c r="C446" s="232" t="s">
        <v>260</v>
      </c>
      <c r="D446" s="324" t="s">
        <v>342</v>
      </c>
      <c r="E446" s="102" t="s">
        <v>127</v>
      </c>
      <c r="F446" s="102"/>
      <c r="G446" s="325"/>
      <c r="H446" s="104">
        <v>38357</v>
      </c>
      <c r="I446" s="14" t="s">
        <v>125</v>
      </c>
      <c r="J446" s="326">
        <v>900</v>
      </c>
      <c r="K446" s="326">
        <v>0</v>
      </c>
      <c r="L446" s="330">
        <f t="shared" si="100"/>
        <v>900</v>
      </c>
      <c r="M446" s="68">
        <v>180</v>
      </c>
      <c r="N446" s="68">
        <v>0</v>
      </c>
      <c r="O446" s="255">
        <v>180</v>
      </c>
      <c r="P446" s="68">
        <f t="shared" si="101"/>
        <v>117</v>
      </c>
      <c r="Q446" s="68"/>
      <c r="R446" s="255">
        <f t="shared" si="102"/>
        <v>117</v>
      </c>
      <c r="S446" s="541" t="s">
        <v>44</v>
      </c>
      <c r="T446" s="541"/>
    </row>
    <row r="447" spans="1:20" ht="22.5">
      <c r="A447" s="233" t="s">
        <v>15</v>
      </c>
      <c r="B447" s="7"/>
      <c r="C447" s="232" t="s">
        <v>260</v>
      </c>
      <c r="D447" s="14" t="s">
        <v>343</v>
      </c>
      <c r="E447" s="102" t="s">
        <v>135</v>
      </c>
      <c r="F447" s="247"/>
      <c r="G447" s="325"/>
      <c r="H447" s="104">
        <v>38357</v>
      </c>
      <c r="I447" s="14" t="s">
        <v>125</v>
      </c>
      <c r="J447" s="326">
        <v>106</v>
      </c>
      <c r="K447" s="326">
        <v>0</v>
      </c>
      <c r="L447" s="330">
        <f t="shared" si="100"/>
        <v>106</v>
      </c>
      <c r="M447" s="68">
        <v>21.2</v>
      </c>
      <c r="N447" s="68">
        <v>0</v>
      </c>
      <c r="O447" s="255">
        <v>21.2</v>
      </c>
      <c r="P447" s="68">
        <f t="shared" si="101"/>
        <v>13.78</v>
      </c>
      <c r="Q447" s="68"/>
      <c r="R447" s="255">
        <f t="shared" si="102"/>
        <v>13.78</v>
      </c>
      <c r="S447" s="541" t="s">
        <v>44</v>
      </c>
      <c r="T447" s="541"/>
    </row>
    <row r="448" spans="1:20" ht="22.5">
      <c r="A448" s="233" t="s">
        <v>15</v>
      </c>
      <c r="B448" s="7"/>
      <c r="C448" s="232" t="s">
        <v>260</v>
      </c>
      <c r="D448" s="102" t="s">
        <v>131</v>
      </c>
      <c r="E448" s="102" t="s">
        <v>99</v>
      </c>
      <c r="F448" s="102"/>
      <c r="G448" s="13"/>
      <c r="H448" s="104">
        <v>38369</v>
      </c>
      <c r="I448" s="304" t="s">
        <v>132</v>
      </c>
      <c r="J448" s="326">
        <v>410</v>
      </c>
      <c r="K448" s="326">
        <f>J448*20%</f>
        <v>82</v>
      </c>
      <c r="L448" s="330">
        <f t="shared" si="100"/>
        <v>492</v>
      </c>
      <c r="M448" s="68">
        <v>82</v>
      </c>
      <c r="N448" s="68">
        <v>16.4</v>
      </c>
      <c r="O448" s="255">
        <v>98.4</v>
      </c>
      <c r="P448" s="68">
        <f t="shared" si="101"/>
        <v>53.300000000000004</v>
      </c>
      <c r="Q448" s="68">
        <f>+N448*0.65</f>
        <v>10.66</v>
      </c>
      <c r="R448" s="255">
        <f t="shared" si="102"/>
        <v>63.96000000000001</v>
      </c>
      <c r="S448" s="541" t="s">
        <v>44</v>
      </c>
      <c r="T448" s="541"/>
    </row>
    <row r="449" spans="1:20" ht="22.5">
      <c r="A449" s="233" t="s">
        <v>15</v>
      </c>
      <c r="B449" s="7"/>
      <c r="C449" s="232" t="s">
        <v>260</v>
      </c>
      <c r="D449" s="14" t="s">
        <v>344</v>
      </c>
      <c r="E449" s="102" t="s">
        <v>127</v>
      </c>
      <c r="F449" s="102"/>
      <c r="G449" s="329"/>
      <c r="H449" s="104">
        <v>38388</v>
      </c>
      <c r="I449" s="14" t="s">
        <v>125</v>
      </c>
      <c r="J449" s="326">
        <v>900</v>
      </c>
      <c r="K449" s="326">
        <v>0</v>
      </c>
      <c r="L449" s="330">
        <f t="shared" si="100"/>
        <v>900</v>
      </c>
      <c r="M449" s="68">
        <v>180</v>
      </c>
      <c r="N449" s="68">
        <v>0</v>
      </c>
      <c r="O449" s="255">
        <v>180</v>
      </c>
      <c r="P449" s="68">
        <f t="shared" si="101"/>
        <v>117</v>
      </c>
      <c r="Q449" s="68"/>
      <c r="R449" s="255">
        <f t="shared" si="102"/>
        <v>117</v>
      </c>
      <c r="S449" s="541" t="s">
        <v>44</v>
      </c>
      <c r="T449" s="541"/>
    </row>
    <row r="450" spans="1:20" ht="22.5">
      <c r="A450" s="233" t="s">
        <v>15</v>
      </c>
      <c r="B450" s="7"/>
      <c r="C450" s="232" t="s">
        <v>260</v>
      </c>
      <c r="D450" s="14" t="s">
        <v>345</v>
      </c>
      <c r="E450" s="102" t="s">
        <v>135</v>
      </c>
      <c r="F450" s="102"/>
      <c r="G450" s="325"/>
      <c r="H450" s="104">
        <v>38388</v>
      </c>
      <c r="I450" s="14" t="s">
        <v>125</v>
      </c>
      <c r="J450" s="326">
        <v>106</v>
      </c>
      <c r="K450" s="326">
        <v>0</v>
      </c>
      <c r="L450" s="330">
        <f t="shared" si="100"/>
        <v>106</v>
      </c>
      <c r="M450" s="68">
        <v>21.2</v>
      </c>
      <c r="N450" s="68">
        <v>0</v>
      </c>
      <c r="O450" s="255">
        <v>21.2</v>
      </c>
      <c r="P450" s="68">
        <f t="shared" si="101"/>
        <v>13.78</v>
      </c>
      <c r="Q450" s="68"/>
      <c r="R450" s="255">
        <f t="shared" si="102"/>
        <v>13.78</v>
      </c>
      <c r="S450" s="541" t="s">
        <v>44</v>
      </c>
      <c r="T450" s="541"/>
    </row>
    <row r="451" spans="1:20" ht="22.5">
      <c r="A451" s="233" t="s">
        <v>15</v>
      </c>
      <c r="B451" s="7"/>
      <c r="C451" s="232" t="s">
        <v>260</v>
      </c>
      <c r="D451" s="102" t="s">
        <v>337</v>
      </c>
      <c r="E451" s="102"/>
      <c r="F451" s="102"/>
      <c r="G451" s="325"/>
      <c r="H451" s="104">
        <v>38392</v>
      </c>
      <c r="I451" s="304" t="s">
        <v>132</v>
      </c>
      <c r="J451" s="326">
        <v>57.38</v>
      </c>
      <c r="K451" s="326">
        <f>J451*20%</f>
        <v>11.476</v>
      </c>
      <c r="L451" s="330">
        <f t="shared" si="100"/>
        <v>68.85600000000001</v>
      </c>
      <c r="M451" s="68">
        <v>11.476</v>
      </c>
      <c r="N451" s="68">
        <v>2.2952000000000004</v>
      </c>
      <c r="O451" s="255">
        <v>13.7712</v>
      </c>
      <c r="P451" s="68">
        <f t="shared" si="101"/>
        <v>7.4594000000000005</v>
      </c>
      <c r="Q451" s="68">
        <f>+N451*0.65</f>
        <v>1.4918800000000003</v>
      </c>
      <c r="R451" s="255">
        <f t="shared" si="102"/>
        <v>8.95128</v>
      </c>
      <c r="S451" s="541" t="s">
        <v>44</v>
      </c>
      <c r="T451" s="541"/>
    </row>
    <row r="452" spans="1:20" ht="22.5">
      <c r="A452" s="233" t="s">
        <v>15</v>
      </c>
      <c r="B452" s="7"/>
      <c r="C452" s="232" t="s">
        <v>260</v>
      </c>
      <c r="D452" s="14" t="s">
        <v>346</v>
      </c>
      <c r="E452" s="102" t="s">
        <v>135</v>
      </c>
      <c r="F452" s="247"/>
      <c r="G452" s="325"/>
      <c r="H452" s="104">
        <v>38416</v>
      </c>
      <c r="I452" s="14" t="s">
        <v>125</v>
      </c>
      <c r="J452" s="326">
        <v>106</v>
      </c>
      <c r="K452" s="326">
        <v>0</v>
      </c>
      <c r="L452" s="330">
        <f t="shared" si="100"/>
        <v>106</v>
      </c>
      <c r="M452" s="68">
        <v>21.2</v>
      </c>
      <c r="N452" s="68">
        <v>0</v>
      </c>
      <c r="O452" s="255">
        <v>21.2</v>
      </c>
      <c r="P452" s="68">
        <f t="shared" si="101"/>
        <v>13.78</v>
      </c>
      <c r="Q452" s="68"/>
      <c r="R452" s="255">
        <f t="shared" si="102"/>
        <v>13.78</v>
      </c>
      <c r="S452" s="541" t="s">
        <v>44</v>
      </c>
      <c r="T452" s="541"/>
    </row>
    <row r="453" spans="1:20" ht="22.5">
      <c r="A453" s="233" t="s">
        <v>15</v>
      </c>
      <c r="B453" s="7"/>
      <c r="C453" s="232" t="s">
        <v>260</v>
      </c>
      <c r="D453" s="14" t="s">
        <v>347</v>
      </c>
      <c r="E453" s="102" t="s">
        <v>127</v>
      </c>
      <c r="F453" s="102"/>
      <c r="G453" s="325"/>
      <c r="H453" s="104">
        <v>38416</v>
      </c>
      <c r="I453" s="14" t="s">
        <v>125</v>
      </c>
      <c r="J453" s="326">
        <v>900</v>
      </c>
      <c r="K453" s="326">
        <v>0</v>
      </c>
      <c r="L453" s="330">
        <f t="shared" si="100"/>
        <v>900</v>
      </c>
      <c r="M453" s="68">
        <v>180</v>
      </c>
      <c r="N453" s="68">
        <v>0</v>
      </c>
      <c r="O453" s="255">
        <v>180</v>
      </c>
      <c r="P453" s="68">
        <f t="shared" si="101"/>
        <v>117</v>
      </c>
      <c r="Q453" s="68"/>
      <c r="R453" s="255">
        <f t="shared" si="102"/>
        <v>117</v>
      </c>
      <c r="S453" s="541" t="s">
        <v>44</v>
      </c>
      <c r="T453" s="541"/>
    </row>
    <row r="454" spans="1:20" ht="22.5">
      <c r="A454" s="233" t="s">
        <v>15</v>
      </c>
      <c r="B454" s="7"/>
      <c r="C454" s="232" t="s">
        <v>260</v>
      </c>
      <c r="D454" s="102" t="s">
        <v>131</v>
      </c>
      <c r="E454" s="102" t="s">
        <v>99</v>
      </c>
      <c r="F454" s="102"/>
      <c r="G454" s="13"/>
      <c r="H454" s="104">
        <v>38426</v>
      </c>
      <c r="I454" s="304" t="s">
        <v>132</v>
      </c>
      <c r="J454" s="326">
        <v>579.58</v>
      </c>
      <c r="K454" s="326">
        <f>J454*20%</f>
        <v>115.91600000000001</v>
      </c>
      <c r="L454" s="330">
        <f t="shared" si="100"/>
        <v>695.4960000000001</v>
      </c>
      <c r="M454" s="68">
        <v>115.91600000000001</v>
      </c>
      <c r="N454" s="68">
        <v>23.18</v>
      </c>
      <c r="O454" s="255">
        <f>+N454+M454</f>
        <v>139.096</v>
      </c>
      <c r="P454" s="68">
        <f t="shared" si="101"/>
        <v>75.34540000000001</v>
      </c>
      <c r="Q454" s="68">
        <f>+N454*0.65</f>
        <v>15.067</v>
      </c>
      <c r="R454" s="255">
        <f t="shared" si="102"/>
        <v>90.4124</v>
      </c>
      <c r="S454" s="541" t="s">
        <v>44</v>
      </c>
      <c r="T454" s="541"/>
    </row>
    <row r="455" spans="1:20" ht="22.5">
      <c r="A455" s="233" t="s">
        <v>15</v>
      </c>
      <c r="B455" s="7"/>
      <c r="C455" s="232" t="s">
        <v>260</v>
      </c>
      <c r="D455" s="14" t="s">
        <v>348</v>
      </c>
      <c r="E455" s="102" t="s">
        <v>127</v>
      </c>
      <c r="F455" s="102"/>
      <c r="G455" s="325"/>
      <c r="H455" s="104">
        <v>38443</v>
      </c>
      <c r="I455" s="14" t="s">
        <v>125</v>
      </c>
      <c r="J455" s="326">
        <v>900</v>
      </c>
      <c r="K455" s="326">
        <v>0</v>
      </c>
      <c r="L455" s="330">
        <f t="shared" si="100"/>
        <v>900</v>
      </c>
      <c r="M455" s="68">
        <v>180</v>
      </c>
      <c r="N455" s="68">
        <v>0</v>
      </c>
      <c r="O455" s="255">
        <v>180</v>
      </c>
      <c r="P455" s="68">
        <f t="shared" si="101"/>
        <v>117</v>
      </c>
      <c r="Q455" s="68"/>
      <c r="R455" s="255">
        <f t="shared" si="102"/>
        <v>117</v>
      </c>
      <c r="S455" s="541" t="s">
        <v>44</v>
      </c>
      <c r="T455" s="541"/>
    </row>
    <row r="456" spans="1:20" ht="22.5">
      <c r="A456" s="233" t="s">
        <v>15</v>
      </c>
      <c r="B456" s="7"/>
      <c r="C456" s="232" t="s">
        <v>260</v>
      </c>
      <c r="D456" s="14" t="s">
        <v>349</v>
      </c>
      <c r="E456" s="102" t="s">
        <v>135</v>
      </c>
      <c r="F456" s="247"/>
      <c r="G456" s="325"/>
      <c r="H456" s="104">
        <v>38443</v>
      </c>
      <c r="I456" s="14" t="s">
        <v>125</v>
      </c>
      <c r="J456" s="326">
        <v>106</v>
      </c>
      <c r="K456" s="326">
        <v>0</v>
      </c>
      <c r="L456" s="330">
        <f t="shared" si="100"/>
        <v>106</v>
      </c>
      <c r="M456" s="68">
        <v>21.2</v>
      </c>
      <c r="N456" s="68">
        <v>0</v>
      </c>
      <c r="O456" s="255">
        <v>21.2</v>
      </c>
      <c r="P456" s="68">
        <f t="shared" si="101"/>
        <v>13.78</v>
      </c>
      <c r="Q456" s="68"/>
      <c r="R456" s="255">
        <f t="shared" si="102"/>
        <v>13.78</v>
      </c>
      <c r="S456" s="541" t="s">
        <v>44</v>
      </c>
      <c r="T456" s="541"/>
    </row>
    <row r="457" spans="1:20" ht="22.5">
      <c r="A457" s="233" t="s">
        <v>15</v>
      </c>
      <c r="B457" s="7"/>
      <c r="C457" s="232" t="s">
        <v>260</v>
      </c>
      <c r="D457" s="14" t="s">
        <v>350</v>
      </c>
      <c r="E457" s="102" t="s">
        <v>135</v>
      </c>
      <c r="F457" s="247"/>
      <c r="G457" s="329"/>
      <c r="H457" s="104">
        <v>38474</v>
      </c>
      <c r="I457" s="14" t="s">
        <v>125</v>
      </c>
      <c r="J457" s="326">
        <v>106</v>
      </c>
      <c r="K457" s="326">
        <v>0</v>
      </c>
      <c r="L457" s="330">
        <f t="shared" si="100"/>
        <v>106</v>
      </c>
      <c r="M457" s="68">
        <v>21.2</v>
      </c>
      <c r="N457" s="68">
        <v>0</v>
      </c>
      <c r="O457" s="255">
        <v>21.2</v>
      </c>
      <c r="P457" s="68">
        <f t="shared" si="101"/>
        <v>13.78</v>
      </c>
      <c r="Q457" s="68"/>
      <c r="R457" s="255">
        <f t="shared" si="102"/>
        <v>13.78</v>
      </c>
      <c r="S457" s="541" t="s">
        <v>44</v>
      </c>
      <c r="T457" s="541"/>
    </row>
    <row r="458" spans="1:20" ht="22.5">
      <c r="A458" s="233" t="s">
        <v>15</v>
      </c>
      <c r="B458" s="7"/>
      <c r="C458" s="232" t="s">
        <v>260</v>
      </c>
      <c r="D458" s="14" t="s">
        <v>351</v>
      </c>
      <c r="E458" s="102" t="s">
        <v>127</v>
      </c>
      <c r="F458" s="102"/>
      <c r="G458" s="325"/>
      <c r="H458" s="104">
        <v>38475</v>
      </c>
      <c r="I458" s="14" t="s">
        <v>125</v>
      </c>
      <c r="J458" s="326">
        <v>900</v>
      </c>
      <c r="K458" s="326">
        <v>0</v>
      </c>
      <c r="L458" s="330">
        <f t="shared" si="100"/>
        <v>900</v>
      </c>
      <c r="M458" s="68">
        <v>180</v>
      </c>
      <c r="N458" s="68">
        <v>0</v>
      </c>
      <c r="O458" s="255">
        <v>180</v>
      </c>
      <c r="P458" s="68">
        <f t="shared" si="101"/>
        <v>117</v>
      </c>
      <c r="Q458" s="68"/>
      <c r="R458" s="255">
        <f t="shared" si="102"/>
        <v>117</v>
      </c>
      <c r="S458" s="541" t="s">
        <v>44</v>
      </c>
      <c r="T458" s="541"/>
    </row>
    <row r="459" spans="1:20" ht="22.5">
      <c r="A459" s="233" t="s">
        <v>15</v>
      </c>
      <c r="B459" s="7"/>
      <c r="C459" s="232" t="s">
        <v>260</v>
      </c>
      <c r="D459" s="14" t="s">
        <v>352</v>
      </c>
      <c r="E459" s="102" t="s">
        <v>127</v>
      </c>
      <c r="F459" s="102"/>
      <c r="G459" s="325"/>
      <c r="H459" s="104">
        <v>38477</v>
      </c>
      <c r="I459" s="14" t="s">
        <v>125</v>
      </c>
      <c r="J459" s="326">
        <v>12.83</v>
      </c>
      <c r="K459" s="326">
        <v>0</v>
      </c>
      <c r="L459" s="330">
        <f t="shared" si="100"/>
        <v>12.83</v>
      </c>
      <c r="M459" s="68">
        <v>2.5660000000000003</v>
      </c>
      <c r="N459" s="68">
        <v>0</v>
      </c>
      <c r="O459" s="255">
        <v>2.5660000000000003</v>
      </c>
      <c r="P459" s="68">
        <f t="shared" si="101"/>
        <v>1.6679000000000002</v>
      </c>
      <c r="Q459" s="68">
        <f>+N459*0.65</f>
        <v>0</v>
      </c>
      <c r="R459" s="255">
        <f t="shared" si="102"/>
        <v>1.6679000000000002</v>
      </c>
      <c r="S459" s="541" t="s">
        <v>44</v>
      </c>
      <c r="T459" s="541"/>
    </row>
    <row r="460" spans="1:20" ht="22.5">
      <c r="A460" s="233" t="s">
        <v>15</v>
      </c>
      <c r="B460" s="7"/>
      <c r="C460" s="232" t="s">
        <v>261</v>
      </c>
      <c r="D460" s="102" t="s">
        <v>353</v>
      </c>
      <c r="E460" s="102" t="s">
        <v>86</v>
      </c>
      <c r="F460" s="102" t="s">
        <v>354</v>
      </c>
      <c r="G460" s="104">
        <v>38139</v>
      </c>
      <c r="H460" s="104">
        <v>38139</v>
      </c>
      <c r="I460" s="331" t="s">
        <v>88</v>
      </c>
      <c r="J460" s="347">
        <v>516.34</v>
      </c>
      <c r="K460" s="348">
        <v>0</v>
      </c>
      <c r="L460" s="356">
        <f>SUM(J460:K460)</f>
        <v>516.34</v>
      </c>
      <c r="M460" s="68">
        <v>77.45100000000001</v>
      </c>
      <c r="N460" s="68">
        <v>0</v>
      </c>
      <c r="O460" s="255">
        <v>77.45100000000001</v>
      </c>
      <c r="P460" s="68">
        <f aca="true" t="shared" si="103" ref="P460:P483">M460*0.65</f>
        <v>50.34315000000001</v>
      </c>
      <c r="Q460" s="68">
        <f aca="true" t="shared" si="104" ref="Q460:Q483">+N460*0.65</f>
        <v>0</v>
      </c>
      <c r="R460" s="255">
        <f aca="true" t="shared" si="105" ref="R460:R483">O460*0.65</f>
        <v>50.34315000000001</v>
      </c>
      <c r="S460" s="541" t="s">
        <v>316</v>
      </c>
      <c r="T460" s="541"/>
    </row>
    <row r="461" spans="1:20" ht="22.5">
      <c r="A461" s="233" t="s">
        <v>15</v>
      </c>
      <c r="B461" s="7"/>
      <c r="C461" s="232" t="s">
        <v>261</v>
      </c>
      <c r="D461" s="102" t="s">
        <v>120</v>
      </c>
      <c r="E461" s="102" t="s">
        <v>73</v>
      </c>
      <c r="F461" s="102" t="s">
        <v>355</v>
      </c>
      <c r="G461" s="104">
        <v>38154</v>
      </c>
      <c r="H461" s="104">
        <v>38144</v>
      </c>
      <c r="I461" s="332" t="s">
        <v>70</v>
      </c>
      <c r="J461" s="347">
        <v>50.94</v>
      </c>
      <c r="K461" s="348">
        <f aca="true" t="shared" si="106" ref="K461:K483">J461*20%</f>
        <v>10.188</v>
      </c>
      <c r="L461" s="356">
        <f aca="true" t="shared" si="107" ref="L461:L480">SUM(J461:K461)</f>
        <v>61.128</v>
      </c>
      <c r="M461" s="68">
        <v>7.640999999999999</v>
      </c>
      <c r="N461" s="68">
        <v>1.5282</v>
      </c>
      <c r="O461" s="255">
        <v>9.1692</v>
      </c>
      <c r="P461" s="68">
        <f t="shared" si="103"/>
        <v>4.96665</v>
      </c>
      <c r="Q461" s="68">
        <f t="shared" si="104"/>
        <v>0.99333</v>
      </c>
      <c r="R461" s="255">
        <f t="shared" si="105"/>
        <v>5.95998</v>
      </c>
      <c r="S461" s="541" t="s">
        <v>316</v>
      </c>
      <c r="T461" s="541"/>
    </row>
    <row r="462" spans="1:20" ht="22.5">
      <c r="A462" s="233" t="s">
        <v>15</v>
      </c>
      <c r="B462" s="7"/>
      <c r="C462" s="232" t="s">
        <v>261</v>
      </c>
      <c r="D462" s="102" t="s">
        <v>356</v>
      </c>
      <c r="E462" s="102" t="s">
        <v>86</v>
      </c>
      <c r="F462" s="102" t="s">
        <v>357</v>
      </c>
      <c r="G462" s="104">
        <v>38169</v>
      </c>
      <c r="H462" s="104">
        <v>38169</v>
      </c>
      <c r="I462" s="331" t="s">
        <v>88</v>
      </c>
      <c r="J462" s="347">
        <v>516.34</v>
      </c>
      <c r="K462" s="348">
        <v>0</v>
      </c>
      <c r="L462" s="356">
        <f t="shared" si="107"/>
        <v>516.34</v>
      </c>
      <c r="M462" s="68">
        <v>77.45100000000001</v>
      </c>
      <c r="N462" s="68">
        <v>0</v>
      </c>
      <c r="O462" s="255">
        <v>77.45100000000001</v>
      </c>
      <c r="P462" s="68">
        <f t="shared" si="103"/>
        <v>50.34315000000001</v>
      </c>
      <c r="Q462" s="68">
        <f t="shared" si="104"/>
        <v>0</v>
      </c>
      <c r="R462" s="255">
        <f t="shared" si="105"/>
        <v>50.34315000000001</v>
      </c>
      <c r="S462" s="541" t="s">
        <v>316</v>
      </c>
      <c r="T462" s="541"/>
    </row>
    <row r="463" spans="1:20" ht="22.5">
      <c r="A463" s="233" t="s">
        <v>15</v>
      </c>
      <c r="B463" s="7"/>
      <c r="C463" s="232" t="s">
        <v>261</v>
      </c>
      <c r="D463" s="102" t="s">
        <v>358</v>
      </c>
      <c r="E463" s="102" t="s">
        <v>99</v>
      </c>
      <c r="F463" s="102" t="s">
        <v>359</v>
      </c>
      <c r="G463" s="333">
        <v>38145</v>
      </c>
      <c r="H463" s="104">
        <v>38183</v>
      </c>
      <c r="I463" s="332" t="s">
        <v>70</v>
      </c>
      <c r="J463" s="349">
        <v>539.55</v>
      </c>
      <c r="K463" s="348">
        <f>J463*20%</f>
        <v>107.91</v>
      </c>
      <c r="L463" s="356">
        <f>SUM(J463:K463)</f>
        <v>647.4599999999999</v>
      </c>
      <c r="M463" s="68">
        <v>80.9325</v>
      </c>
      <c r="N463" s="68">
        <v>16.1865</v>
      </c>
      <c r="O463" s="255">
        <v>97.11899999999999</v>
      </c>
      <c r="P463" s="68">
        <f t="shared" si="103"/>
        <v>52.606125000000006</v>
      </c>
      <c r="Q463" s="68">
        <f t="shared" si="104"/>
        <v>10.521225</v>
      </c>
      <c r="R463" s="255">
        <f t="shared" si="105"/>
        <v>63.12734999999999</v>
      </c>
      <c r="S463" s="541" t="s">
        <v>316</v>
      </c>
      <c r="T463" s="541"/>
    </row>
    <row r="464" spans="1:20" ht="22.5">
      <c r="A464" s="233" t="s">
        <v>15</v>
      </c>
      <c r="B464" s="7"/>
      <c r="C464" s="232" t="s">
        <v>261</v>
      </c>
      <c r="D464" s="102" t="s">
        <v>360</v>
      </c>
      <c r="E464" s="102" t="s">
        <v>106</v>
      </c>
      <c r="F464" s="102" t="s">
        <v>361</v>
      </c>
      <c r="G464" s="104">
        <v>38231</v>
      </c>
      <c r="H464" s="104">
        <v>38231</v>
      </c>
      <c r="I464" s="332" t="s">
        <v>88</v>
      </c>
      <c r="J464" s="347">
        <v>516.34</v>
      </c>
      <c r="K464" s="348">
        <v>0</v>
      </c>
      <c r="L464" s="356">
        <f t="shared" si="107"/>
        <v>516.34</v>
      </c>
      <c r="M464" s="68">
        <v>103.26800000000001</v>
      </c>
      <c r="N464" s="68">
        <v>0</v>
      </c>
      <c r="O464" s="255">
        <v>103.26800000000001</v>
      </c>
      <c r="P464" s="68">
        <f t="shared" si="103"/>
        <v>67.12420000000002</v>
      </c>
      <c r="Q464" s="68">
        <f t="shared" si="104"/>
        <v>0</v>
      </c>
      <c r="R464" s="255">
        <f t="shared" si="105"/>
        <v>67.12420000000002</v>
      </c>
      <c r="S464" s="541" t="s">
        <v>316</v>
      </c>
      <c r="T464" s="541"/>
    </row>
    <row r="465" spans="1:20" ht="22.5">
      <c r="A465" s="233" t="s">
        <v>15</v>
      </c>
      <c r="B465" s="7"/>
      <c r="C465" s="232" t="s">
        <v>261</v>
      </c>
      <c r="D465" s="102" t="s">
        <v>362</v>
      </c>
      <c r="E465" s="102" t="s">
        <v>73</v>
      </c>
      <c r="F465" s="102" t="s">
        <v>363</v>
      </c>
      <c r="G465" s="104">
        <v>38227</v>
      </c>
      <c r="H465" s="104">
        <v>38243</v>
      </c>
      <c r="I465" s="332" t="s">
        <v>70</v>
      </c>
      <c r="J465" s="347">
        <v>52.07</v>
      </c>
      <c r="K465" s="348">
        <f t="shared" si="106"/>
        <v>10.414000000000001</v>
      </c>
      <c r="L465" s="356">
        <f t="shared" si="107"/>
        <v>62.484</v>
      </c>
      <c r="M465" s="68">
        <v>10.414000000000001</v>
      </c>
      <c r="N465" s="68">
        <v>2.0828</v>
      </c>
      <c r="O465" s="255">
        <v>12.496800000000002</v>
      </c>
      <c r="P465" s="68">
        <f t="shared" si="103"/>
        <v>6.769100000000001</v>
      </c>
      <c r="Q465" s="68">
        <f t="shared" si="104"/>
        <v>1.3538200000000002</v>
      </c>
      <c r="R465" s="255">
        <f t="shared" si="105"/>
        <v>8.122920000000002</v>
      </c>
      <c r="S465" s="541" t="s">
        <v>316</v>
      </c>
      <c r="T465" s="541"/>
    </row>
    <row r="466" spans="1:20" ht="22.5">
      <c r="A466" s="233" t="s">
        <v>15</v>
      </c>
      <c r="B466" s="7"/>
      <c r="C466" s="232" t="s">
        <v>261</v>
      </c>
      <c r="D466" s="102" t="s">
        <v>364</v>
      </c>
      <c r="E466" s="102" t="s">
        <v>99</v>
      </c>
      <c r="F466" s="102" t="s">
        <v>365</v>
      </c>
      <c r="G466" s="104">
        <v>38204</v>
      </c>
      <c r="H466" s="104">
        <v>38245</v>
      </c>
      <c r="I466" s="332" t="s">
        <v>70</v>
      </c>
      <c r="J466" s="349">
        <v>467.92</v>
      </c>
      <c r="K466" s="348">
        <f t="shared" si="106"/>
        <v>93.584</v>
      </c>
      <c r="L466" s="356">
        <f t="shared" si="107"/>
        <v>561.504</v>
      </c>
      <c r="M466" s="68">
        <v>93.584</v>
      </c>
      <c r="N466" s="68">
        <v>18.716800000000003</v>
      </c>
      <c r="O466" s="255">
        <v>112.30080000000001</v>
      </c>
      <c r="P466" s="68">
        <f t="shared" si="103"/>
        <v>60.829600000000006</v>
      </c>
      <c r="Q466" s="68">
        <f t="shared" si="104"/>
        <v>12.165920000000002</v>
      </c>
      <c r="R466" s="255">
        <f t="shared" si="105"/>
        <v>72.99552000000001</v>
      </c>
      <c r="S466" s="541" t="s">
        <v>316</v>
      </c>
      <c r="T466" s="541"/>
    </row>
    <row r="467" spans="1:20" ht="22.5">
      <c r="A467" s="233" t="s">
        <v>15</v>
      </c>
      <c r="B467" s="7"/>
      <c r="C467" s="232" t="s">
        <v>261</v>
      </c>
      <c r="D467" s="102" t="s">
        <v>366</v>
      </c>
      <c r="E467" s="102" t="s">
        <v>106</v>
      </c>
      <c r="F467" s="334" t="s">
        <v>367</v>
      </c>
      <c r="G467" s="104">
        <v>38261</v>
      </c>
      <c r="H467" s="104">
        <v>38261</v>
      </c>
      <c r="I467" s="331" t="s">
        <v>88</v>
      </c>
      <c r="J467" s="347">
        <v>516.34</v>
      </c>
      <c r="K467" s="348">
        <v>0</v>
      </c>
      <c r="L467" s="356">
        <f t="shared" si="107"/>
        <v>516.34</v>
      </c>
      <c r="M467" s="68">
        <v>103.26800000000001</v>
      </c>
      <c r="N467" s="68">
        <v>0</v>
      </c>
      <c r="O467" s="255">
        <v>103.26800000000001</v>
      </c>
      <c r="P467" s="68">
        <f t="shared" si="103"/>
        <v>67.12420000000002</v>
      </c>
      <c r="Q467" s="68">
        <f t="shared" si="104"/>
        <v>0</v>
      </c>
      <c r="R467" s="255">
        <f t="shared" si="105"/>
        <v>67.12420000000002</v>
      </c>
      <c r="S467" s="541" t="s">
        <v>316</v>
      </c>
      <c r="T467" s="541"/>
    </row>
    <row r="468" spans="1:20" ht="33.75">
      <c r="A468" s="233" t="s">
        <v>15</v>
      </c>
      <c r="B468" s="7"/>
      <c r="C468" s="232" t="s">
        <v>261</v>
      </c>
      <c r="D468" s="102" t="s">
        <v>103</v>
      </c>
      <c r="E468" s="102" t="s">
        <v>104</v>
      </c>
      <c r="F468" s="102" t="s">
        <v>368</v>
      </c>
      <c r="G468" s="104">
        <v>38280</v>
      </c>
      <c r="H468" s="104">
        <v>38280</v>
      </c>
      <c r="I468" s="331" t="s">
        <v>369</v>
      </c>
      <c r="J468" s="347">
        <v>126</v>
      </c>
      <c r="K468" s="348">
        <f t="shared" si="106"/>
        <v>25.200000000000003</v>
      </c>
      <c r="L468" s="356">
        <f t="shared" si="107"/>
        <v>151.2</v>
      </c>
      <c r="M468" s="68"/>
      <c r="N468" s="68"/>
      <c r="O468" s="255"/>
      <c r="P468" s="68">
        <f t="shared" si="103"/>
        <v>0</v>
      </c>
      <c r="Q468" s="68">
        <f t="shared" si="104"/>
        <v>0</v>
      </c>
      <c r="R468" s="255">
        <f t="shared" si="105"/>
        <v>0</v>
      </c>
      <c r="S468" s="541" t="s">
        <v>317</v>
      </c>
      <c r="T468" s="541"/>
    </row>
    <row r="469" spans="1:20" ht="22.5">
      <c r="A469" s="233" t="s">
        <v>15</v>
      </c>
      <c r="B469" s="7"/>
      <c r="C469" s="232" t="s">
        <v>261</v>
      </c>
      <c r="D469" s="102" t="s">
        <v>370</v>
      </c>
      <c r="E469" s="102" t="s">
        <v>106</v>
      </c>
      <c r="F469" s="102" t="s">
        <v>371</v>
      </c>
      <c r="G469" s="104">
        <v>38292</v>
      </c>
      <c r="H469" s="104">
        <v>38292</v>
      </c>
      <c r="I469" s="331" t="s">
        <v>372</v>
      </c>
      <c r="J469" s="347">
        <v>516.34</v>
      </c>
      <c r="K469" s="348">
        <v>0</v>
      </c>
      <c r="L469" s="356">
        <f t="shared" si="107"/>
        <v>516.34</v>
      </c>
      <c r="M469" s="68">
        <v>103.26800000000001</v>
      </c>
      <c r="N469" s="68"/>
      <c r="O469" s="255">
        <v>103.26800000000001</v>
      </c>
      <c r="P469" s="68">
        <f t="shared" si="103"/>
        <v>67.12420000000002</v>
      </c>
      <c r="Q469" s="68">
        <f t="shared" si="104"/>
        <v>0</v>
      </c>
      <c r="R469" s="255">
        <f t="shared" si="105"/>
        <v>67.12420000000002</v>
      </c>
      <c r="S469" s="541" t="s">
        <v>316</v>
      </c>
      <c r="T469" s="541"/>
    </row>
    <row r="470" spans="1:20" ht="22.5">
      <c r="A470" s="233" t="s">
        <v>15</v>
      </c>
      <c r="B470" s="7"/>
      <c r="C470" s="232" t="s">
        <v>261</v>
      </c>
      <c r="D470" s="102" t="s">
        <v>373</v>
      </c>
      <c r="E470" s="102" t="s">
        <v>73</v>
      </c>
      <c r="F470" s="102" t="s">
        <v>374</v>
      </c>
      <c r="G470" s="104">
        <v>38279</v>
      </c>
      <c r="H470" s="104">
        <v>38299</v>
      </c>
      <c r="I470" s="331" t="s">
        <v>70</v>
      </c>
      <c r="J470" s="347">
        <v>47.92</v>
      </c>
      <c r="K470" s="348">
        <f t="shared" si="106"/>
        <v>9.584000000000001</v>
      </c>
      <c r="L470" s="356">
        <f t="shared" si="107"/>
        <v>57.504000000000005</v>
      </c>
      <c r="M470" s="68">
        <v>9.584000000000001</v>
      </c>
      <c r="N470" s="68">
        <v>1.9168000000000003</v>
      </c>
      <c r="O470" s="255">
        <v>11.500800000000002</v>
      </c>
      <c r="P470" s="68">
        <f t="shared" si="103"/>
        <v>6.229600000000001</v>
      </c>
      <c r="Q470" s="68">
        <f t="shared" si="104"/>
        <v>1.2459200000000001</v>
      </c>
      <c r="R470" s="255">
        <f t="shared" si="105"/>
        <v>7.475520000000001</v>
      </c>
      <c r="S470" s="541" t="s">
        <v>316</v>
      </c>
      <c r="T470" s="541"/>
    </row>
    <row r="471" spans="1:20" ht="22.5">
      <c r="A471" s="233" t="s">
        <v>15</v>
      </c>
      <c r="B471" s="7"/>
      <c r="C471" s="232" t="s">
        <v>261</v>
      </c>
      <c r="D471" s="102" t="s">
        <v>375</v>
      </c>
      <c r="E471" s="102" t="s">
        <v>99</v>
      </c>
      <c r="F471" s="102" t="s">
        <v>376</v>
      </c>
      <c r="G471" s="104">
        <v>38266</v>
      </c>
      <c r="H471" s="104">
        <v>38306</v>
      </c>
      <c r="I471" s="331" t="s">
        <v>70</v>
      </c>
      <c r="J471" s="347">
        <v>299.61</v>
      </c>
      <c r="K471" s="348">
        <f t="shared" si="106"/>
        <v>59.922000000000004</v>
      </c>
      <c r="L471" s="356">
        <f t="shared" si="107"/>
        <v>359.53200000000004</v>
      </c>
      <c r="M471" s="68">
        <v>59.922000000000004</v>
      </c>
      <c r="N471" s="68">
        <v>11.9844</v>
      </c>
      <c r="O471" s="255">
        <v>71.9064</v>
      </c>
      <c r="P471" s="68">
        <f t="shared" si="103"/>
        <v>38.9493</v>
      </c>
      <c r="Q471" s="68">
        <f t="shared" si="104"/>
        <v>7.789860000000001</v>
      </c>
      <c r="R471" s="255">
        <f t="shared" si="105"/>
        <v>46.739160000000005</v>
      </c>
      <c r="S471" s="541" t="s">
        <v>316</v>
      </c>
      <c r="T471" s="541"/>
    </row>
    <row r="472" spans="1:20" ht="22.5">
      <c r="A472" s="233" t="s">
        <v>15</v>
      </c>
      <c r="B472" s="7"/>
      <c r="C472" s="232" t="s">
        <v>261</v>
      </c>
      <c r="D472" s="102" t="s">
        <v>377</v>
      </c>
      <c r="E472" s="102" t="s">
        <v>106</v>
      </c>
      <c r="F472" s="102" t="s">
        <v>378</v>
      </c>
      <c r="G472" s="325">
        <v>38322</v>
      </c>
      <c r="H472" s="104">
        <v>38322</v>
      </c>
      <c r="I472" s="331" t="s">
        <v>88</v>
      </c>
      <c r="J472" s="347">
        <v>516.34</v>
      </c>
      <c r="K472" s="348">
        <v>0</v>
      </c>
      <c r="L472" s="356">
        <f t="shared" si="107"/>
        <v>516.34</v>
      </c>
      <c r="M472" s="68">
        <v>103.26800000000001</v>
      </c>
      <c r="N472" s="68">
        <v>0</v>
      </c>
      <c r="O472" s="255">
        <v>103.26800000000001</v>
      </c>
      <c r="P472" s="68">
        <f t="shared" si="103"/>
        <v>67.12420000000002</v>
      </c>
      <c r="Q472" s="68">
        <f t="shared" si="104"/>
        <v>0</v>
      </c>
      <c r="R472" s="255">
        <f t="shared" si="105"/>
        <v>67.12420000000002</v>
      </c>
      <c r="S472" s="541" t="s">
        <v>316</v>
      </c>
      <c r="T472" s="541"/>
    </row>
    <row r="473" spans="1:20" ht="22.5">
      <c r="A473" s="233" t="s">
        <v>15</v>
      </c>
      <c r="B473" s="7"/>
      <c r="C473" s="232" t="s">
        <v>261</v>
      </c>
      <c r="D473" s="102" t="s">
        <v>379</v>
      </c>
      <c r="E473" s="102" t="s">
        <v>106</v>
      </c>
      <c r="F473" s="102" t="s">
        <v>380</v>
      </c>
      <c r="G473" s="325">
        <v>38353</v>
      </c>
      <c r="H473" s="104">
        <v>38354</v>
      </c>
      <c r="I473" s="332" t="s">
        <v>88</v>
      </c>
      <c r="J473" s="347">
        <v>516.34</v>
      </c>
      <c r="K473" s="348">
        <v>0</v>
      </c>
      <c r="L473" s="356">
        <f t="shared" si="107"/>
        <v>516.34</v>
      </c>
      <c r="M473" s="68">
        <v>103.26800000000001</v>
      </c>
      <c r="N473" s="68">
        <v>0</v>
      </c>
      <c r="O473" s="255">
        <v>103.26800000000001</v>
      </c>
      <c r="P473" s="68">
        <f t="shared" si="103"/>
        <v>67.12420000000002</v>
      </c>
      <c r="Q473" s="68">
        <f t="shared" si="104"/>
        <v>0</v>
      </c>
      <c r="R473" s="255">
        <f t="shared" si="105"/>
        <v>67.12420000000002</v>
      </c>
      <c r="S473" s="541" t="s">
        <v>316</v>
      </c>
      <c r="T473" s="541"/>
    </row>
    <row r="474" spans="1:20" ht="33.75">
      <c r="A474" s="233" t="s">
        <v>15</v>
      </c>
      <c r="B474" s="7"/>
      <c r="C474" s="232" t="s">
        <v>261</v>
      </c>
      <c r="D474" s="102" t="s">
        <v>381</v>
      </c>
      <c r="E474" s="102" t="s">
        <v>116</v>
      </c>
      <c r="F474" s="334" t="s">
        <v>382</v>
      </c>
      <c r="G474" s="325">
        <v>38331</v>
      </c>
      <c r="H474" s="104">
        <v>38362</v>
      </c>
      <c r="I474" s="331" t="s">
        <v>78</v>
      </c>
      <c r="J474" s="347">
        <v>374</v>
      </c>
      <c r="K474" s="348">
        <f t="shared" si="106"/>
        <v>74.8</v>
      </c>
      <c r="L474" s="356">
        <f t="shared" si="107"/>
        <v>448.8</v>
      </c>
      <c r="M474" s="68">
        <v>374</v>
      </c>
      <c r="N474" s="68">
        <v>74.8</v>
      </c>
      <c r="O474" s="255">
        <v>448.8</v>
      </c>
      <c r="P474" s="68">
        <f t="shared" si="103"/>
        <v>243.1</v>
      </c>
      <c r="Q474" s="68">
        <f t="shared" si="104"/>
        <v>48.62</v>
      </c>
      <c r="R474" s="255">
        <f t="shared" si="105"/>
        <v>291.72</v>
      </c>
      <c r="S474" s="541" t="s">
        <v>316</v>
      </c>
      <c r="T474" s="541"/>
    </row>
    <row r="475" spans="1:20" ht="22.5">
      <c r="A475" s="233" t="s">
        <v>15</v>
      </c>
      <c r="B475" s="7"/>
      <c r="C475" s="232" t="s">
        <v>261</v>
      </c>
      <c r="D475" s="102" t="s">
        <v>383</v>
      </c>
      <c r="E475" s="102" t="s">
        <v>99</v>
      </c>
      <c r="F475" s="102" t="s">
        <v>384</v>
      </c>
      <c r="G475" s="325">
        <v>38327</v>
      </c>
      <c r="H475" s="104">
        <v>38369</v>
      </c>
      <c r="I475" s="13" t="s">
        <v>385</v>
      </c>
      <c r="J475" s="347">
        <v>530.78</v>
      </c>
      <c r="K475" s="348">
        <f t="shared" si="106"/>
        <v>106.156</v>
      </c>
      <c r="L475" s="356">
        <f t="shared" si="107"/>
        <v>636.9359999999999</v>
      </c>
      <c r="M475" s="68">
        <v>106.156</v>
      </c>
      <c r="N475" s="68">
        <v>21.2312</v>
      </c>
      <c r="O475" s="255">
        <v>127.3872</v>
      </c>
      <c r="P475" s="68">
        <f t="shared" si="103"/>
        <v>69.0014</v>
      </c>
      <c r="Q475" s="68">
        <f t="shared" si="104"/>
        <v>13.80028</v>
      </c>
      <c r="R475" s="255">
        <f t="shared" si="105"/>
        <v>82.80168</v>
      </c>
      <c r="S475" s="541" t="s">
        <v>316</v>
      </c>
      <c r="T475" s="541"/>
    </row>
    <row r="476" spans="1:20" ht="22.5">
      <c r="A476" s="233" t="s">
        <v>15</v>
      </c>
      <c r="B476" s="7"/>
      <c r="C476" s="232" t="s">
        <v>261</v>
      </c>
      <c r="D476" s="102" t="s">
        <v>386</v>
      </c>
      <c r="E476" s="102" t="s">
        <v>106</v>
      </c>
      <c r="F476" s="102" t="s">
        <v>387</v>
      </c>
      <c r="G476" s="333">
        <v>38384</v>
      </c>
      <c r="H476" s="104">
        <v>38384</v>
      </c>
      <c r="I476" s="332" t="s">
        <v>372</v>
      </c>
      <c r="J476" s="349">
        <v>516.34</v>
      </c>
      <c r="K476" s="348">
        <v>0</v>
      </c>
      <c r="L476" s="356">
        <f t="shared" si="107"/>
        <v>516.34</v>
      </c>
      <c r="M476" s="68">
        <v>103.26800000000001</v>
      </c>
      <c r="N476" s="68">
        <v>0</v>
      </c>
      <c r="O476" s="255">
        <v>103.26800000000001</v>
      </c>
      <c r="P476" s="68">
        <f t="shared" si="103"/>
        <v>67.12420000000002</v>
      </c>
      <c r="Q476" s="68">
        <f t="shared" si="104"/>
        <v>0</v>
      </c>
      <c r="R476" s="255">
        <f t="shared" si="105"/>
        <v>67.12420000000002</v>
      </c>
      <c r="S476" s="541" t="s">
        <v>316</v>
      </c>
      <c r="T476" s="541"/>
    </row>
    <row r="477" spans="1:20" ht="22.5">
      <c r="A477" s="233" t="s">
        <v>15</v>
      </c>
      <c r="B477" s="7"/>
      <c r="C477" s="232" t="s">
        <v>261</v>
      </c>
      <c r="D477" s="102" t="s">
        <v>388</v>
      </c>
      <c r="E477" s="102" t="s">
        <v>106</v>
      </c>
      <c r="F477" s="102" t="s">
        <v>389</v>
      </c>
      <c r="G477" s="104">
        <v>38412</v>
      </c>
      <c r="H477" s="104">
        <v>38412</v>
      </c>
      <c r="I477" s="332" t="s">
        <v>372</v>
      </c>
      <c r="J477" s="347">
        <v>516.34</v>
      </c>
      <c r="K477" s="348">
        <v>0</v>
      </c>
      <c r="L477" s="356">
        <f t="shared" si="107"/>
        <v>516.34</v>
      </c>
      <c r="M477" s="68">
        <v>103.26800000000001</v>
      </c>
      <c r="N477" s="68">
        <v>0</v>
      </c>
      <c r="O477" s="255">
        <v>103.26800000000001</v>
      </c>
      <c r="P477" s="68">
        <f t="shared" si="103"/>
        <v>67.12420000000002</v>
      </c>
      <c r="Q477" s="68">
        <f t="shared" si="104"/>
        <v>0</v>
      </c>
      <c r="R477" s="255">
        <f t="shared" si="105"/>
        <v>67.12420000000002</v>
      </c>
      <c r="S477" s="541" t="s">
        <v>316</v>
      </c>
      <c r="T477" s="541"/>
    </row>
    <row r="478" spans="1:20" ht="22.5">
      <c r="A478" s="233" t="s">
        <v>15</v>
      </c>
      <c r="B478" s="7"/>
      <c r="C478" s="232" t="s">
        <v>261</v>
      </c>
      <c r="D478" s="102" t="s">
        <v>390</v>
      </c>
      <c r="E478" s="102" t="s">
        <v>73</v>
      </c>
      <c r="F478" s="102" t="s">
        <v>391</v>
      </c>
      <c r="G478" s="104">
        <v>38400</v>
      </c>
      <c r="H478" s="104">
        <v>38420</v>
      </c>
      <c r="I478" s="332" t="s">
        <v>196</v>
      </c>
      <c r="J478" s="349">
        <v>53.45</v>
      </c>
      <c r="K478" s="348">
        <f t="shared" si="106"/>
        <v>10.690000000000001</v>
      </c>
      <c r="L478" s="356">
        <f t="shared" si="107"/>
        <v>64.14</v>
      </c>
      <c r="M478" s="68">
        <v>10.69</v>
      </c>
      <c r="N478" s="68">
        <v>2.1380000000000003</v>
      </c>
      <c r="O478" s="255">
        <v>12.828000000000001</v>
      </c>
      <c r="P478" s="68">
        <f t="shared" si="103"/>
        <v>6.9485</v>
      </c>
      <c r="Q478" s="68">
        <f t="shared" si="104"/>
        <v>1.3897000000000004</v>
      </c>
      <c r="R478" s="255">
        <f t="shared" si="105"/>
        <v>8.3382</v>
      </c>
      <c r="S478" s="541" t="s">
        <v>316</v>
      </c>
      <c r="T478" s="541"/>
    </row>
    <row r="479" spans="1:20" ht="22.5">
      <c r="A479" s="233" t="s">
        <v>15</v>
      </c>
      <c r="B479" s="7"/>
      <c r="C479" s="232" t="s">
        <v>261</v>
      </c>
      <c r="D479" s="13" t="s">
        <v>392</v>
      </c>
      <c r="E479" s="13" t="s">
        <v>99</v>
      </c>
      <c r="F479" s="13" t="s">
        <v>393</v>
      </c>
      <c r="G479" s="331">
        <v>38390</v>
      </c>
      <c r="H479" s="16">
        <v>38426</v>
      </c>
      <c r="I479" s="13" t="s">
        <v>385</v>
      </c>
      <c r="J479" s="350">
        <v>447.92</v>
      </c>
      <c r="K479" s="348">
        <f t="shared" si="106"/>
        <v>89.584</v>
      </c>
      <c r="L479" s="356">
        <f t="shared" si="107"/>
        <v>537.504</v>
      </c>
      <c r="M479" s="68">
        <v>89.584</v>
      </c>
      <c r="N479" s="68">
        <v>17.916800000000002</v>
      </c>
      <c r="O479" s="255">
        <v>107.5008</v>
      </c>
      <c r="P479" s="68">
        <f t="shared" si="103"/>
        <v>58.229600000000005</v>
      </c>
      <c r="Q479" s="68">
        <f t="shared" si="104"/>
        <v>11.645920000000002</v>
      </c>
      <c r="R479" s="255">
        <f t="shared" si="105"/>
        <v>69.87552</v>
      </c>
      <c r="S479" s="541" t="s">
        <v>316</v>
      </c>
      <c r="T479" s="541"/>
    </row>
    <row r="480" spans="1:20" ht="22.5">
      <c r="A480" s="233" t="s">
        <v>15</v>
      </c>
      <c r="B480" s="7"/>
      <c r="C480" s="232" t="s">
        <v>261</v>
      </c>
      <c r="D480" s="13" t="s">
        <v>394</v>
      </c>
      <c r="E480" s="13" t="s">
        <v>106</v>
      </c>
      <c r="F480" s="13" t="s">
        <v>395</v>
      </c>
      <c r="G480" s="16">
        <v>38443</v>
      </c>
      <c r="H480" s="16">
        <v>38443</v>
      </c>
      <c r="I480" s="332" t="s">
        <v>372</v>
      </c>
      <c r="J480" s="347">
        <v>516.34</v>
      </c>
      <c r="K480" s="348">
        <v>0</v>
      </c>
      <c r="L480" s="356">
        <f t="shared" si="107"/>
        <v>516.34</v>
      </c>
      <c r="M480" s="68">
        <v>103.26800000000001</v>
      </c>
      <c r="N480" s="68">
        <v>0</v>
      </c>
      <c r="O480" s="255">
        <v>103.26800000000001</v>
      </c>
      <c r="P480" s="68">
        <f t="shared" si="103"/>
        <v>67.12420000000002</v>
      </c>
      <c r="Q480" s="68">
        <f t="shared" si="104"/>
        <v>0</v>
      </c>
      <c r="R480" s="255">
        <f t="shared" si="105"/>
        <v>67.12420000000002</v>
      </c>
      <c r="S480" s="541" t="s">
        <v>316</v>
      </c>
      <c r="T480" s="541"/>
    </row>
    <row r="481" spans="1:20" ht="22.5">
      <c r="A481" s="233" t="s">
        <v>15</v>
      </c>
      <c r="B481" s="7"/>
      <c r="C481" s="232" t="s">
        <v>261</v>
      </c>
      <c r="D481" s="13" t="s">
        <v>396</v>
      </c>
      <c r="E481" s="13" t="s">
        <v>106</v>
      </c>
      <c r="F481" s="13" t="s">
        <v>397</v>
      </c>
      <c r="G481" s="16">
        <v>38473</v>
      </c>
      <c r="H481" s="16">
        <v>38473</v>
      </c>
      <c r="I481" s="332" t="s">
        <v>372</v>
      </c>
      <c r="J481" s="347">
        <v>516.34</v>
      </c>
      <c r="K481" s="348">
        <v>0</v>
      </c>
      <c r="L481" s="356">
        <f>SUM(J481:K481)</f>
        <v>516.34</v>
      </c>
      <c r="M481" s="68">
        <v>103.26800000000001</v>
      </c>
      <c r="N481" s="68">
        <v>0</v>
      </c>
      <c r="O481" s="255">
        <v>103.26800000000001</v>
      </c>
      <c r="P481" s="68">
        <f t="shared" si="103"/>
        <v>67.12420000000002</v>
      </c>
      <c r="Q481" s="68">
        <f t="shared" si="104"/>
        <v>0</v>
      </c>
      <c r="R481" s="255">
        <f t="shared" si="105"/>
        <v>67.12420000000002</v>
      </c>
      <c r="S481" s="541" t="s">
        <v>316</v>
      </c>
      <c r="T481" s="541"/>
    </row>
    <row r="482" spans="1:20" ht="22.5">
      <c r="A482" s="233" t="s">
        <v>15</v>
      </c>
      <c r="B482" s="7"/>
      <c r="C482" s="232" t="s">
        <v>261</v>
      </c>
      <c r="D482" s="13" t="s">
        <v>390</v>
      </c>
      <c r="E482" s="13" t="s">
        <v>73</v>
      </c>
      <c r="F482" s="13" t="s">
        <v>398</v>
      </c>
      <c r="G482" s="16">
        <v>38460</v>
      </c>
      <c r="H482" s="16">
        <v>38481</v>
      </c>
      <c r="I482" s="332" t="s">
        <v>196</v>
      </c>
      <c r="J482" s="349">
        <v>52.44</v>
      </c>
      <c r="K482" s="348">
        <f t="shared" si="106"/>
        <v>10.488</v>
      </c>
      <c r="L482" s="356">
        <f>SUM(J482:K482)</f>
        <v>62.928</v>
      </c>
      <c r="M482" s="68">
        <v>10.488</v>
      </c>
      <c r="N482" s="68">
        <v>2.0976</v>
      </c>
      <c r="O482" s="255">
        <v>12.5856</v>
      </c>
      <c r="P482" s="68">
        <f t="shared" si="103"/>
        <v>6.8172</v>
      </c>
      <c r="Q482" s="68">
        <f t="shared" si="104"/>
        <v>1.36344</v>
      </c>
      <c r="R482" s="255">
        <f t="shared" si="105"/>
        <v>8.18064</v>
      </c>
      <c r="S482" s="541" t="s">
        <v>316</v>
      </c>
      <c r="T482" s="541"/>
    </row>
    <row r="483" spans="1:20" ht="22.5">
      <c r="A483" s="233" t="s">
        <v>15</v>
      </c>
      <c r="B483" s="7"/>
      <c r="C483" s="232" t="s">
        <v>261</v>
      </c>
      <c r="D483" s="13" t="s">
        <v>392</v>
      </c>
      <c r="E483" s="13" t="s">
        <v>99</v>
      </c>
      <c r="F483" s="13" t="s">
        <v>399</v>
      </c>
      <c r="G483" s="331">
        <v>38448</v>
      </c>
      <c r="H483" s="16">
        <v>38488</v>
      </c>
      <c r="I483" s="13" t="s">
        <v>385</v>
      </c>
      <c r="J483" s="347">
        <v>667.95</v>
      </c>
      <c r="K483" s="348">
        <f t="shared" si="106"/>
        <v>133.59</v>
      </c>
      <c r="L483" s="356">
        <f>SUM(J483:K483)</f>
        <v>801.5400000000001</v>
      </c>
      <c r="M483" s="68">
        <v>133.59</v>
      </c>
      <c r="N483" s="68">
        <v>26.718000000000004</v>
      </c>
      <c r="O483" s="255">
        <v>160.308</v>
      </c>
      <c r="P483" s="68">
        <f t="shared" si="103"/>
        <v>86.8335</v>
      </c>
      <c r="Q483" s="68">
        <f t="shared" si="104"/>
        <v>17.3667</v>
      </c>
      <c r="R483" s="255">
        <f t="shared" si="105"/>
        <v>104.2002</v>
      </c>
      <c r="S483" s="541" t="s">
        <v>316</v>
      </c>
      <c r="T483" s="541"/>
    </row>
    <row r="484" spans="1:20" ht="22.5">
      <c r="A484" s="233" t="s">
        <v>15</v>
      </c>
      <c r="B484" s="7"/>
      <c r="C484" s="232" t="s">
        <v>264</v>
      </c>
      <c r="D484" s="359" t="s">
        <v>353</v>
      </c>
      <c r="E484" s="360"/>
      <c r="F484" s="361"/>
      <c r="G484" s="374">
        <v>38139</v>
      </c>
      <c r="H484" s="374">
        <v>38159</v>
      </c>
      <c r="I484" s="362" t="s">
        <v>88</v>
      </c>
      <c r="J484" s="363">
        <v>534.4</v>
      </c>
      <c r="K484" s="364">
        <v>0</v>
      </c>
      <c r="L484" s="373">
        <f>SUM(J484:K484)</f>
        <v>534.4</v>
      </c>
      <c r="M484" s="68">
        <v>80.16</v>
      </c>
      <c r="N484" s="68">
        <v>0</v>
      </c>
      <c r="O484" s="255">
        <v>80.16</v>
      </c>
      <c r="P484" s="68">
        <f>+M484*0.65</f>
        <v>52.104</v>
      </c>
      <c r="Q484" s="68">
        <f>+N484*0.65</f>
        <v>0</v>
      </c>
      <c r="R484" s="255">
        <f>+O484*0.65</f>
        <v>52.104</v>
      </c>
      <c r="S484" s="541" t="s">
        <v>316</v>
      </c>
      <c r="T484" s="541"/>
    </row>
    <row r="485" spans="1:20" ht="22.5">
      <c r="A485" s="233" t="s">
        <v>15</v>
      </c>
      <c r="B485" s="7"/>
      <c r="C485" s="232" t="s">
        <v>264</v>
      </c>
      <c r="D485" s="359" t="s">
        <v>190</v>
      </c>
      <c r="E485" s="360"/>
      <c r="F485" s="361"/>
      <c r="G485" s="374">
        <v>38141</v>
      </c>
      <c r="H485" s="374">
        <v>38147</v>
      </c>
      <c r="I485" s="362" t="s">
        <v>78</v>
      </c>
      <c r="J485" s="363">
        <v>139.98</v>
      </c>
      <c r="K485" s="364">
        <v>0</v>
      </c>
      <c r="L485" s="373">
        <f>SUM(J485:K485)</f>
        <v>139.98</v>
      </c>
      <c r="M485" s="68">
        <v>20.996999999999996</v>
      </c>
      <c r="N485" s="68">
        <v>0</v>
      </c>
      <c r="O485" s="255">
        <v>20.996999999999996</v>
      </c>
      <c r="P485" s="68">
        <f aca="true" t="shared" si="108" ref="P485:P518">+M485*0.65</f>
        <v>13.648049999999998</v>
      </c>
      <c r="Q485" s="68">
        <f aca="true" t="shared" si="109" ref="Q485:Q518">+N485*0.65</f>
        <v>0</v>
      </c>
      <c r="R485" s="255">
        <f aca="true" t="shared" si="110" ref="R485:R518">+O485*0.65</f>
        <v>13.648049999999998</v>
      </c>
      <c r="S485" s="541" t="s">
        <v>316</v>
      </c>
      <c r="T485" s="541"/>
    </row>
    <row r="486" spans="1:20" ht="22.5">
      <c r="A486" s="233" t="s">
        <v>15</v>
      </c>
      <c r="B486" s="7"/>
      <c r="C486" s="232" t="s">
        <v>264</v>
      </c>
      <c r="D486" s="359" t="s">
        <v>356</v>
      </c>
      <c r="E486" s="360"/>
      <c r="F486" s="361"/>
      <c r="G486" s="374">
        <v>38169</v>
      </c>
      <c r="H486" s="374">
        <v>38191</v>
      </c>
      <c r="I486" s="362" t="s">
        <v>88</v>
      </c>
      <c r="J486" s="363">
        <v>534.4</v>
      </c>
      <c r="K486" s="364">
        <v>0</v>
      </c>
      <c r="L486" s="373">
        <f aca="true" t="shared" si="111" ref="L486:L518">SUM(J486:K486)</f>
        <v>534.4</v>
      </c>
      <c r="M486" s="68">
        <v>80.16</v>
      </c>
      <c r="N486" s="68">
        <v>0</v>
      </c>
      <c r="O486" s="255">
        <v>80.16</v>
      </c>
      <c r="P486" s="68">
        <f t="shared" si="108"/>
        <v>52.104</v>
      </c>
      <c r="Q486" s="68">
        <f t="shared" si="109"/>
        <v>0</v>
      </c>
      <c r="R486" s="255">
        <f t="shared" si="110"/>
        <v>52.104</v>
      </c>
      <c r="S486" s="541" t="s">
        <v>316</v>
      </c>
      <c r="T486" s="541"/>
    </row>
    <row r="487" spans="1:20" ht="22.5">
      <c r="A487" s="233" t="s">
        <v>15</v>
      </c>
      <c r="B487" s="7"/>
      <c r="C487" s="232" t="s">
        <v>264</v>
      </c>
      <c r="D487" s="359" t="s">
        <v>190</v>
      </c>
      <c r="E487" s="360"/>
      <c r="F487" s="361"/>
      <c r="G487" s="374">
        <v>38141</v>
      </c>
      <c r="H487" s="374">
        <v>38147</v>
      </c>
      <c r="I487" s="362" t="s">
        <v>78</v>
      </c>
      <c r="J487" s="363">
        <v>139.98</v>
      </c>
      <c r="K487" s="364">
        <v>0</v>
      </c>
      <c r="L487" s="373">
        <f t="shared" si="111"/>
        <v>139.98</v>
      </c>
      <c r="M487" s="68">
        <v>20.996999999999996</v>
      </c>
      <c r="N487" s="68">
        <v>0</v>
      </c>
      <c r="O487" s="255">
        <v>20.996999999999996</v>
      </c>
      <c r="P487" s="68">
        <f t="shared" si="108"/>
        <v>13.648049999999998</v>
      </c>
      <c r="Q487" s="68">
        <f t="shared" si="109"/>
        <v>0</v>
      </c>
      <c r="R487" s="255">
        <f t="shared" si="110"/>
        <v>13.648049999999998</v>
      </c>
      <c r="S487" s="541" t="s">
        <v>316</v>
      </c>
      <c r="T487" s="541"/>
    </row>
    <row r="488" spans="1:20" ht="22.5">
      <c r="A488" s="233" t="s">
        <v>15</v>
      </c>
      <c r="B488" s="7"/>
      <c r="C488" s="232" t="s">
        <v>264</v>
      </c>
      <c r="D488" s="365" t="s">
        <v>400</v>
      </c>
      <c r="E488" s="366" t="s">
        <v>189</v>
      </c>
      <c r="F488" s="367">
        <v>6117338940</v>
      </c>
      <c r="G488" s="375">
        <v>38185</v>
      </c>
      <c r="H488" s="375">
        <v>38185</v>
      </c>
      <c r="I488" s="368" t="s">
        <v>70</v>
      </c>
      <c r="J488" s="362">
        <v>119.17</v>
      </c>
      <c r="K488" s="364">
        <f>J488*20%</f>
        <v>23.834000000000003</v>
      </c>
      <c r="L488" s="373">
        <f>SUM(J488:K488)</f>
        <v>143.00400000000002</v>
      </c>
      <c r="M488" s="68">
        <v>17.8755</v>
      </c>
      <c r="N488" s="68">
        <v>3.5751</v>
      </c>
      <c r="O488" s="255">
        <v>21.450599999999998</v>
      </c>
      <c r="P488" s="68">
        <f t="shared" si="108"/>
        <v>11.619075</v>
      </c>
      <c r="Q488" s="68">
        <f t="shared" si="109"/>
        <v>2.323815</v>
      </c>
      <c r="R488" s="255">
        <f t="shared" si="110"/>
        <v>13.942889999999998</v>
      </c>
      <c r="S488" s="541" t="s">
        <v>316</v>
      </c>
      <c r="T488" s="541"/>
    </row>
    <row r="489" spans="1:20" ht="22.5">
      <c r="A489" s="233" t="s">
        <v>15</v>
      </c>
      <c r="B489" s="7"/>
      <c r="C489" s="232" t="s">
        <v>264</v>
      </c>
      <c r="D489" s="359" t="s">
        <v>360</v>
      </c>
      <c r="E489" s="360"/>
      <c r="F489" s="361"/>
      <c r="G489" s="374">
        <v>38231</v>
      </c>
      <c r="H489" s="374">
        <v>38247</v>
      </c>
      <c r="I489" s="362" t="s">
        <v>88</v>
      </c>
      <c r="J489" s="363">
        <v>534.4</v>
      </c>
      <c r="K489" s="364">
        <v>0</v>
      </c>
      <c r="L489" s="373">
        <f t="shared" si="111"/>
        <v>534.4</v>
      </c>
      <c r="M489" s="68">
        <v>106.88</v>
      </c>
      <c r="N489" s="68">
        <v>0</v>
      </c>
      <c r="O489" s="255">
        <v>106.88</v>
      </c>
      <c r="P489" s="68">
        <f t="shared" si="108"/>
        <v>69.472</v>
      </c>
      <c r="Q489" s="68">
        <f t="shared" si="109"/>
        <v>0</v>
      </c>
      <c r="R489" s="255">
        <f t="shared" si="110"/>
        <v>69.472</v>
      </c>
      <c r="S489" s="541" t="s">
        <v>316</v>
      </c>
      <c r="T489" s="541"/>
    </row>
    <row r="490" spans="1:20" ht="22.5">
      <c r="A490" s="233" t="s">
        <v>15</v>
      </c>
      <c r="B490" s="7"/>
      <c r="C490" s="232" t="s">
        <v>264</v>
      </c>
      <c r="D490" s="359" t="s">
        <v>401</v>
      </c>
      <c r="E490" s="360"/>
      <c r="F490" s="361"/>
      <c r="G490" s="374">
        <v>38233</v>
      </c>
      <c r="H490" s="374">
        <v>38233</v>
      </c>
      <c r="I490" s="362" t="s">
        <v>78</v>
      </c>
      <c r="J490" s="363">
        <v>139.98</v>
      </c>
      <c r="K490" s="364">
        <v>0</v>
      </c>
      <c r="L490" s="373">
        <f t="shared" si="111"/>
        <v>139.98</v>
      </c>
      <c r="M490" s="68">
        <v>27.996</v>
      </c>
      <c r="N490" s="68">
        <v>0</v>
      </c>
      <c r="O490" s="255">
        <v>27.996</v>
      </c>
      <c r="P490" s="68">
        <f t="shared" si="108"/>
        <v>18.1974</v>
      </c>
      <c r="Q490" s="68">
        <f t="shared" si="109"/>
        <v>0</v>
      </c>
      <c r="R490" s="255">
        <f t="shared" si="110"/>
        <v>18.1974</v>
      </c>
      <c r="S490" s="541" t="s">
        <v>316</v>
      </c>
      <c r="T490" s="541"/>
    </row>
    <row r="491" spans="1:20" ht="22.5">
      <c r="A491" s="233" t="s">
        <v>15</v>
      </c>
      <c r="B491" s="7"/>
      <c r="C491" s="232" t="s">
        <v>264</v>
      </c>
      <c r="D491" s="359" t="s">
        <v>402</v>
      </c>
      <c r="E491" s="360"/>
      <c r="F491" s="361"/>
      <c r="G491" s="374">
        <v>38261</v>
      </c>
      <c r="H491" s="374">
        <v>38271</v>
      </c>
      <c r="I491" s="362" t="s">
        <v>88</v>
      </c>
      <c r="J491" s="363">
        <v>534.4</v>
      </c>
      <c r="K491" s="364">
        <v>0</v>
      </c>
      <c r="L491" s="373">
        <f>SUM(J491:K491)</f>
        <v>534.4</v>
      </c>
      <c r="M491" s="68">
        <v>106.88</v>
      </c>
      <c r="N491" s="68">
        <v>0</v>
      </c>
      <c r="O491" s="255">
        <v>106.88</v>
      </c>
      <c r="P491" s="68">
        <f t="shared" si="108"/>
        <v>69.472</v>
      </c>
      <c r="Q491" s="68">
        <f t="shared" si="109"/>
        <v>0</v>
      </c>
      <c r="R491" s="255">
        <f t="shared" si="110"/>
        <v>69.472</v>
      </c>
      <c r="S491" s="541" t="s">
        <v>316</v>
      </c>
      <c r="T491" s="541"/>
    </row>
    <row r="492" spans="1:20" ht="22.5">
      <c r="A492" s="233" t="s">
        <v>15</v>
      </c>
      <c r="B492" s="7"/>
      <c r="C492" s="232" t="s">
        <v>264</v>
      </c>
      <c r="D492" s="359" t="s">
        <v>401</v>
      </c>
      <c r="E492" s="360"/>
      <c r="F492" s="361"/>
      <c r="G492" s="374">
        <v>38263</v>
      </c>
      <c r="H492" s="374">
        <v>38278</v>
      </c>
      <c r="I492" s="362" t="s">
        <v>78</v>
      </c>
      <c r="J492" s="363">
        <v>139.98</v>
      </c>
      <c r="K492" s="364">
        <v>0</v>
      </c>
      <c r="L492" s="373">
        <f>SUM(J492:K492)</f>
        <v>139.98</v>
      </c>
      <c r="M492" s="68">
        <v>27.996</v>
      </c>
      <c r="N492" s="68">
        <v>0</v>
      </c>
      <c r="O492" s="255">
        <v>27.996</v>
      </c>
      <c r="P492" s="68">
        <f t="shared" si="108"/>
        <v>18.1974</v>
      </c>
      <c r="Q492" s="68">
        <f t="shared" si="109"/>
        <v>0</v>
      </c>
      <c r="R492" s="255">
        <f t="shared" si="110"/>
        <v>18.1974</v>
      </c>
      <c r="S492" s="541" t="s">
        <v>316</v>
      </c>
      <c r="T492" s="541"/>
    </row>
    <row r="493" spans="1:20" ht="22.5">
      <c r="A493" s="233" t="s">
        <v>15</v>
      </c>
      <c r="B493" s="7"/>
      <c r="C493" s="232" t="s">
        <v>264</v>
      </c>
      <c r="D493" s="359" t="s">
        <v>403</v>
      </c>
      <c r="E493" s="360"/>
      <c r="F493" s="361"/>
      <c r="G493" s="374">
        <v>38292</v>
      </c>
      <c r="H493" s="374">
        <v>38303</v>
      </c>
      <c r="I493" s="362" t="s">
        <v>88</v>
      </c>
      <c r="J493" s="363">
        <v>534.4</v>
      </c>
      <c r="K493" s="364">
        <v>0</v>
      </c>
      <c r="L493" s="373">
        <f>SUM(J493:K493)</f>
        <v>534.4</v>
      </c>
      <c r="M493" s="68">
        <v>106.88</v>
      </c>
      <c r="N493" s="68">
        <v>0</v>
      </c>
      <c r="O493" s="255">
        <v>106.88</v>
      </c>
      <c r="P493" s="68">
        <f t="shared" si="108"/>
        <v>69.472</v>
      </c>
      <c r="Q493" s="68">
        <f t="shared" si="109"/>
        <v>0</v>
      </c>
      <c r="R493" s="255">
        <f t="shared" si="110"/>
        <v>69.472</v>
      </c>
      <c r="S493" s="541" t="s">
        <v>316</v>
      </c>
      <c r="T493" s="541"/>
    </row>
    <row r="494" spans="1:20" ht="22.5">
      <c r="A494" s="233" t="s">
        <v>15</v>
      </c>
      <c r="B494" s="7"/>
      <c r="C494" s="232" t="s">
        <v>264</v>
      </c>
      <c r="D494" s="359" t="s">
        <v>401</v>
      </c>
      <c r="E494" s="360"/>
      <c r="F494" s="361"/>
      <c r="G494" s="374">
        <v>38294</v>
      </c>
      <c r="H494" s="374">
        <v>38320</v>
      </c>
      <c r="I494" s="362" t="s">
        <v>78</v>
      </c>
      <c r="J494" s="363">
        <v>139.98</v>
      </c>
      <c r="K494" s="364">
        <v>0</v>
      </c>
      <c r="L494" s="373">
        <f>SUM(J494:K494)</f>
        <v>139.98</v>
      </c>
      <c r="M494" s="68">
        <v>27.996</v>
      </c>
      <c r="N494" s="68">
        <v>0</v>
      </c>
      <c r="O494" s="255">
        <v>27.996</v>
      </c>
      <c r="P494" s="68">
        <f t="shared" si="108"/>
        <v>18.1974</v>
      </c>
      <c r="Q494" s="68">
        <f t="shared" si="109"/>
        <v>0</v>
      </c>
      <c r="R494" s="255">
        <f t="shared" si="110"/>
        <v>18.1974</v>
      </c>
      <c r="S494" s="541" t="s">
        <v>316</v>
      </c>
      <c r="T494" s="541"/>
    </row>
    <row r="495" spans="1:20" ht="22.5">
      <c r="A495" s="233" t="s">
        <v>15</v>
      </c>
      <c r="B495" s="7"/>
      <c r="C495" s="232" t="s">
        <v>264</v>
      </c>
      <c r="D495" s="369" t="s">
        <v>375</v>
      </c>
      <c r="E495" s="366" t="s">
        <v>99</v>
      </c>
      <c r="F495" s="367"/>
      <c r="G495" s="375">
        <v>38266</v>
      </c>
      <c r="H495" s="375">
        <v>38306</v>
      </c>
      <c r="I495" s="362" t="s">
        <v>70</v>
      </c>
      <c r="J495" s="363">
        <v>230</v>
      </c>
      <c r="K495" s="364">
        <f aca="true" t="shared" si="112" ref="K495:K518">J495*20%</f>
        <v>46</v>
      </c>
      <c r="L495" s="373">
        <f t="shared" si="111"/>
        <v>276</v>
      </c>
      <c r="M495" s="68">
        <v>46</v>
      </c>
      <c r="N495" s="68">
        <v>9.2</v>
      </c>
      <c r="O495" s="255">
        <v>55.2</v>
      </c>
      <c r="P495" s="68">
        <f t="shared" si="108"/>
        <v>29.900000000000002</v>
      </c>
      <c r="Q495" s="68">
        <f t="shared" si="109"/>
        <v>5.9799999999999995</v>
      </c>
      <c r="R495" s="255">
        <f t="shared" si="110"/>
        <v>35.88</v>
      </c>
      <c r="S495" s="541"/>
      <c r="T495" s="541"/>
    </row>
    <row r="496" spans="1:20" ht="22.5">
      <c r="A496" s="233" t="s">
        <v>15</v>
      </c>
      <c r="B496" s="7"/>
      <c r="C496" s="232" t="s">
        <v>264</v>
      </c>
      <c r="D496" s="359" t="s">
        <v>353</v>
      </c>
      <c r="E496" s="360"/>
      <c r="F496" s="361"/>
      <c r="G496" s="374">
        <v>38322</v>
      </c>
      <c r="H496" s="374">
        <v>38334</v>
      </c>
      <c r="I496" s="362" t="s">
        <v>88</v>
      </c>
      <c r="J496" s="363">
        <v>534.4</v>
      </c>
      <c r="K496" s="364">
        <v>0</v>
      </c>
      <c r="L496" s="373">
        <f>SUM(J496:K496)</f>
        <v>534.4</v>
      </c>
      <c r="M496" s="68">
        <v>80.16</v>
      </c>
      <c r="N496" s="68">
        <v>0</v>
      </c>
      <c r="O496" s="255">
        <v>80.16</v>
      </c>
      <c r="P496" s="68">
        <f t="shared" si="108"/>
        <v>52.104</v>
      </c>
      <c r="Q496" s="68">
        <f t="shared" si="109"/>
        <v>0</v>
      </c>
      <c r="R496" s="255">
        <f t="shared" si="110"/>
        <v>52.104</v>
      </c>
      <c r="S496" s="541" t="s">
        <v>316</v>
      </c>
      <c r="T496" s="541"/>
    </row>
    <row r="497" spans="1:20" ht="22.5">
      <c r="A497" s="233" t="s">
        <v>15</v>
      </c>
      <c r="B497" s="7"/>
      <c r="C497" s="232" t="s">
        <v>264</v>
      </c>
      <c r="D497" s="359" t="s">
        <v>190</v>
      </c>
      <c r="E497" s="360"/>
      <c r="F497" s="361"/>
      <c r="G497" s="374">
        <v>38324</v>
      </c>
      <c r="H497" s="374">
        <v>38338</v>
      </c>
      <c r="I497" s="362" t="s">
        <v>78</v>
      </c>
      <c r="J497" s="363">
        <v>139.98</v>
      </c>
      <c r="K497" s="364">
        <v>0</v>
      </c>
      <c r="L497" s="373">
        <f>SUM(J497:K497)</f>
        <v>139.98</v>
      </c>
      <c r="M497" s="68">
        <v>20.996999999999996</v>
      </c>
      <c r="N497" s="68">
        <v>0</v>
      </c>
      <c r="O497" s="255">
        <v>20.996999999999996</v>
      </c>
      <c r="P497" s="68">
        <f t="shared" si="108"/>
        <v>13.648049999999998</v>
      </c>
      <c r="Q497" s="68">
        <f t="shared" si="109"/>
        <v>0</v>
      </c>
      <c r="R497" s="255">
        <f t="shared" si="110"/>
        <v>13.648049999999998</v>
      </c>
      <c r="S497" s="541" t="s">
        <v>316</v>
      </c>
      <c r="T497" s="541"/>
    </row>
    <row r="498" spans="1:20" ht="22.5">
      <c r="A498" s="233" t="s">
        <v>15</v>
      </c>
      <c r="B498" s="7"/>
      <c r="C498" s="232" t="s">
        <v>264</v>
      </c>
      <c r="D498" s="365" t="s">
        <v>400</v>
      </c>
      <c r="E498" s="366" t="s">
        <v>189</v>
      </c>
      <c r="F498" s="367">
        <v>6123761336</v>
      </c>
      <c r="G498" s="375">
        <v>38308</v>
      </c>
      <c r="H498" s="375">
        <v>38338</v>
      </c>
      <c r="I498" s="368" t="s">
        <v>70</v>
      </c>
      <c r="J498" s="362">
        <v>148.76</v>
      </c>
      <c r="K498" s="364">
        <f t="shared" si="112"/>
        <v>29.752</v>
      </c>
      <c r="L498" s="373">
        <f t="shared" si="111"/>
        <v>178.512</v>
      </c>
      <c r="M498" s="68">
        <v>22.313999999999997</v>
      </c>
      <c r="N498" s="68">
        <v>4.4628</v>
      </c>
      <c r="O498" s="255">
        <v>26.776799999999994</v>
      </c>
      <c r="P498" s="68">
        <f t="shared" si="108"/>
        <v>14.504099999999998</v>
      </c>
      <c r="Q498" s="68">
        <f t="shared" si="109"/>
        <v>2.90082</v>
      </c>
      <c r="R498" s="255">
        <f t="shared" si="110"/>
        <v>17.404919999999997</v>
      </c>
      <c r="S498" s="541" t="s">
        <v>316</v>
      </c>
      <c r="T498" s="541"/>
    </row>
    <row r="499" spans="1:20" ht="22.5">
      <c r="A499" s="233" t="s">
        <v>15</v>
      </c>
      <c r="B499" s="7"/>
      <c r="C499" s="232" t="s">
        <v>264</v>
      </c>
      <c r="D499" s="359" t="s">
        <v>404</v>
      </c>
      <c r="E499" s="360"/>
      <c r="F499" s="361"/>
      <c r="G499" s="374">
        <v>38353</v>
      </c>
      <c r="H499" s="374">
        <v>38363</v>
      </c>
      <c r="I499" s="362" t="s">
        <v>88</v>
      </c>
      <c r="J499" s="363">
        <v>534.4</v>
      </c>
      <c r="K499" s="364">
        <v>0</v>
      </c>
      <c r="L499" s="373">
        <f t="shared" si="111"/>
        <v>534.4</v>
      </c>
      <c r="M499" s="68">
        <v>106.88</v>
      </c>
      <c r="N499" s="68">
        <v>0</v>
      </c>
      <c r="O499" s="255">
        <v>106.88</v>
      </c>
      <c r="P499" s="68">
        <f t="shared" si="108"/>
        <v>69.472</v>
      </c>
      <c r="Q499" s="68">
        <f t="shared" si="109"/>
        <v>0</v>
      </c>
      <c r="R499" s="255">
        <f t="shared" si="110"/>
        <v>69.472</v>
      </c>
      <c r="S499" s="541" t="s">
        <v>316</v>
      </c>
      <c r="T499" s="541"/>
    </row>
    <row r="500" spans="1:20" ht="22.5">
      <c r="A500" s="233" t="s">
        <v>15</v>
      </c>
      <c r="B500" s="7"/>
      <c r="C500" s="232" t="s">
        <v>264</v>
      </c>
      <c r="D500" s="359" t="s">
        <v>401</v>
      </c>
      <c r="E500" s="360"/>
      <c r="F500" s="361"/>
      <c r="G500" s="374">
        <v>38355</v>
      </c>
      <c r="H500" s="374">
        <v>38363</v>
      </c>
      <c r="I500" s="362" t="s">
        <v>78</v>
      </c>
      <c r="J500" s="363">
        <v>139.98</v>
      </c>
      <c r="K500" s="364">
        <v>0</v>
      </c>
      <c r="L500" s="373">
        <f t="shared" si="111"/>
        <v>139.98</v>
      </c>
      <c r="M500" s="68">
        <v>27.996</v>
      </c>
      <c r="N500" s="68">
        <v>0</v>
      </c>
      <c r="O500" s="255">
        <v>27.996</v>
      </c>
      <c r="P500" s="68">
        <f t="shared" si="108"/>
        <v>18.1974</v>
      </c>
      <c r="Q500" s="68">
        <f t="shared" si="109"/>
        <v>0</v>
      </c>
      <c r="R500" s="255">
        <f t="shared" si="110"/>
        <v>18.1974</v>
      </c>
      <c r="S500" s="541" t="s">
        <v>316</v>
      </c>
      <c r="T500" s="541"/>
    </row>
    <row r="501" spans="1:20" ht="22.5">
      <c r="A501" s="233" t="s">
        <v>15</v>
      </c>
      <c r="B501" s="7"/>
      <c r="C501" s="232" t="s">
        <v>264</v>
      </c>
      <c r="D501" s="370" t="s">
        <v>390</v>
      </c>
      <c r="E501" s="360" t="s">
        <v>73</v>
      </c>
      <c r="F501" s="361" t="s">
        <v>405</v>
      </c>
      <c r="G501" s="374">
        <v>38366</v>
      </c>
      <c r="H501" s="374">
        <v>38376</v>
      </c>
      <c r="I501" s="368" t="s">
        <v>196</v>
      </c>
      <c r="J501" s="362">
        <v>53.94</v>
      </c>
      <c r="K501" s="364">
        <f t="shared" si="112"/>
        <v>10.788</v>
      </c>
      <c r="L501" s="373">
        <f t="shared" si="111"/>
        <v>64.728</v>
      </c>
      <c r="M501" s="68">
        <v>10.788</v>
      </c>
      <c r="N501" s="68">
        <v>2.1576</v>
      </c>
      <c r="O501" s="255">
        <v>12.9456</v>
      </c>
      <c r="P501" s="68">
        <f t="shared" si="108"/>
        <v>7.0122</v>
      </c>
      <c r="Q501" s="68">
        <f t="shared" si="109"/>
        <v>1.4024400000000001</v>
      </c>
      <c r="R501" s="255">
        <f t="shared" si="110"/>
        <v>8.41464</v>
      </c>
      <c r="S501" s="541"/>
      <c r="T501" s="541"/>
    </row>
    <row r="502" spans="1:20" ht="22.5">
      <c r="A502" s="233" t="s">
        <v>15</v>
      </c>
      <c r="B502" s="7"/>
      <c r="C502" s="232" t="s">
        <v>264</v>
      </c>
      <c r="D502" s="359" t="s">
        <v>128</v>
      </c>
      <c r="E502" s="360" t="s">
        <v>197</v>
      </c>
      <c r="F502" s="361">
        <v>4336999</v>
      </c>
      <c r="G502" s="374">
        <v>38344</v>
      </c>
      <c r="H502" s="374">
        <v>38366</v>
      </c>
      <c r="I502" s="368" t="s">
        <v>196</v>
      </c>
      <c r="J502" s="363">
        <v>85.85</v>
      </c>
      <c r="K502" s="364">
        <f t="shared" si="112"/>
        <v>17.169999999999998</v>
      </c>
      <c r="L502" s="373">
        <f t="shared" si="111"/>
        <v>103.02</v>
      </c>
      <c r="M502" s="68">
        <v>17.17</v>
      </c>
      <c r="N502" s="68">
        <v>3.4339999999999997</v>
      </c>
      <c r="O502" s="255">
        <v>20.604</v>
      </c>
      <c r="P502" s="68">
        <f t="shared" si="108"/>
        <v>11.1605</v>
      </c>
      <c r="Q502" s="68">
        <f t="shared" si="109"/>
        <v>2.2321</v>
      </c>
      <c r="R502" s="255">
        <f t="shared" si="110"/>
        <v>13.3926</v>
      </c>
      <c r="S502" s="541" t="s">
        <v>316</v>
      </c>
      <c r="T502" s="541"/>
    </row>
    <row r="503" spans="1:20" ht="22.5">
      <c r="A503" s="233" t="s">
        <v>15</v>
      </c>
      <c r="B503" s="7"/>
      <c r="C503" s="232" t="s">
        <v>264</v>
      </c>
      <c r="D503" s="359" t="s">
        <v>383</v>
      </c>
      <c r="E503" s="360" t="s">
        <v>99</v>
      </c>
      <c r="F503" s="361"/>
      <c r="G503" s="374">
        <v>38327</v>
      </c>
      <c r="H503" s="374">
        <v>38363</v>
      </c>
      <c r="I503" s="362" t="s">
        <v>385</v>
      </c>
      <c r="J503" s="371">
        <v>166.25</v>
      </c>
      <c r="K503" s="364">
        <f t="shared" si="112"/>
        <v>33.25</v>
      </c>
      <c r="L503" s="373">
        <f t="shared" si="111"/>
        <v>199.5</v>
      </c>
      <c r="M503" s="68">
        <v>33.25</v>
      </c>
      <c r="N503" s="68">
        <v>6.65</v>
      </c>
      <c r="O503" s="255">
        <v>39.9</v>
      </c>
      <c r="P503" s="68">
        <f t="shared" si="108"/>
        <v>21.6125</v>
      </c>
      <c r="Q503" s="68">
        <f t="shared" si="109"/>
        <v>4.322500000000001</v>
      </c>
      <c r="R503" s="255">
        <f t="shared" si="110"/>
        <v>25.935</v>
      </c>
      <c r="S503" s="541" t="s">
        <v>316</v>
      </c>
      <c r="T503" s="541"/>
    </row>
    <row r="504" spans="1:20" ht="22.5">
      <c r="A504" s="233" t="s">
        <v>15</v>
      </c>
      <c r="B504" s="7"/>
      <c r="C504" s="232" t="s">
        <v>264</v>
      </c>
      <c r="D504" s="359" t="s">
        <v>406</v>
      </c>
      <c r="E504" s="360"/>
      <c r="F504" s="361"/>
      <c r="G504" s="374">
        <v>38384</v>
      </c>
      <c r="H504" s="374">
        <v>38404</v>
      </c>
      <c r="I504" s="362" t="s">
        <v>88</v>
      </c>
      <c r="J504" s="363">
        <v>534.4</v>
      </c>
      <c r="K504" s="364">
        <v>0</v>
      </c>
      <c r="L504" s="373">
        <f t="shared" si="111"/>
        <v>534.4</v>
      </c>
      <c r="M504" s="68">
        <v>106.88</v>
      </c>
      <c r="N504" s="68">
        <v>0</v>
      </c>
      <c r="O504" s="255">
        <v>106.88</v>
      </c>
      <c r="P504" s="68">
        <f t="shared" si="108"/>
        <v>69.472</v>
      </c>
      <c r="Q504" s="68">
        <f t="shared" si="109"/>
        <v>0</v>
      </c>
      <c r="R504" s="255">
        <f t="shared" si="110"/>
        <v>69.472</v>
      </c>
      <c r="S504" s="541" t="s">
        <v>316</v>
      </c>
      <c r="T504" s="541"/>
    </row>
    <row r="505" spans="1:20" ht="22.5">
      <c r="A505" s="233" t="s">
        <v>15</v>
      </c>
      <c r="B505" s="7"/>
      <c r="C505" s="232" t="s">
        <v>264</v>
      </c>
      <c r="D505" s="359" t="s">
        <v>401</v>
      </c>
      <c r="E505" s="360"/>
      <c r="F505" s="361"/>
      <c r="G505" s="374">
        <v>38386</v>
      </c>
      <c r="H505" s="374">
        <v>38411</v>
      </c>
      <c r="I505" s="362" t="s">
        <v>78</v>
      </c>
      <c r="J505" s="363">
        <v>181.12</v>
      </c>
      <c r="K505" s="364">
        <v>0</v>
      </c>
      <c r="L505" s="373">
        <f t="shared" si="111"/>
        <v>181.12</v>
      </c>
      <c r="M505" s="68">
        <v>36.224000000000004</v>
      </c>
      <c r="N505" s="68">
        <v>0</v>
      </c>
      <c r="O505" s="255">
        <v>36.224000000000004</v>
      </c>
      <c r="P505" s="68">
        <f t="shared" si="108"/>
        <v>23.545600000000004</v>
      </c>
      <c r="Q505" s="68">
        <f t="shared" si="109"/>
        <v>0</v>
      </c>
      <c r="R505" s="255">
        <f t="shared" si="110"/>
        <v>23.545600000000004</v>
      </c>
      <c r="S505" s="541" t="s">
        <v>316</v>
      </c>
      <c r="T505" s="541"/>
    </row>
    <row r="506" spans="1:20" ht="22.5">
      <c r="A506" s="233" t="s">
        <v>15</v>
      </c>
      <c r="B506" s="7"/>
      <c r="C506" s="232" t="s">
        <v>264</v>
      </c>
      <c r="D506" s="365" t="s">
        <v>407</v>
      </c>
      <c r="E506" s="366" t="s">
        <v>189</v>
      </c>
      <c r="F506" s="367">
        <v>71105864490</v>
      </c>
      <c r="G506" s="375">
        <v>38369</v>
      </c>
      <c r="H506" s="375">
        <v>38397</v>
      </c>
      <c r="I506" s="368" t="s">
        <v>70</v>
      </c>
      <c r="J506" s="362">
        <v>128.33</v>
      </c>
      <c r="K506" s="364">
        <f t="shared" si="112"/>
        <v>25.666000000000004</v>
      </c>
      <c r="L506" s="373">
        <f t="shared" si="111"/>
        <v>153.996</v>
      </c>
      <c r="M506" s="68">
        <v>25.666000000000004</v>
      </c>
      <c r="N506" s="68">
        <v>5.133200000000001</v>
      </c>
      <c r="O506" s="255">
        <v>30.799200000000006</v>
      </c>
      <c r="P506" s="68">
        <f t="shared" si="108"/>
        <v>16.682900000000004</v>
      </c>
      <c r="Q506" s="68">
        <f t="shared" si="109"/>
        <v>3.336580000000001</v>
      </c>
      <c r="R506" s="255">
        <f t="shared" si="110"/>
        <v>20.019480000000005</v>
      </c>
      <c r="S506" s="541"/>
      <c r="T506" s="541"/>
    </row>
    <row r="507" spans="1:20" ht="22.5">
      <c r="A507" s="233" t="s">
        <v>15</v>
      </c>
      <c r="B507" s="7"/>
      <c r="C507" s="232" t="s">
        <v>264</v>
      </c>
      <c r="D507" s="359" t="s">
        <v>408</v>
      </c>
      <c r="E507" s="360"/>
      <c r="F507" s="361"/>
      <c r="G507" s="374">
        <v>38412</v>
      </c>
      <c r="H507" s="374">
        <v>38433</v>
      </c>
      <c r="I507" s="362" t="s">
        <v>88</v>
      </c>
      <c r="J507" s="363">
        <v>534.4</v>
      </c>
      <c r="K507" s="364">
        <v>0</v>
      </c>
      <c r="L507" s="373">
        <f t="shared" si="111"/>
        <v>534.4</v>
      </c>
      <c r="M507" s="68">
        <v>106.88</v>
      </c>
      <c r="N507" s="68">
        <v>0</v>
      </c>
      <c r="O507" s="255">
        <v>106.88</v>
      </c>
      <c r="P507" s="68">
        <f t="shared" si="108"/>
        <v>69.472</v>
      </c>
      <c r="Q507" s="68">
        <f t="shared" si="109"/>
        <v>0</v>
      </c>
      <c r="R507" s="255">
        <f t="shared" si="110"/>
        <v>69.472</v>
      </c>
      <c r="S507" s="541" t="s">
        <v>316</v>
      </c>
      <c r="T507" s="541"/>
    </row>
    <row r="508" spans="1:20" ht="22.5">
      <c r="A508" s="233" t="s">
        <v>15</v>
      </c>
      <c r="B508" s="7"/>
      <c r="C508" s="232" t="s">
        <v>264</v>
      </c>
      <c r="D508" s="359" t="s">
        <v>401</v>
      </c>
      <c r="E508" s="360"/>
      <c r="F508" s="361"/>
      <c r="G508" s="374">
        <v>38414</v>
      </c>
      <c r="H508" s="374">
        <v>38433</v>
      </c>
      <c r="I508" s="362" t="s">
        <v>78</v>
      </c>
      <c r="J508" s="363">
        <v>139.98</v>
      </c>
      <c r="K508" s="364">
        <v>0</v>
      </c>
      <c r="L508" s="373">
        <f t="shared" si="111"/>
        <v>139.98</v>
      </c>
      <c r="M508" s="68">
        <v>27.996</v>
      </c>
      <c r="N508" s="68">
        <v>0</v>
      </c>
      <c r="O508" s="255">
        <v>27.996</v>
      </c>
      <c r="P508" s="68">
        <f t="shared" si="108"/>
        <v>18.1974</v>
      </c>
      <c r="Q508" s="68">
        <f t="shared" si="109"/>
        <v>0</v>
      </c>
      <c r="R508" s="255">
        <f t="shared" si="110"/>
        <v>18.1974</v>
      </c>
      <c r="S508" s="541" t="s">
        <v>316</v>
      </c>
      <c r="T508" s="541"/>
    </row>
    <row r="509" spans="1:20" ht="22.5">
      <c r="A509" s="233" t="s">
        <v>15</v>
      </c>
      <c r="B509" s="7"/>
      <c r="C509" s="232" t="s">
        <v>264</v>
      </c>
      <c r="D509" s="369" t="s">
        <v>409</v>
      </c>
      <c r="E509" s="366" t="s">
        <v>99</v>
      </c>
      <c r="F509" s="367"/>
      <c r="G509" s="375">
        <v>38390</v>
      </c>
      <c r="H509" s="375">
        <v>38419</v>
      </c>
      <c r="I509" s="362" t="s">
        <v>70</v>
      </c>
      <c r="J509" s="363">
        <v>179.58</v>
      </c>
      <c r="K509" s="364">
        <f t="shared" si="112"/>
        <v>35.916000000000004</v>
      </c>
      <c r="L509" s="373">
        <f t="shared" si="111"/>
        <v>215.496</v>
      </c>
      <c r="M509" s="68">
        <v>35.916000000000004</v>
      </c>
      <c r="N509" s="68">
        <v>7.183200000000001</v>
      </c>
      <c r="O509" s="255">
        <v>43.0992</v>
      </c>
      <c r="P509" s="68">
        <f t="shared" si="108"/>
        <v>23.345400000000005</v>
      </c>
      <c r="Q509" s="68">
        <f t="shared" si="109"/>
        <v>4.669080000000001</v>
      </c>
      <c r="R509" s="255">
        <f t="shared" si="110"/>
        <v>28.014480000000002</v>
      </c>
      <c r="S509" s="541"/>
      <c r="T509" s="541"/>
    </row>
    <row r="510" spans="1:20" ht="22.5">
      <c r="A510" s="233" t="s">
        <v>15</v>
      </c>
      <c r="B510" s="7"/>
      <c r="C510" s="232" t="s">
        <v>264</v>
      </c>
      <c r="D510" s="359" t="s">
        <v>410</v>
      </c>
      <c r="E510" s="360"/>
      <c r="F510" s="361"/>
      <c r="G510" s="374">
        <v>38443</v>
      </c>
      <c r="H510" s="374">
        <v>38457</v>
      </c>
      <c r="I510" s="362" t="s">
        <v>88</v>
      </c>
      <c r="J510" s="363">
        <v>534.4</v>
      </c>
      <c r="K510" s="364">
        <v>0</v>
      </c>
      <c r="L510" s="373">
        <f t="shared" si="111"/>
        <v>534.4</v>
      </c>
      <c r="M510" s="68">
        <v>106.88</v>
      </c>
      <c r="N510" s="68">
        <v>0</v>
      </c>
      <c r="O510" s="255">
        <v>106.88</v>
      </c>
      <c r="P510" s="68">
        <f t="shared" si="108"/>
        <v>69.472</v>
      </c>
      <c r="Q510" s="68">
        <f t="shared" si="109"/>
        <v>0</v>
      </c>
      <c r="R510" s="255">
        <f t="shared" si="110"/>
        <v>69.472</v>
      </c>
      <c r="S510" s="541" t="s">
        <v>316</v>
      </c>
      <c r="T510" s="541"/>
    </row>
    <row r="511" spans="1:20" ht="22.5">
      <c r="A511" s="233" t="s">
        <v>15</v>
      </c>
      <c r="B511" s="7"/>
      <c r="C511" s="232" t="s">
        <v>264</v>
      </c>
      <c r="D511" s="370" t="s">
        <v>390</v>
      </c>
      <c r="E511" s="360" t="s">
        <v>73</v>
      </c>
      <c r="F511" s="361" t="s">
        <v>411</v>
      </c>
      <c r="G511" s="374">
        <v>38421</v>
      </c>
      <c r="H511" s="374">
        <v>38457</v>
      </c>
      <c r="I511" s="368" t="s">
        <v>196</v>
      </c>
      <c r="J511" s="362">
        <v>51.63</v>
      </c>
      <c r="K511" s="364">
        <f t="shared" si="112"/>
        <v>10.326</v>
      </c>
      <c r="L511" s="373">
        <f t="shared" si="111"/>
        <v>61.956</v>
      </c>
      <c r="M511" s="68">
        <v>10.326</v>
      </c>
      <c r="N511" s="68">
        <v>2.0652000000000004</v>
      </c>
      <c r="O511" s="255">
        <v>12.391200000000001</v>
      </c>
      <c r="P511" s="68">
        <f t="shared" si="108"/>
        <v>6.711900000000001</v>
      </c>
      <c r="Q511" s="68">
        <f t="shared" si="109"/>
        <v>1.3423800000000004</v>
      </c>
      <c r="R511" s="255">
        <f t="shared" si="110"/>
        <v>8.05428</v>
      </c>
      <c r="S511" s="541"/>
      <c r="T511" s="541"/>
    </row>
    <row r="512" spans="1:20" ht="22.5">
      <c r="A512" s="233" t="s">
        <v>15</v>
      </c>
      <c r="B512" s="7"/>
      <c r="C512" s="232" t="s">
        <v>264</v>
      </c>
      <c r="D512" s="365" t="s">
        <v>407</v>
      </c>
      <c r="E512" s="366" t="s">
        <v>189</v>
      </c>
      <c r="F512" s="367">
        <v>7113052169</v>
      </c>
      <c r="G512" s="375">
        <v>38428</v>
      </c>
      <c r="H512" s="375">
        <v>38457</v>
      </c>
      <c r="I512" s="368" t="s">
        <v>70</v>
      </c>
      <c r="J512" s="362">
        <v>128.47</v>
      </c>
      <c r="K512" s="364">
        <f t="shared" si="112"/>
        <v>25.694000000000003</v>
      </c>
      <c r="L512" s="373">
        <f t="shared" si="111"/>
        <v>154.164</v>
      </c>
      <c r="M512" s="68">
        <v>25.694000000000003</v>
      </c>
      <c r="N512" s="68">
        <v>5.138800000000001</v>
      </c>
      <c r="O512" s="255">
        <v>30.832800000000002</v>
      </c>
      <c r="P512" s="68">
        <f t="shared" si="108"/>
        <v>16.701100000000004</v>
      </c>
      <c r="Q512" s="68">
        <f t="shared" si="109"/>
        <v>3.3402200000000004</v>
      </c>
      <c r="R512" s="255">
        <f t="shared" si="110"/>
        <v>20.041320000000002</v>
      </c>
      <c r="S512" s="541"/>
      <c r="T512" s="541"/>
    </row>
    <row r="513" spans="1:20" ht="22.5">
      <c r="A513" s="233" t="s">
        <v>15</v>
      </c>
      <c r="B513" s="7"/>
      <c r="C513" s="232" t="s">
        <v>264</v>
      </c>
      <c r="D513" s="359" t="s">
        <v>412</v>
      </c>
      <c r="E513" s="360"/>
      <c r="F513" s="361"/>
      <c r="G513" s="374">
        <v>38473</v>
      </c>
      <c r="H513" s="374">
        <v>38484</v>
      </c>
      <c r="I513" s="362" t="s">
        <v>88</v>
      </c>
      <c r="J513" s="363">
        <v>601.29</v>
      </c>
      <c r="K513" s="364">
        <v>0</v>
      </c>
      <c r="L513" s="373">
        <f t="shared" si="111"/>
        <v>601.29</v>
      </c>
      <c r="M513" s="68">
        <v>120.258</v>
      </c>
      <c r="N513" s="68">
        <v>0</v>
      </c>
      <c r="O513" s="255">
        <v>120.258</v>
      </c>
      <c r="P513" s="68">
        <f t="shared" si="108"/>
        <v>78.1677</v>
      </c>
      <c r="Q513" s="68">
        <f t="shared" si="109"/>
        <v>0</v>
      </c>
      <c r="R513" s="255">
        <f t="shared" si="110"/>
        <v>78.1677</v>
      </c>
      <c r="S513" s="541" t="s">
        <v>316</v>
      </c>
      <c r="T513" s="541"/>
    </row>
    <row r="514" spans="1:20" ht="22.5">
      <c r="A514" s="233" t="s">
        <v>15</v>
      </c>
      <c r="B514" s="7"/>
      <c r="C514" s="232" t="s">
        <v>264</v>
      </c>
      <c r="D514" s="359" t="s">
        <v>401</v>
      </c>
      <c r="E514" s="360"/>
      <c r="F514" s="361"/>
      <c r="G514" s="374">
        <v>38451</v>
      </c>
      <c r="H514" s="374">
        <v>38484</v>
      </c>
      <c r="I514" s="362" t="s">
        <v>78</v>
      </c>
      <c r="J514" s="363">
        <v>258.33</v>
      </c>
      <c r="K514" s="364">
        <v>0</v>
      </c>
      <c r="L514" s="373">
        <f t="shared" si="111"/>
        <v>258.33</v>
      </c>
      <c r="M514" s="68">
        <v>51.666</v>
      </c>
      <c r="N514" s="68">
        <v>0</v>
      </c>
      <c r="O514" s="255">
        <v>51.666</v>
      </c>
      <c r="P514" s="68">
        <f t="shared" si="108"/>
        <v>33.5829</v>
      </c>
      <c r="Q514" s="68">
        <f t="shared" si="109"/>
        <v>0</v>
      </c>
      <c r="R514" s="255">
        <f t="shared" si="110"/>
        <v>33.5829</v>
      </c>
      <c r="S514" s="541" t="s">
        <v>316</v>
      </c>
      <c r="T514" s="541"/>
    </row>
    <row r="515" spans="1:20" ht="22.5">
      <c r="A515" s="233" t="s">
        <v>15</v>
      </c>
      <c r="B515" s="7"/>
      <c r="C515" s="232" t="s">
        <v>264</v>
      </c>
      <c r="D515" s="359" t="s">
        <v>128</v>
      </c>
      <c r="E515" s="360" t="s">
        <v>197</v>
      </c>
      <c r="F515" s="361">
        <v>5100619</v>
      </c>
      <c r="G515" s="374">
        <v>38434</v>
      </c>
      <c r="H515" s="374">
        <v>38456</v>
      </c>
      <c r="I515" s="368" t="s">
        <v>196</v>
      </c>
      <c r="J515" s="363">
        <v>100.16</v>
      </c>
      <c r="K515" s="364">
        <f t="shared" si="112"/>
        <v>20.032</v>
      </c>
      <c r="L515" s="373">
        <f t="shared" si="111"/>
        <v>120.192</v>
      </c>
      <c r="M515" s="68">
        <v>20.032</v>
      </c>
      <c r="N515" s="68">
        <v>4.0064</v>
      </c>
      <c r="O515" s="255">
        <v>24.0384</v>
      </c>
      <c r="P515" s="68">
        <f t="shared" si="108"/>
        <v>13.020800000000001</v>
      </c>
      <c r="Q515" s="68">
        <f t="shared" si="109"/>
        <v>2.6041600000000003</v>
      </c>
      <c r="R515" s="255">
        <f t="shared" si="110"/>
        <v>15.62496</v>
      </c>
      <c r="S515" s="541" t="s">
        <v>316</v>
      </c>
      <c r="T515" s="541"/>
    </row>
    <row r="516" spans="1:20" ht="22.5">
      <c r="A516" s="233" t="s">
        <v>15</v>
      </c>
      <c r="B516" s="7"/>
      <c r="C516" s="232" t="s">
        <v>264</v>
      </c>
      <c r="D516" s="372" t="s">
        <v>413</v>
      </c>
      <c r="E516" s="360" t="s">
        <v>414</v>
      </c>
      <c r="F516" s="361"/>
      <c r="G516" s="374">
        <v>38457</v>
      </c>
      <c r="H516" s="374">
        <v>38457</v>
      </c>
      <c r="I516" s="368" t="s">
        <v>415</v>
      </c>
      <c r="J516" s="363">
        <v>254.7</v>
      </c>
      <c r="K516" s="364">
        <v>0</v>
      </c>
      <c r="L516" s="373">
        <f t="shared" si="111"/>
        <v>254.7</v>
      </c>
      <c r="M516" s="68">
        <v>254.7</v>
      </c>
      <c r="N516" s="68">
        <v>0</v>
      </c>
      <c r="O516" s="255">
        <v>254.7</v>
      </c>
      <c r="P516" s="68">
        <f t="shared" si="108"/>
        <v>165.555</v>
      </c>
      <c r="Q516" s="68">
        <f t="shared" si="109"/>
        <v>0</v>
      </c>
      <c r="R516" s="255">
        <f t="shared" si="110"/>
        <v>165.555</v>
      </c>
      <c r="S516" s="541" t="s">
        <v>417</v>
      </c>
      <c r="T516" s="541"/>
    </row>
    <row r="517" spans="1:20" ht="22.5">
      <c r="A517" s="233" t="s">
        <v>15</v>
      </c>
      <c r="B517" s="7"/>
      <c r="C517" s="232" t="s">
        <v>264</v>
      </c>
      <c r="D517" s="370" t="s">
        <v>390</v>
      </c>
      <c r="E517" s="360" t="s">
        <v>73</v>
      </c>
      <c r="F517" s="361" t="s">
        <v>416</v>
      </c>
      <c r="G517" s="374">
        <v>38482</v>
      </c>
      <c r="H517" s="374">
        <v>38488</v>
      </c>
      <c r="I517" s="368" t="s">
        <v>196</v>
      </c>
      <c r="J517" s="362">
        <v>50.88</v>
      </c>
      <c r="K517" s="364">
        <f t="shared" si="112"/>
        <v>10.176000000000002</v>
      </c>
      <c r="L517" s="373">
        <f t="shared" si="111"/>
        <v>61.056000000000004</v>
      </c>
      <c r="M517" s="68">
        <v>10.176000000000002</v>
      </c>
      <c r="N517" s="68">
        <v>2.0352000000000006</v>
      </c>
      <c r="O517" s="255">
        <v>12.211200000000002</v>
      </c>
      <c r="P517" s="68">
        <f t="shared" si="108"/>
        <v>6.614400000000002</v>
      </c>
      <c r="Q517" s="68">
        <f t="shared" si="109"/>
        <v>1.3228800000000005</v>
      </c>
      <c r="R517" s="255">
        <f t="shared" si="110"/>
        <v>7.937280000000001</v>
      </c>
      <c r="S517" s="541"/>
      <c r="T517" s="541"/>
    </row>
    <row r="518" spans="1:20" ht="22.5">
      <c r="A518" s="233" t="s">
        <v>15</v>
      </c>
      <c r="B518" s="7"/>
      <c r="C518" s="232" t="s">
        <v>264</v>
      </c>
      <c r="D518" s="365" t="s">
        <v>407</v>
      </c>
      <c r="E518" s="366" t="s">
        <v>189</v>
      </c>
      <c r="F518" s="367">
        <v>7114298156</v>
      </c>
      <c r="G518" s="375">
        <v>38460</v>
      </c>
      <c r="H518" s="375">
        <v>38488</v>
      </c>
      <c r="I518" s="368" t="s">
        <v>70</v>
      </c>
      <c r="J518" s="362">
        <v>160.94</v>
      </c>
      <c r="K518" s="364">
        <f t="shared" si="112"/>
        <v>32.188</v>
      </c>
      <c r="L518" s="373">
        <f t="shared" si="111"/>
        <v>193.128</v>
      </c>
      <c r="M518" s="68">
        <v>32.188</v>
      </c>
      <c r="N518" s="68">
        <v>6.437600000000001</v>
      </c>
      <c r="O518" s="255">
        <v>38.625600000000006</v>
      </c>
      <c r="P518" s="68">
        <f t="shared" si="108"/>
        <v>20.922200000000004</v>
      </c>
      <c r="Q518" s="68">
        <f t="shared" si="109"/>
        <v>4.18444</v>
      </c>
      <c r="R518" s="255">
        <f t="shared" si="110"/>
        <v>25.106640000000006</v>
      </c>
      <c r="S518" s="541"/>
      <c r="T518" s="541"/>
    </row>
    <row r="519" spans="1:20" ht="22.5">
      <c r="A519" s="233" t="s">
        <v>15</v>
      </c>
      <c r="B519" s="7"/>
      <c r="C519" s="232" t="s">
        <v>267</v>
      </c>
      <c r="D519" s="102" t="s">
        <v>418</v>
      </c>
      <c r="E519" s="102" t="s">
        <v>419</v>
      </c>
      <c r="F519" s="247">
        <v>516</v>
      </c>
      <c r="G519" s="325">
        <v>38161</v>
      </c>
      <c r="H519" s="104">
        <v>38163</v>
      </c>
      <c r="I519" s="104" t="s">
        <v>173</v>
      </c>
      <c r="J519" s="326">
        <v>130</v>
      </c>
      <c r="K519" s="376">
        <v>26</v>
      </c>
      <c r="L519" s="330">
        <f>J519+K519</f>
        <v>156</v>
      </c>
      <c r="M519" s="68"/>
      <c r="N519" s="68"/>
      <c r="O519" s="255"/>
      <c r="P519" s="68">
        <f aca="true" t="shared" si="113" ref="P519:P564">+M519*0.65</f>
        <v>0</v>
      </c>
      <c r="Q519" s="68">
        <f aca="true" t="shared" si="114" ref="Q519:Q564">+N519*0.65</f>
        <v>0</v>
      </c>
      <c r="R519" s="255">
        <f aca="true" t="shared" si="115" ref="R519:R564">+O519*0.65</f>
        <v>0</v>
      </c>
      <c r="S519" s="541" t="s">
        <v>317</v>
      </c>
      <c r="T519" s="541"/>
    </row>
    <row r="520" spans="1:20" ht="22.5">
      <c r="A520" s="233" t="s">
        <v>15</v>
      </c>
      <c r="B520" s="7"/>
      <c r="C520" s="232" t="s">
        <v>267</v>
      </c>
      <c r="D520" s="102" t="s">
        <v>420</v>
      </c>
      <c r="E520" s="102" t="s">
        <v>419</v>
      </c>
      <c r="F520" s="247">
        <v>609</v>
      </c>
      <c r="G520" s="325">
        <v>38191</v>
      </c>
      <c r="H520" s="104">
        <v>38191</v>
      </c>
      <c r="I520" s="104" t="s">
        <v>173</v>
      </c>
      <c r="J520" s="326">
        <v>130</v>
      </c>
      <c r="K520" s="376">
        <v>26</v>
      </c>
      <c r="L520" s="330">
        <f>J520+K520</f>
        <v>156</v>
      </c>
      <c r="M520" s="68"/>
      <c r="N520" s="68"/>
      <c r="O520" s="255"/>
      <c r="P520" s="68">
        <f t="shared" si="113"/>
        <v>0</v>
      </c>
      <c r="Q520" s="68">
        <f t="shared" si="114"/>
        <v>0</v>
      </c>
      <c r="R520" s="255">
        <f t="shared" si="115"/>
        <v>0</v>
      </c>
      <c r="S520" s="541" t="s">
        <v>317</v>
      </c>
      <c r="T520" s="541"/>
    </row>
    <row r="521" spans="1:20" ht="22.5">
      <c r="A521" s="233" t="s">
        <v>15</v>
      </c>
      <c r="B521" s="7"/>
      <c r="C521" s="232" t="s">
        <v>267</v>
      </c>
      <c r="D521" s="102" t="s">
        <v>181</v>
      </c>
      <c r="E521" s="102" t="s">
        <v>182</v>
      </c>
      <c r="F521" s="247">
        <v>2735</v>
      </c>
      <c r="G521" s="325">
        <v>38144</v>
      </c>
      <c r="H521" s="104">
        <v>38198</v>
      </c>
      <c r="I521" s="104" t="s">
        <v>421</v>
      </c>
      <c r="J521" s="326">
        <v>91.25</v>
      </c>
      <c r="K521" s="327">
        <f>J521*20%</f>
        <v>18.25</v>
      </c>
      <c r="L521" s="330">
        <v>109.5</v>
      </c>
      <c r="M521" s="68">
        <v>13.6875</v>
      </c>
      <c r="N521" s="68">
        <v>2.7375</v>
      </c>
      <c r="O521" s="255">
        <v>16.425</v>
      </c>
      <c r="P521" s="68">
        <f t="shared" si="113"/>
        <v>8.896875</v>
      </c>
      <c r="Q521" s="68">
        <f t="shared" si="114"/>
        <v>1.779375</v>
      </c>
      <c r="R521" s="255">
        <f t="shared" si="115"/>
        <v>10.676250000000001</v>
      </c>
      <c r="S521" s="541" t="s">
        <v>459</v>
      </c>
      <c r="T521" s="541"/>
    </row>
    <row r="522" spans="1:20" ht="22.5">
      <c r="A522" s="233" t="s">
        <v>15</v>
      </c>
      <c r="B522" s="7"/>
      <c r="C522" s="232" t="s">
        <v>267</v>
      </c>
      <c r="D522" s="102" t="s">
        <v>181</v>
      </c>
      <c r="E522" s="102" t="s">
        <v>182</v>
      </c>
      <c r="F522" s="247">
        <v>2559</v>
      </c>
      <c r="G522" s="325">
        <v>38144</v>
      </c>
      <c r="H522" s="104">
        <v>38198</v>
      </c>
      <c r="I522" s="104" t="s">
        <v>421</v>
      </c>
      <c r="J522" s="326">
        <v>482.9</v>
      </c>
      <c r="K522" s="327">
        <f>J522*20%</f>
        <v>96.58</v>
      </c>
      <c r="L522" s="330">
        <v>579.5</v>
      </c>
      <c r="M522" s="68">
        <v>72.435</v>
      </c>
      <c r="N522" s="68">
        <v>14.486999999999998</v>
      </c>
      <c r="O522" s="255">
        <v>86.92199999999998</v>
      </c>
      <c r="P522" s="68">
        <f t="shared" si="113"/>
        <v>47.082750000000004</v>
      </c>
      <c r="Q522" s="68">
        <f t="shared" si="114"/>
        <v>9.416549999999999</v>
      </c>
      <c r="R522" s="255">
        <f t="shared" si="115"/>
        <v>56.49929999999999</v>
      </c>
      <c r="S522" s="541" t="s">
        <v>459</v>
      </c>
      <c r="T522" s="541"/>
    </row>
    <row r="523" spans="1:20" ht="22.5">
      <c r="A523" s="233" t="s">
        <v>15</v>
      </c>
      <c r="B523" s="7"/>
      <c r="C523" s="232" t="s">
        <v>267</v>
      </c>
      <c r="D523" s="102" t="s">
        <v>177</v>
      </c>
      <c r="E523" s="102" t="s">
        <v>178</v>
      </c>
      <c r="F523" s="247">
        <v>5029</v>
      </c>
      <c r="G523" s="325">
        <v>38195</v>
      </c>
      <c r="H523" s="104">
        <v>38215</v>
      </c>
      <c r="I523" s="104" t="s">
        <v>179</v>
      </c>
      <c r="J523" s="326">
        <v>86.08</v>
      </c>
      <c r="K523" s="327">
        <v>17.22</v>
      </c>
      <c r="L523" s="330">
        <f aca="true" t="shared" si="116" ref="L523:L531">J523+K523</f>
        <v>103.3</v>
      </c>
      <c r="M523" s="68">
        <v>12.911999999999999</v>
      </c>
      <c r="N523" s="68">
        <v>2.5824</v>
      </c>
      <c r="O523" s="255">
        <v>15.494399999999999</v>
      </c>
      <c r="P523" s="68">
        <f t="shared" si="113"/>
        <v>8.3928</v>
      </c>
      <c r="Q523" s="68">
        <f t="shared" si="114"/>
        <v>1.6785599999999998</v>
      </c>
      <c r="R523" s="255">
        <f t="shared" si="115"/>
        <v>10.07136</v>
      </c>
      <c r="S523" s="545" t="s">
        <v>316</v>
      </c>
      <c r="T523" s="546"/>
    </row>
    <row r="524" spans="1:20" ht="22.5">
      <c r="A524" s="233" t="s">
        <v>15</v>
      </c>
      <c r="B524" s="7"/>
      <c r="C524" s="232" t="s">
        <v>267</v>
      </c>
      <c r="D524" s="102" t="s">
        <v>176</v>
      </c>
      <c r="E524" s="102" t="s">
        <v>419</v>
      </c>
      <c r="F524" s="247">
        <v>754</v>
      </c>
      <c r="G524" s="325">
        <v>38238</v>
      </c>
      <c r="H524" s="104">
        <v>38238</v>
      </c>
      <c r="I524" s="104" t="s">
        <v>173</v>
      </c>
      <c r="J524" s="326">
        <v>130</v>
      </c>
      <c r="K524" s="376">
        <v>26</v>
      </c>
      <c r="L524" s="330">
        <f t="shared" si="116"/>
        <v>156</v>
      </c>
      <c r="M524" s="68"/>
      <c r="N524" s="68"/>
      <c r="O524" s="255"/>
      <c r="P524" s="68">
        <f t="shared" si="113"/>
        <v>0</v>
      </c>
      <c r="Q524" s="68">
        <f t="shared" si="114"/>
        <v>0</v>
      </c>
      <c r="R524" s="255">
        <f t="shared" si="115"/>
        <v>0</v>
      </c>
      <c r="S524" s="541" t="s">
        <v>317</v>
      </c>
      <c r="T524" s="541"/>
    </row>
    <row r="525" spans="1:20" ht="22.5">
      <c r="A525" s="233" t="s">
        <v>15</v>
      </c>
      <c r="B525" s="7"/>
      <c r="C525" s="232" t="s">
        <v>267</v>
      </c>
      <c r="D525" s="102" t="s">
        <v>162</v>
      </c>
      <c r="E525" s="102" t="s">
        <v>155</v>
      </c>
      <c r="F525" s="102" t="s">
        <v>422</v>
      </c>
      <c r="G525" s="325">
        <v>38097</v>
      </c>
      <c r="H525" s="104">
        <v>38246</v>
      </c>
      <c r="I525" s="104" t="s">
        <v>179</v>
      </c>
      <c r="J525" s="326">
        <v>1058.74</v>
      </c>
      <c r="K525" s="327">
        <v>211.75</v>
      </c>
      <c r="L525" s="330">
        <f t="shared" si="116"/>
        <v>1270.49</v>
      </c>
      <c r="M525" s="68">
        <v>158.811</v>
      </c>
      <c r="N525" s="68">
        <v>31.762200000000004</v>
      </c>
      <c r="O525" s="255">
        <v>190.5732</v>
      </c>
      <c r="P525" s="68">
        <f t="shared" si="113"/>
        <v>103.22715000000001</v>
      </c>
      <c r="Q525" s="68">
        <f t="shared" si="114"/>
        <v>20.645430000000005</v>
      </c>
      <c r="R525" s="255">
        <f t="shared" si="115"/>
        <v>123.87258000000001</v>
      </c>
      <c r="S525" s="545" t="s">
        <v>316</v>
      </c>
      <c r="T525" s="546"/>
    </row>
    <row r="526" spans="1:20" ht="22.5">
      <c r="A526" s="233" t="s">
        <v>15</v>
      </c>
      <c r="B526" s="7"/>
      <c r="C526" s="232" t="s">
        <v>267</v>
      </c>
      <c r="D526" s="102" t="s">
        <v>164</v>
      </c>
      <c r="E526" s="102" t="s">
        <v>155</v>
      </c>
      <c r="F526" s="102" t="s">
        <v>422</v>
      </c>
      <c r="G526" s="325">
        <v>38097</v>
      </c>
      <c r="H526" s="104">
        <v>38246</v>
      </c>
      <c r="I526" s="104" t="s">
        <v>179</v>
      </c>
      <c r="J526" s="326">
        <v>97.69</v>
      </c>
      <c r="K526" s="327">
        <v>19.54</v>
      </c>
      <c r="L526" s="330">
        <f t="shared" si="116"/>
        <v>117.22999999999999</v>
      </c>
      <c r="M526" s="68">
        <v>14.6535</v>
      </c>
      <c r="N526" s="68">
        <v>2.9307</v>
      </c>
      <c r="O526" s="255">
        <v>17.5842</v>
      </c>
      <c r="P526" s="68">
        <f t="shared" si="113"/>
        <v>9.524775</v>
      </c>
      <c r="Q526" s="68">
        <f t="shared" si="114"/>
        <v>1.904955</v>
      </c>
      <c r="R526" s="255">
        <f t="shared" si="115"/>
        <v>11.42973</v>
      </c>
      <c r="S526" s="545" t="s">
        <v>316</v>
      </c>
      <c r="T526" s="546"/>
    </row>
    <row r="527" spans="1:20" ht="22.5">
      <c r="A527" s="233" t="s">
        <v>15</v>
      </c>
      <c r="B527" s="7"/>
      <c r="C527" s="232" t="s">
        <v>267</v>
      </c>
      <c r="D527" s="102" t="s">
        <v>165</v>
      </c>
      <c r="E527" s="102" t="s">
        <v>155</v>
      </c>
      <c r="F527" s="102" t="s">
        <v>423</v>
      </c>
      <c r="G527" s="325">
        <v>38153</v>
      </c>
      <c r="H527" s="104">
        <v>38251</v>
      </c>
      <c r="I527" s="104" t="s">
        <v>179</v>
      </c>
      <c r="J527" s="326">
        <v>1058.74</v>
      </c>
      <c r="K527" s="327">
        <v>211.75</v>
      </c>
      <c r="L527" s="330">
        <f t="shared" si="116"/>
        <v>1270.49</v>
      </c>
      <c r="M527" s="68">
        <v>158.811</v>
      </c>
      <c r="N527" s="68">
        <v>31.762200000000004</v>
      </c>
      <c r="O527" s="255">
        <v>190.5732</v>
      </c>
      <c r="P527" s="68">
        <f t="shared" si="113"/>
        <v>103.22715000000001</v>
      </c>
      <c r="Q527" s="68">
        <f t="shared" si="114"/>
        <v>20.645430000000005</v>
      </c>
      <c r="R527" s="255">
        <f t="shared" si="115"/>
        <v>123.87258000000001</v>
      </c>
      <c r="S527" s="545" t="s">
        <v>316</v>
      </c>
      <c r="T527" s="546"/>
    </row>
    <row r="528" spans="1:20" ht="22.5">
      <c r="A528" s="233" t="s">
        <v>15</v>
      </c>
      <c r="B528" s="7"/>
      <c r="C528" s="232" t="s">
        <v>267</v>
      </c>
      <c r="D528" s="102" t="s">
        <v>167</v>
      </c>
      <c r="E528" s="102" t="s">
        <v>155</v>
      </c>
      <c r="F528" s="102" t="s">
        <v>423</v>
      </c>
      <c r="G528" s="325">
        <v>38153</v>
      </c>
      <c r="H528" s="104">
        <v>38251</v>
      </c>
      <c r="I528" s="104" t="s">
        <v>179</v>
      </c>
      <c r="J528" s="326">
        <v>122.27</v>
      </c>
      <c r="K528" s="327">
        <v>24.45</v>
      </c>
      <c r="L528" s="330">
        <f t="shared" si="116"/>
        <v>146.72</v>
      </c>
      <c r="M528" s="68">
        <v>18.3405</v>
      </c>
      <c r="N528" s="68">
        <v>3.6681</v>
      </c>
      <c r="O528" s="255">
        <v>22.008599999999998</v>
      </c>
      <c r="P528" s="68">
        <f t="shared" si="113"/>
        <v>11.921325</v>
      </c>
      <c r="Q528" s="68">
        <f t="shared" si="114"/>
        <v>2.384265</v>
      </c>
      <c r="R528" s="255">
        <f t="shared" si="115"/>
        <v>14.305589999999999</v>
      </c>
      <c r="S528" s="545" t="s">
        <v>316</v>
      </c>
      <c r="T528" s="546"/>
    </row>
    <row r="529" spans="1:20" ht="22.5">
      <c r="A529" s="233" t="s">
        <v>15</v>
      </c>
      <c r="B529" s="7"/>
      <c r="C529" s="232" t="s">
        <v>267</v>
      </c>
      <c r="D529" s="102" t="s">
        <v>424</v>
      </c>
      <c r="E529" s="102" t="s">
        <v>419</v>
      </c>
      <c r="F529" s="247">
        <v>852</v>
      </c>
      <c r="G529" s="325">
        <v>38266</v>
      </c>
      <c r="H529" s="104">
        <v>38266</v>
      </c>
      <c r="I529" s="104" t="s">
        <v>173</v>
      </c>
      <c r="J529" s="326">
        <v>130</v>
      </c>
      <c r="K529" s="376">
        <v>26</v>
      </c>
      <c r="L529" s="330">
        <f t="shared" si="116"/>
        <v>156</v>
      </c>
      <c r="M529" s="68"/>
      <c r="N529" s="68"/>
      <c r="O529" s="255"/>
      <c r="P529" s="68">
        <f t="shared" si="113"/>
        <v>0</v>
      </c>
      <c r="Q529" s="68">
        <f t="shared" si="114"/>
        <v>0</v>
      </c>
      <c r="R529" s="255">
        <f t="shared" si="115"/>
        <v>0</v>
      </c>
      <c r="S529" s="541" t="s">
        <v>317</v>
      </c>
      <c r="T529" s="541"/>
    </row>
    <row r="530" spans="1:20" ht="22.5">
      <c r="A530" s="233" t="s">
        <v>15</v>
      </c>
      <c r="B530" s="7"/>
      <c r="C530" s="232" t="s">
        <v>267</v>
      </c>
      <c r="D530" s="102" t="s">
        <v>168</v>
      </c>
      <c r="E530" s="102" t="s">
        <v>155</v>
      </c>
      <c r="F530" s="102" t="s">
        <v>425</v>
      </c>
      <c r="G530" s="325">
        <v>38181</v>
      </c>
      <c r="H530" s="104">
        <v>38274</v>
      </c>
      <c r="I530" s="104" t="s">
        <v>179</v>
      </c>
      <c r="J530" s="326">
        <v>1058.74</v>
      </c>
      <c r="K530" s="327">
        <v>211.75</v>
      </c>
      <c r="L530" s="330">
        <f t="shared" si="116"/>
        <v>1270.49</v>
      </c>
      <c r="M530" s="68">
        <v>211.74800000000002</v>
      </c>
      <c r="N530" s="68">
        <v>42.34960000000001</v>
      </c>
      <c r="O530" s="255">
        <v>254.09760000000003</v>
      </c>
      <c r="P530" s="68">
        <f t="shared" si="113"/>
        <v>137.63620000000003</v>
      </c>
      <c r="Q530" s="68">
        <f t="shared" si="114"/>
        <v>27.527240000000006</v>
      </c>
      <c r="R530" s="255">
        <f t="shared" si="115"/>
        <v>165.16344000000004</v>
      </c>
      <c r="S530" s="545" t="s">
        <v>316</v>
      </c>
      <c r="T530" s="546"/>
    </row>
    <row r="531" spans="1:20" ht="22.5">
      <c r="A531" s="233" t="s">
        <v>15</v>
      </c>
      <c r="B531" s="7"/>
      <c r="C531" s="232" t="s">
        <v>267</v>
      </c>
      <c r="D531" s="102" t="s">
        <v>170</v>
      </c>
      <c r="E531" s="102" t="s">
        <v>155</v>
      </c>
      <c r="F531" s="102" t="s">
        <v>426</v>
      </c>
      <c r="G531" s="325">
        <v>38181</v>
      </c>
      <c r="H531" s="104">
        <v>38274</v>
      </c>
      <c r="I531" s="104" t="s">
        <v>179</v>
      </c>
      <c r="J531" s="326">
        <v>99.58</v>
      </c>
      <c r="K531" s="327">
        <v>19.92</v>
      </c>
      <c r="L531" s="330">
        <f t="shared" si="116"/>
        <v>119.5</v>
      </c>
      <c r="M531" s="68">
        <v>19.916</v>
      </c>
      <c r="N531" s="68">
        <v>3.9832</v>
      </c>
      <c r="O531" s="255">
        <v>23.8992</v>
      </c>
      <c r="P531" s="68">
        <f t="shared" si="113"/>
        <v>12.945400000000001</v>
      </c>
      <c r="Q531" s="68">
        <f t="shared" si="114"/>
        <v>2.58908</v>
      </c>
      <c r="R531" s="255">
        <f t="shared" si="115"/>
        <v>15.53448</v>
      </c>
      <c r="S531" s="545" t="s">
        <v>316</v>
      </c>
      <c r="T531" s="546"/>
    </row>
    <row r="532" spans="1:20" ht="22.5">
      <c r="A532" s="233" t="s">
        <v>15</v>
      </c>
      <c r="B532" s="7"/>
      <c r="C532" s="232" t="s">
        <v>267</v>
      </c>
      <c r="D532" s="102" t="s">
        <v>181</v>
      </c>
      <c r="E532" s="102" t="s">
        <v>182</v>
      </c>
      <c r="F532" s="247">
        <v>204</v>
      </c>
      <c r="G532" s="325">
        <v>38205</v>
      </c>
      <c r="H532" s="104">
        <v>38275</v>
      </c>
      <c r="I532" s="104" t="s">
        <v>421</v>
      </c>
      <c r="J532" s="326">
        <v>487.5</v>
      </c>
      <c r="K532" s="327">
        <f>J532*20%</f>
        <v>97.5</v>
      </c>
      <c r="L532" s="330">
        <v>585</v>
      </c>
      <c r="M532" s="68">
        <v>73.125</v>
      </c>
      <c r="N532" s="68">
        <v>14.625</v>
      </c>
      <c r="O532" s="255">
        <v>87.75</v>
      </c>
      <c r="P532" s="68">
        <f t="shared" si="113"/>
        <v>47.53125</v>
      </c>
      <c r="Q532" s="68">
        <f t="shared" si="114"/>
        <v>9.50625</v>
      </c>
      <c r="R532" s="255">
        <f t="shared" si="115"/>
        <v>57.0375</v>
      </c>
      <c r="S532" s="541" t="s">
        <v>459</v>
      </c>
      <c r="T532" s="541"/>
    </row>
    <row r="533" spans="1:20" ht="22.5">
      <c r="A533" s="233" t="s">
        <v>15</v>
      </c>
      <c r="B533" s="7"/>
      <c r="C533" s="232" t="s">
        <v>267</v>
      </c>
      <c r="D533" s="102" t="s">
        <v>181</v>
      </c>
      <c r="E533" s="102" t="s">
        <v>182</v>
      </c>
      <c r="F533" s="247">
        <v>535</v>
      </c>
      <c r="G533" s="325">
        <v>38205</v>
      </c>
      <c r="H533" s="104">
        <v>38275</v>
      </c>
      <c r="I533" s="104" t="s">
        <v>421</v>
      </c>
      <c r="J533" s="326">
        <v>90.42</v>
      </c>
      <c r="K533" s="327">
        <f>J533*20%</f>
        <v>18.084</v>
      </c>
      <c r="L533" s="330">
        <v>108.5</v>
      </c>
      <c r="M533" s="68">
        <v>13.563</v>
      </c>
      <c r="N533" s="68">
        <v>2.7126</v>
      </c>
      <c r="O533" s="255">
        <v>16.2756</v>
      </c>
      <c r="P533" s="68">
        <f t="shared" si="113"/>
        <v>8.81595</v>
      </c>
      <c r="Q533" s="68">
        <f t="shared" si="114"/>
        <v>1.76319</v>
      </c>
      <c r="R533" s="255">
        <f t="shared" si="115"/>
        <v>10.57914</v>
      </c>
      <c r="S533" s="541" t="s">
        <v>459</v>
      </c>
      <c r="T533" s="541"/>
    </row>
    <row r="534" spans="1:20" ht="22.5">
      <c r="A534" s="233" t="s">
        <v>15</v>
      </c>
      <c r="B534" s="7"/>
      <c r="C534" s="232" t="s">
        <v>267</v>
      </c>
      <c r="D534" s="102" t="s">
        <v>177</v>
      </c>
      <c r="E534" s="102" t="s">
        <v>178</v>
      </c>
      <c r="F534" s="247">
        <v>5021</v>
      </c>
      <c r="G534" s="325">
        <v>38258</v>
      </c>
      <c r="H534" s="104">
        <v>38278</v>
      </c>
      <c r="I534" s="104" t="s">
        <v>179</v>
      </c>
      <c r="J534" s="326">
        <v>82.17</v>
      </c>
      <c r="K534" s="327">
        <v>16.43</v>
      </c>
      <c r="L534" s="330">
        <f>J534+K534</f>
        <v>98.6</v>
      </c>
      <c r="M534" s="68">
        <v>16.434</v>
      </c>
      <c r="N534" s="68">
        <v>3.2868000000000004</v>
      </c>
      <c r="O534" s="255">
        <v>19.7208</v>
      </c>
      <c r="P534" s="68">
        <f t="shared" si="113"/>
        <v>10.682100000000002</v>
      </c>
      <c r="Q534" s="68">
        <f t="shared" si="114"/>
        <v>2.13642</v>
      </c>
      <c r="R534" s="255">
        <f t="shared" si="115"/>
        <v>12.818520000000001</v>
      </c>
      <c r="S534" s="545" t="s">
        <v>316</v>
      </c>
      <c r="T534" s="546"/>
    </row>
    <row r="535" spans="1:20" ht="22.5">
      <c r="A535" s="233" t="s">
        <v>15</v>
      </c>
      <c r="B535" s="7"/>
      <c r="C535" s="232" t="s">
        <v>267</v>
      </c>
      <c r="D535" s="102" t="s">
        <v>427</v>
      </c>
      <c r="E535" s="102" t="s">
        <v>428</v>
      </c>
      <c r="F535" s="102">
        <v>1110</v>
      </c>
      <c r="G535" s="325">
        <v>38282</v>
      </c>
      <c r="H535" s="104">
        <v>38289</v>
      </c>
      <c r="I535" s="104" t="s">
        <v>173</v>
      </c>
      <c r="J535" s="326">
        <v>183</v>
      </c>
      <c r="K535" s="376">
        <v>36.6</v>
      </c>
      <c r="L535" s="330">
        <f>J535+K535</f>
        <v>219.6</v>
      </c>
      <c r="M535" s="68"/>
      <c r="N535" s="68"/>
      <c r="O535" s="255"/>
      <c r="P535" s="68">
        <f t="shared" si="113"/>
        <v>0</v>
      </c>
      <c r="Q535" s="68">
        <f t="shared" si="114"/>
        <v>0</v>
      </c>
      <c r="R535" s="255">
        <f t="shared" si="115"/>
        <v>0</v>
      </c>
      <c r="S535" s="541" t="s">
        <v>317</v>
      </c>
      <c r="T535" s="541"/>
    </row>
    <row r="536" spans="1:20" ht="22.5">
      <c r="A536" s="233" t="s">
        <v>15</v>
      </c>
      <c r="B536" s="7"/>
      <c r="C536" s="232" t="s">
        <v>267</v>
      </c>
      <c r="D536" s="102" t="s">
        <v>429</v>
      </c>
      <c r="E536" s="102" t="s">
        <v>419</v>
      </c>
      <c r="F536" s="247">
        <v>975</v>
      </c>
      <c r="G536" s="325">
        <v>38308</v>
      </c>
      <c r="H536" s="104">
        <v>38308</v>
      </c>
      <c r="I536" s="104" t="s">
        <v>179</v>
      </c>
      <c r="J536" s="326">
        <v>130</v>
      </c>
      <c r="K536" s="376">
        <v>26</v>
      </c>
      <c r="L536" s="330">
        <f>J536+K536</f>
        <v>156</v>
      </c>
      <c r="M536" s="68">
        <v>26</v>
      </c>
      <c r="N536" s="68">
        <v>5.2</v>
      </c>
      <c r="O536" s="255">
        <v>31.2</v>
      </c>
      <c r="P536" s="68">
        <f t="shared" si="113"/>
        <v>16.900000000000002</v>
      </c>
      <c r="Q536" s="68">
        <f t="shared" si="114"/>
        <v>3.3800000000000003</v>
      </c>
      <c r="R536" s="255">
        <f t="shared" si="115"/>
        <v>20.28</v>
      </c>
      <c r="S536" s="545" t="s">
        <v>316</v>
      </c>
      <c r="T536" s="546"/>
    </row>
    <row r="537" spans="1:20" ht="22.5">
      <c r="A537" s="233" t="s">
        <v>15</v>
      </c>
      <c r="B537" s="7"/>
      <c r="C537" s="232" t="s">
        <v>267</v>
      </c>
      <c r="D537" s="102" t="s">
        <v>181</v>
      </c>
      <c r="E537" s="102" t="s">
        <v>182</v>
      </c>
      <c r="F537" s="247">
        <v>7023</v>
      </c>
      <c r="G537" s="325">
        <v>38266</v>
      </c>
      <c r="H537" s="104">
        <v>38317</v>
      </c>
      <c r="I537" s="104" t="s">
        <v>421</v>
      </c>
      <c r="J537" s="326">
        <v>404.58</v>
      </c>
      <c r="K537" s="327">
        <f>J537*20%</f>
        <v>80.916</v>
      </c>
      <c r="L537" s="330">
        <v>485.5</v>
      </c>
      <c r="M537" s="68">
        <v>80.916</v>
      </c>
      <c r="N537" s="68">
        <v>16.1832</v>
      </c>
      <c r="O537" s="255">
        <v>97.0992</v>
      </c>
      <c r="P537" s="68">
        <f t="shared" si="113"/>
        <v>52.5954</v>
      </c>
      <c r="Q537" s="68">
        <f t="shared" si="114"/>
        <v>10.51908</v>
      </c>
      <c r="R537" s="255">
        <f t="shared" si="115"/>
        <v>63.11448</v>
      </c>
      <c r="S537" s="541" t="s">
        <v>459</v>
      </c>
      <c r="T537" s="541"/>
    </row>
    <row r="538" spans="1:20" ht="22.5">
      <c r="A538" s="233" t="s">
        <v>15</v>
      </c>
      <c r="B538" s="7"/>
      <c r="C538" s="232" t="s">
        <v>267</v>
      </c>
      <c r="D538" s="102" t="s">
        <v>181</v>
      </c>
      <c r="E538" s="102" t="s">
        <v>182</v>
      </c>
      <c r="F538" s="247">
        <v>7123</v>
      </c>
      <c r="G538" s="325">
        <v>38266</v>
      </c>
      <c r="H538" s="104">
        <v>38317</v>
      </c>
      <c r="I538" s="104" t="s">
        <v>421</v>
      </c>
      <c r="J538" s="326">
        <v>77.9</v>
      </c>
      <c r="K538" s="327">
        <f>J538*20%</f>
        <v>15.580000000000002</v>
      </c>
      <c r="L538" s="330">
        <v>93.5</v>
      </c>
      <c r="M538" s="68">
        <v>15.58</v>
      </c>
      <c r="N538" s="68">
        <v>3.1160000000000005</v>
      </c>
      <c r="O538" s="255">
        <v>18.696</v>
      </c>
      <c r="P538" s="68">
        <f t="shared" si="113"/>
        <v>10.127</v>
      </c>
      <c r="Q538" s="68">
        <f t="shared" si="114"/>
        <v>2.0254000000000003</v>
      </c>
      <c r="R538" s="255">
        <f t="shared" si="115"/>
        <v>12.152400000000002</v>
      </c>
      <c r="S538" s="541" t="s">
        <v>459</v>
      </c>
      <c r="T538" s="541"/>
    </row>
    <row r="539" spans="1:20" ht="22.5">
      <c r="A539" s="233" t="s">
        <v>15</v>
      </c>
      <c r="B539" s="7"/>
      <c r="C539" s="232" t="s">
        <v>267</v>
      </c>
      <c r="D539" s="102" t="s">
        <v>430</v>
      </c>
      <c r="E539" s="102" t="s">
        <v>431</v>
      </c>
      <c r="F539" s="102">
        <v>83</v>
      </c>
      <c r="G539" s="325">
        <v>38327</v>
      </c>
      <c r="H539" s="104">
        <v>38327</v>
      </c>
      <c r="I539" s="104" t="s">
        <v>173</v>
      </c>
      <c r="J539" s="326">
        <v>75</v>
      </c>
      <c r="K539" s="376">
        <v>15</v>
      </c>
      <c r="L539" s="330">
        <f aca="true" t="shared" si="117" ref="L539:L547">J539+K539</f>
        <v>90</v>
      </c>
      <c r="M539" s="68"/>
      <c r="N539" s="68"/>
      <c r="O539" s="255"/>
      <c r="P539" s="68">
        <f t="shared" si="113"/>
        <v>0</v>
      </c>
      <c r="Q539" s="68">
        <f t="shared" si="114"/>
        <v>0</v>
      </c>
      <c r="R539" s="255">
        <f t="shared" si="115"/>
        <v>0</v>
      </c>
      <c r="S539" s="541" t="s">
        <v>317</v>
      </c>
      <c r="T539" s="541"/>
    </row>
    <row r="540" spans="1:20" ht="22.5">
      <c r="A540" s="233" t="s">
        <v>15</v>
      </c>
      <c r="B540" s="7"/>
      <c r="C540" s="232" t="s">
        <v>267</v>
      </c>
      <c r="D540" s="102" t="s">
        <v>432</v>
      </c>
      <c r="E540" s="102" t="s">
        <v>155</v>
      </c>
      <c r="F540" s="102" t="s">
        <v>433</v>
      </c>
      <c r="G540" s="325">
        <v>38181</v>
      </c>
      <c r="H540" s="104">
        <v>38328</v>
      </c>
      <c r="I540" s="104" t="s">
        <v>179</v>
      </c>
      <c r="J540" s="326">
        <v>1058.74</v>
      </c>
      <c r="K540" s="327">
        <v>211.75</v>
      </c>
      <c r="L540" s="330">
        <f t="shared" si="117"/>
        <v>1270.49</v>
      </c>
      <c r="M540" s="68">
        <v>211.74800000000002</v>
      </c>
      <c r="N540" s="68">
        <v>42.34960000000001</v>
      </c>
      <c r="O540" s="255">
        <v>254.09760000000003</v>
      </c>
      <c r="P540" s="68">
        <f t="shared" si="113"/>
        <v>137.63620000000003</v>
      </c>
      <c r="Q540" s="68">
        <f t="shared" si="114"/>
        <v>27.527240000000006</v>
      </c>
      <c r="R540" s="255">
        <f t="shared" si="115"/>
        <v>165.16344000000004</v>
      </c>
      <c r="S540" s="545" t="s">
        <v>316</v>
      </c>
      <c r="T540" s="546"/>
    </row>
    <row r="541" spans="1:20" ht="22.5">
      <c r="A541" s="233" t="s">
        <v>15</v>
      </c>
      <c r="B541" s="7"/>
      <c r="C541" s="232" t="s">
        <v>267</v>
      </c>
      <c r="D541" s="102" t="s">
        <v>434</v>
      </c>
      <c r="E541" s="102" t="s">
        <v>155</v>
      </c>
      <c r="F541" s="102" t="s">
        <v>433</v>
      </c>
      <c r="G541" s="325">
        <v>38181</v>
      </c>
      <c r="H541" s="104">
        <v>38328</v>
      </c>
      <c r="I541" s="104" t="s">
        <v>179</v>
      </c>
      <c r="J541" s="326">
        <v>99.58</v>
      </c>
      <c r="K541" s="327">
        <v>19.92</v>
      </c>
      <c r="L541" s="330">
        <f t="shared" si="117"/>
        <v>119.5</v>
      </c>
      <c r="M541" s="68">
        <v>19.916</v>
      </c>
      <c r="N541" s="68">
        <v>3.9832</v>
      </c>
      <c r="O541" s="255">
        <v>23.8992</v>
      </c>
      <c r="P541" s="68">
        <f t="shared" si="113"/>
        <v>12.945400000000001</v>
      </c>
      <c r="Q541" s="68">
        <f t="shared" si="114"/>
        <v>2.58908</v>
      </c>
      <c r="R541" s="255">
        <f t="shared" si="115"/>
        <v>15.53448</v>
      </c>
      <c r="S541" s="545" t="s">
        <v>316</v>
      </c>
      <c r="T541" s="546"/>
    </row>
    <row r="542" spans="1:20" ht="22.5">
      <c r="A542" s="233" t="s">
        <v>15</v>
      </c>
      <c r="B542" s="7"/>
      <c r="C542" s="232" t="s">
        <v>267</v>
      </c>
      <c r="D542" s="102" t="s">
        <v>435</v>
      </c>
      <c r="E542" s="102" t="s">
        <v>155</v>
      </c>
      <c r="F542" s="102" t="s">
        <v>436</v>
      </c>
      <c r="G542" s="325">
        <v>38278</v>
      </c>
      <c r="H542" s="104">
        <v>38328</v>
      </c>
      <c r="I542" s="104" t="s">
        <v>179</v>
      </c>
      <c r="J542" s="326">
        <v>1058.74</v>
      </c>
      <c r="K542" s="327">
        <v>211.75</v>
      </c>
      <c r="L542" s="330">
        <f t="shared" si="117"/>
        <v>1270.49</v>
      </c>
      <c r="M542" s="68">
        <v>211.74800000000002</v>
      </c>
      <c r="N542" s="68">
        <v>42.34960000000001</v>
      </c>
      <c r="O542" s="255">
        <v>254.09760000000003</v>
      </c>
      <c r="P542" s="68">
        <f t="shared" si="113"/>
        <v>137.63620000000003</v>
      </c>
      <c r="Q542" s="68">
        <f t="shared" si="114"/>
        <v>27.527240000000006</v>
      </c>
      <c r="R542" s="255">
        <f t="shared" si="115"/>
        <v>165.16344000000004</v>
      </c>
      <c r="S542" s="545" t="s">
        <v>316</v>
      </c>
      <c r="T542" s="546"/>
    </row>
    <row r="543" spans="1:20" ht="22.5">
      <c r="A543" s="233" t="s">
        <v>15</v>
      </c>
      <c r="B543" s="7"/>
      <c r="C543" s="232" t="s">
        <v>267</v>
      </c>
      <c r="D543" s="102" t="s">
        <v>437</v>
      </c>
      <c r="E543" s="102" t="s">
        <v>155</v>
      </c>
      <c r="F543" s="102" t="s">
        <v>436</v>
      </c>
      <c r="G543" s="325">
        <v>38278</v>
      </c>
      <c r="H543" s="104">
        <v>38328</v>
      </c>
      <c r="I543" s="104" t="s">
        <v>179</v>
      </c>
      <c r="J543" s="326">
        <v>99.58</v>
      </c>
      <c r="K543" s="327">
        <v>19.92</v>
      </c>
      <c r="L543" s="330">
        <f t="shared" si="117"/>
        <v>119.5</v>
      </c>
      <c r="M543" s="68">
        <v>19.916</v>
      </c>
      <c r="N543" s="68">
        <v>3.9832</v>
      </c>
      <c r="O543" s="255">
        <v>23.8992</v>
      </c>
      <c r="P543" s="68">
        <f t="shared" si="113"/>
        <v>12.945400000000001</v>
      </c>
      <c r="Q543" s="68">
        <f t="shared" si="114"/>
        <v>2.58908</v>
      </c>
      <c r="R543" s="255">
        <f t="shared" si="115"/>
        <v>15.53448</v>
      </c>
      <c r="S543" s="545" t="s">
        <v>316</v>
      </c>
      <c r="T543" s="546"/>
    </row>
    <row r="544" spans="1:20" ht="22.5">
      <c r="A544" s="233" t="s">
        <v>15</v>
      </c>
      <c r="B544" s="7"/>
      <c r="C544" s="232" t="s">
        <v>267</v>
      </c>
      <c r="D544" s="102" t="s">
        <v>438</v>
      </c>
      <c r="E544" s="102" t="s">
        <v>155</v>
      </c>
      <c r="F544" s="102" t="s">
        <v>439</v>
      </c>
      <c r="G544" s="325">
        <v>38278</v>
      </c>
      <c r="H544" s="104">
        <v>38328</v>
      </c>
      <c r="I544" s="104" t="s">
        <v>179</v>
      </c>
      <c r="J544" s="326">
        <v>1058.74</v>
      </c>
      <c r="K544" s="327">
        <v>211.75</v>
      </c>
      <c r="L544" s="330">
        <f t="shared" si="117"/>
        <v>1270.49</v>
      </c>
      <c r="M544" s="68">
        <v>158.811</v>
      </c>
      <c r="N544" s="68">
        <v>31.762200000000004</v>
      </c>
      <c r="O544" s="255">
        <v>190.5732</v>
      </c>
      <c r="P544" s="68">
        <f t="shared" si="113"/>
        <v>103.22715000000001</v>
      </c>
      <c r="Q544" s="68">
        <f t="shared" si="114"/>
        <v>20.645430000000005</v>
      </c>
      <c r="R544" s="255">
        <f t="shared" si="115"/>
        <v>123.87258000000001</v>
      </c>
      <c r="S544" s="545" t="s">
        <v>316</v>
      </c>
      <c r="T544" s="546"/>
    </row>
    <row r="545" spans="1:20" ht="22.5">
      <c r="A545" s="233" t="s">
        <v>15</v>
      </c>
      <c r="B545" s="7"/>
      <c r="C545" s="232" t="s">
        <v>267</v>
      </c>
      <c r="D545" s="102" t="s">
        <v>440</v>
      </c>
      <c r="E545" s="102" t="s">
        <v>155</v>
      </c>
      <c r="F545" s="102" t="s">
        <v>439</v>
      </c>
      <c r="G545" s="325">
        <v>38278</v>
      </c>
      <c r="H545" s="104">
        <v>38328</v>
      </c>
      <c r="I545" s="104" t="s">
        <v>179</v>
      </c>
      <c r="J545" s="326">
        <v>99.58</v>
      </c>
      <c r="K545" s="327">
        <v>19.92</v>
      </c>
      <c r="L545" s="330">
        <f t="shared" si="117"/>
        <v>119.5</v>
      </c>
      <c r="M545" s="68">
        <v>14.937</v>
      </c>
      <c r="N545" s="68">
        <v>2.9874</v>
      </c>
      <c r="O545" s="255">
        <v>17.9244</v>
      </c>
      <c r="P545" s="68">
        <f t="shared" si="113"/>
        <v>9.70905</v>
      </c>
      <c r="Q545" s="68">
        <f t="shared" si="114"/>
        <v>1.94181</v>
      </c>
      <c r="R545" s="255">
        <f t="shared" si="115"/>
        <v>11.65086</v>
      </c>
      <c r="S545" s="545" t="s">
        <v>316</v>
      </c>
      <c r="T545" s="546"/>
    </row>
    <row r="546" spans="1:20" ht="22.5">
      <c r="A546" s="233" t="s">
        <v>15</v>
      </c>
      <c r="B546" s="7"/>
      <c r="C546" s="232" t="s">
        <v>267</v>
      </c>
      <c r="D546" s="102" t="s">
        <v>441</v>
      </c>
      <c r="E546" s="102" t="s">
        <v>419</v>
      </c>
      <c r="F546" s="247">
        <v>1067</v>
      </c>
      <c r="G546" s="325">
        <v>38336</v>
      </c>
      <c r="H546" s="104">
        <v>38336</v>
      </c>
      <c r="I546" s="104" t="s">
        <v>173</v>
      </c>
      <c r="J546" s="326">
        <v>130</v>
      </c>
      <c r="K546" s="376">
        <v>26</v>
      </c>
      <c r="L546" s="330">
        <f t="shared" si="117"/>
        <v>156</v>
      </c>
      <c r="M546" s="68"/>
      <c r="N546" s="68"/>
      <c r="O546" s="255"/>
      <c r="P546" s="68">
        <f t="shared" si="113"/>
        <v>0</v>
      </c>
      <c r="Q546" s="68">
        <f t="shared" si="114"/>
        <v>0</v>
      </c>
      <c r="R546" s="255">
        <f t="shared" si="115"/>
        <v>0</v>
      </c>
      <c r="S546" s="541" t="s">
        <v>317</v>
      </c>
      <c r="T546" s="541"/>
    </row>
    <row r="547" spans="1:20" ht="22.5">
      <c r="A547" s="233" t="s">
        <v>15</v>
      </c>
      <c r="B547" s="7"/>
      <c r="C547" s="232" t="s">
        <v>267</v>
      </c>
      <c r="D547" s="102" t="s">
        <v>177</v>
      </c>
      <c r="E547" s="102" t="s">
        <v>178</v>
      </c>
      <c r="F547" s="247">
        <v>5022</v>
      </c>
      <c r="G547" s="325">
        <v>38316</v>
      </c>
      <c r="H547" s="104">
        <v>38336</v>
      </c>
      <c r="I547" s="104" t="s">
        <v>179</v>
      </c>
      <c r="J547" s="326">
        <v>80.15</v>
      </c>
      <c r="K547" s="327">
        <v>16.03</v>
      </c>
      <c r="L547" s="330">
        <f t="shared" si="117"/>
        <v>96.18</v>
      </c>
      <c r="M547" s="68">
        <v>16.03</v>
      </c>
      <c r="N547" s="68">
        <v>3.2060000000000004</v>
      </c>
      <c r="O547" s="255">
        <v>19.236</v>
      </c>
      <c r="P547" s="68">
        <f t="shared" si="113"/>
        <v>10.419500000000001</v>
      </c>
      <c r="Q547" s="68">
        <f t="shared" si="114"/>
        <v>2.0839000000000003</v>
      </c>
      <c r="R547" s="255">
        <f t="shared" si="115"/>
        <v>12.503400000000001</v>
      </c>
      <c r="S547" s="545" t="s">
        <v>316</v>
      </c>
      <c r="T547" s="546"/>
    </row>
    <row r="548" spans="1:20" ht="22.5">
      <c r="A548" s="233" t="s">
        <v>15</v>
      </c>
      <c r="B548" s="7"/>
      <c r="C548" s="232" t="s">
        <v>267</v>
      </c>
      <c r="D548" s="102" t="s">
        <v>442</v>
      </c>
      <c r="E548" s="102" t="s">
        <v>419</v>
      </c>
      <c r="F548" s="247">
        <v>28</v>
      </c>
      <c r="G548" s="325">
        <v>38378</v>
      </c>
      <c r="H548" s="104">
        <v>38378</v>
      </c>
      <c r="I548" s="104" t="s">
        <v>173</v>
      </c>
      <c r="J548" s="326">
        <v>136</v>
      </c>
      <c r="K548" s="376">
        <v>27.2</v>
      </c>
      <c r="L548" s="330">
        <v>163.2</v>
      </c>
      <c r="M548" s="68"/>
      <c r="N548" s="68"/>
      <c r="O548" s="255"/>
      <c r="P548" s="68">
        <f t="shared" si="113"/>
        <v>0</v>
      </c>
      <c r="Q548" s="68">
        <f t="shared" si="114"/>
        <v>0</v>
      </c>
      <c r="R548" s="255">
        <f t="shared" si="115"/>
        <v>0</v>
      </c>
      <c r="S548" s="541" t="s">
        <v>317</v>
      </c>
      <c r="T548" s="541"/>
    </row>
    <row r="549" spans="1:20" ht="22.5">
      <c r="A549" s="233" t="s">
        <v>15</v>
      </c>
      <c r="B549" s="7"/>
      <c r="C549" s="232" t="s">
        <v>267</v>
      </c>
      <c r="D549" s="102" t="s">
        <v>177</v>
      </c>
      <c r="E549" s="102" t="s">
        <v>178</v>
      </c>
      <c r="F549" s="247">
        <v>5023</v>
      </c>
      <c r="G549" s="325">
        <v>38378</v>
      </c>
      <c r="H549" s="104">
        <v>38398</v>
      </c>
      <c r="I549" s="104" t="s">
        <v>179</v>
      </c>
      <c r="J549" s="326">
        <v>82.47</v>
      </c>
      <c r="K549" s="327">
        <v>16.49</v>
      </c>
      <c r="L549" s="330">
        <v>98.96</v>
      </c>
      <c r="M549" s="68">
        <v>16.494</v>
      </c>
      <c r="N549" s="68">
        <v>3.2988</v>
      </c>
      <c r="O549" s="255">
        <v>19.7928</v>
      </c>
      <c r="P549" s="68">
        <f t="shared" si="113"/>
        <v>10.7211</v>
      </c>
      <c r="Q549" s="68">
        <f t="shared" si="114"/>
        <v>2.1442200000000002</v>
      </c>
      <c r="R549" s="255">
        <f t="shared" si="115"/>
        <v>12.86532</v>
      </c>
      <c r="S549" s="545" t="s">
        <v>316</v>
      </c>
      <c r="T549" s="546"/>
    </row>
    <row r="550" spans="1:20" ht="22.5">
      <c r="A550" s="233" t="s">
        <v>15</v>
      </c>
      <c r="B550" s="7"/>
      <c r="C550" s="232" t="s">
        <v>267</v>
      </c>
      <c r="D550" s="102" t="s">
        <v>181</v>
      </c>
      <c r="E550" s="102" t="s">
        <v>182</v>
      </c>
      <c r="F550" s="247">
        <v>30005</v>
      </c>
      <c r="G550" s="325">
        <v>38369</v>
      </c>
      <c r="H550" s="104">
        <v>38398</v>
      </c>
      <c r="I550" s="104" t="s">
        <v>421</v>
      </c>
      <c r="J550" s="326">
        <v>115</v>
      </c>
      <c r="K550" s="327">
        <f>J550*20%</f>
        <v>23</v>
      </c>
      <c r="L550" s="330">
        <v>138</v>
      </c>
      <c r="M550" s="68">
        <v>23</v>
      </c>
      <c r="N550" s="68">
        <v>4.6</v>
      </c>
      <c r="O550" s="255">
        <v>27.6</v>
      </c>
      <c r="P550" s="68">
        <f t="shared" si="113"/>
        <v>14.950000000000001</v>
      </c>
      <c r="Q550" s="68">
        <f t="shared" si="114"/>
        <v>2.9899999999999998</v>
      </c>
      <c r="R550" s="255">
        <f t="shared" si="115"/>
        <v>17.94</v>
      </c>
      <c r="S550" s="541" t="s">
        <v>459</v>
      </c>
      <c r="T550" s="541"/>
    </row>
    <row r="551" spans="1:20" ht="22.5">
      <c r="A551" s="233" t="s">
        <v>15</v>
      </c>
      <c r="B551" s="7"/>
      <c r="C551" s="232" t="s">
        <v>267</v>
      </c>
      <c r="D551" s="102" t="s">
        <v>181</v>
      </c>
      <c r="E551" s="102" t="s">
        <v>182</v>
      </c>
      <c r="F551" s="247">
        <v>34038</v>
      </c>
      <c r="G551" s="325">
        <v>38369</v>
      </c>
      <c r="H551" s="104">
        <v>38398</v>
      </c>
      <c r="I551" s="104" t="s">
        <v>421</v>
      </c>
      <c r="J551" s="326">
        <v>582.5</v>
      </c>
      <c r="K551" s="327">
        <f>J551*20%</f>
        <v>116.5</v>
      </c>
      <c r="L551" s="330">
        <v>699</v>
      </c>
      <c r="M551" s="68">
        <v>116.5</v>
      </c>
      <c r="N551" s="68">
        <v>23.3</v>
      </c>
      <c r="O551" s="255">
        <v>139.8</v>
      </c>
      <c r="P551" s="68">
        <f t="shared" si="113"/>
        <v>75.72500000000001</v>
      </c>
      <c r="Q551" s="68">
        <f t="shared" si="114"/>
        <v>15.145000000000001</v>
      </c>
      <c r="R551" s="255">
        <f t="shared" si="115"/>
        <v>90.87</v>
      </c>
      <c r="S551" s="541" t="s">
        <v>459</v>
      </c>
      <c r="T551" s="541"/>
    </row>
    <row r="552" spans="1:20" ht="22.5">
      <c r="A552" s="233" t="s">
        <v>15</v>
      </c>
      <c r="B552" s="7"/>
      <c r="C552" s="232" t="s">
        <v>267</v>
      </c>
      <c r="D552" s="102" t="s">
        <v>443</v>
      </c>
      <c r="E552" s="102" t="s">
        <v>419</v>
      </c>
      <c r="F552" s="247">
        <v>153</v>
      </c>
      <c r="G552" s="325">
        <v>38415</v>
      </c>
      <c r="H552" s="104">
        <v>38415</v>
      </c>
      <c r="I552" s="104" t="s">
        <v>173</v>
      </c>
      <c r="J552" s="326">
        <v>136</v>
      </c>
      <c r="K552" s="376">
        <v>27.2</v>
      </c>
      <c r="L552" s="330">
        <v>163.2</v>
      </c>
      <c r="M552" s="68"/>
      <c r="N552" s="68"/>
      <c r="O552" s="255"/>
      <c r="P552" s="68">
        <f t="shared" si="113"/>
        <v>0</v>
      </c>
      <c r="Q552" s="68">
        <f t="shared" si="114"/>
        <v>0</v>
      </c>
      <c r="R552" s="255">
        <f t="shared" si="115"/>
        <v>0</v>
      </c>
      <c r="S552" s="541" t="s">
        <v>317</v>
      </c>
      <c r="T552" s="541"/>
    </row>
    <row r="553" spans="1:20" ht="22.5">
      <c r="A553" s="233" t="s">
        <v>15</v>
      </c>
      <c r="B553" s="7"/>
      <c r="C553" s="232" t="s">
        <v>267</v>
      </c>
      <c r="D553" s="102" t="s">
        <v>444</v>
      </c>
      <c r="E553" s="102" t="s">
        <v>155</v>
      </c>
      <c r="F553" s="102" t="s">
        <v>445</v>
      </c>
      <c r="G553" s="325">
        <v>38362</v>
      </c>
      <c r="H553" s="104">
        <v>38426</v>
      </c>
      <c r="I553" s="104" t="s">
        <v>157</v>
      </c>
      <c r="J553" s="326">
        <v>1058.74</v>
      </c>
      <c r="K553" s="327">
        <v>211.75</v>
      </c>
      <c r="L553" s="330">
        <f>J553+K553</f>
        <v>1270.49</v>
      </c>
      <c r="M553" s="68">
        <v>211.74800000000002</v>
      </c>
      <c r="N553" s="68">
        <v>42.34960000000001</v>
      </c>
      <c r="O553" s="255">
        <v>254.09760000000003</v>
      </c>
      <c r="P553" s="68">
        <f t="shared" si="113"/>
        <v>137.63620000000003</v>
      </c>
      <c r="Q553" s="68">
        <f t="shared" si="114"/>
        <v>27.527240000000006</v>
      </c>
      <c r="R553" s="255">
        <f t="shared" si="115"/>
        <v>165.16344000000004</v>
      </c>
      <c r="S553" s="545" t="s">
        <v>316</v>
      </c>
      <c r="T553" s="546"/>
    </row>
    <row r="554" spans="1:20" ht="22.5">
      <c r="A554" s="233" t="s">
        <v>15</v>
      </c>
      <c r="B554" s="7"/>
      <c r="C554" s="232" t="s">
        <v>267</v>
      </c>
      <c r="D554" s="102" t="s">
        <v>446</v>
      </c>
      <c r="E554" s="102" t="s">
        <v>155</v>
      </c>
      <c r="F554" s="102" t="s">
        <v>445</v>
      </c>
      <c r="G554" s="325">
        <v>38362</v>
      </c>
      <c r="H554" s="104">
        <v>38426</v>
      </c>
      <c r="I554" s="104" t="s">
        <v>157</v>
      </c>
      <c r="J554" s="326">
        <v>97.69</v>
      </c>
      <c r="K554" s="327">
        <v>19.54</v>
      </c>
      <c r="L554" s="330">
        <f>J554+K554</f>
        <v>117.22999999999999</v>
      </c>
      <c r="M554" s="68">
        <v>19.538</v>
      </c>
      <c r="N554" s="68">
        <v>3.9076000000000004</v>
      </c>
      <c r="O554" s="255">
        <v>23.4456</v>
      </c>
      <c r="P554" s="68">
        <f t="shared" si="113"/>
        <v>12.6997</v>
      </c>
      <c r="Q554" s="68">
        <f t="shared" si="114"/>
        <v>2.5399400000000005</v>
      </c>
      <c r="R554" s="255">
        <f t="shared" si="115"/>
        <v>15.23964</v>
      </c>
      <c r="S554" s="545" t="s">
        <v>316</v>
      </c>
      <c r="T554" s="546"/>
    </row>
    <row r="555" spans="1:20" ht="22.5">
      <c r="A555" s="233" t="s">
        <v>15</v>
      </c>
      <c r="B555" s="7"/>
      <c r="C555" s="232" t="s">
        <v>267</v>
      </c>
      <c r="D555" s="102" t="s">
        <v>447</v>
      </c>
      <c r="E555" s="102" t="s">
        <v>419</v>
      </c>
      <c r="F555" s="247">
        <v>213</v>
      </c>
      <c r="G555" s="325">
        <v>38440</v>
      </c>
      <c r="H555" s="104">
        <v>38441</v>
      </c>
      <c r="I555" s="104" t="s">
        <v>173</v>
      </c>
      <c r="J555" s="326">
        <v>136</v>
      </c>
      <c r="K555" s="376">
        <v>27.2</v>
      </c>
      <c r="L555" s="330">
        <v>163.2</v>
      </c>
      <c r="M555" s="68"/>
      <c r="N555" s="68"/>
      <c r="O555" s="255"/>
      <c r="P555" s="68">
        <f t="shared" si="113"/>
        <v>0</v>
      </c>
      <c r="Q555" s="68">
        <f t="shared" si="114"/>
        <v>0</v>
      </c>
      <c r="R555" s="255">
        <f t="shared" si="115"/>
        <v>0</v>
      </c>
      <c r="S555" s="541" t="s">
        <v>317</v>
      </c>
      <c r="T555" s="541"/>
    </row>
    <row r="556" spans="1:20" ht="22.5">
      <c r="A556" s="233" t="s">
        <v>15</v>
      </c>
      <c r="B556" s="7"/>
      <c r="C556" s="232" t="s">
        <v>267</v>
      </c>
      <c r="D556" s="102" t="s">
        <v>177</v>
      </c>
      <c r="E556" s="102" t="s">
        <v>178</v>
      </c>
      <c r="F556" s="247">
        <v>5024</v>
      </c>
      <c r="G556" s="325">
        <v>38435</v>
      </c>
      <c r="H556" s="104">
        <v>38455</v>
      </c>
      <c r="I556" s="104" t="s">
        <v>179</v>
      </c>
      <c r="J556" s="326">
        <v>456.46</v>
      </c>
      <c r="K556" s="376">
        <f>J556*20%</f>
        <v>91.292</v>
      </c>
      <c r="L556" s="330">
        <f>J556+K556</f>
        <v>547.752</v>
      </c>
      <c r="M556" s="68">
        <v>91.292</v>
      </c>
      <c r="N556" s="68">
        <v>18.2584</v>
      </c>
      <c r="O556" s="255">
        <v>109.5504</v>
      </c>
      <c r="P556" s="68">
        <f t="shared" si="113"/>
        <v>59.339800000000004</v>
      </c>
      <c r="Q556" s="68">
        <f t="shared" si="114"/>
        <v>11.867960000000002</v>
      </c>
      <c r="R556" s="255">
        <f t="shared" si="115"/>
        <v>71.20776</v>
      </c>
      <c r="S556" s="545" t="s">
        <v>316</v>
      </c>
      <c r="T556" s="546"/>
    </row>
    <row r="557" spans="1:20" ht="22.5">
      <c r="A557" s="233" t="s">
        <v>15</v>
      </c>
      <c r="B557" s="7"/>
      <c r="C557" s="232" t="s">
        <v>267</v>
      </c>
      <c r="D557" s="377" t="s">
        <v>181</v>
      </c>
      <c r="E557" s="102" t="s">
        <v>182</v>
      </c>
      <c r="F557" s="247">
        <v>63009</v>
      </c>
      <c r="G557" s="325">
        <v>38398</v>
      </c>
      <c r="H557" s="104">
        <v>38456</v>
      </c>
      <c r="I557" s="104" t="s">
        <v>448</v>
      </c>
      <c r="J557" s="326">
        <v>677.92</v>
      </c>
      <c r="K557" s="376">
        <f aca="true" t="shared" si="118" ref="K557:K564">J557*20%</f>
        <v>135.584</v>
      </c>
      <c r="L557" s="330">
        <f aca="true" t="shared" si="119" ref="L557:L564">J557+K557</f>
        <v>813.5039999999999</v>
      </c>
      <c r="M557" s="68">
        <v>135.584</v>
      </c>
      <c r="N557" s="68">
        <v>27.1168</v>
      </c>
      <c r="O557" s="255">
        <v>162.70080000000002</v>
      </c>
      <c r="P557" s="68">
        <f t="shared" si="113"/>
        <v>88.12960000000001</v>
      </c>
      <c r="Q557" s="68">
        <f t="shared" si="114"/>
        <v>17.62592</v>
      </c>
      <c r="R557" s="255">
        <f t="shared" si="115"/>
        <v>105.75552000000002</v>
      </c>
      <c r="S557" s="541" t="s">
        <v>459</v>
      </c>
      <c r="T557" s="541"/>
    </row>
    <row r="558" spans="1:20" ht="22.5">
      <c r="A558" s="233" t="s">
        <v>15</v>
      </c>
      <c r="B558" s="7"/>
      <c r="C558" s="232" t="s">
        <v>267</v>
      </c>
      <c r="D558" s="377" t="s">
        <v>181</v>
      </c>
      <c r="E558" s="102" t="s">
        <v>182</v>
      </c>
      <c r="F558" s="247">
        <v>62051</v>
      </c>
      <c r="G558" s="325">
        <v>38398</v>
      </c>
      <c r="H558" s="104">
        <v>38456</v>
      </c>
      <c r="I558" s="104" t="s">
        <v>448</v>
      </c>
      <c r="J558" s="326">
        <v>155.83</v>
      </c>
      <c r="K558" s="376">
        <f t="shared" si="118"/>
        <v>31.166000000000004</v>
      </c>
      <c r="L558" s="330">
        <f t="shared" si="119"/>
        <v>186.996</v>
      </c>
      <c r="M558" s="68">
        <v>31.166000000000004</v>
      </c>
      <c r="N558" s="68">
        <v>6.233200000000001</v>
      </c>
      <c r="O558" s="255">
        <v>37.39920000000001</v>
      </c>
      <c r="P558" s="68">
        <f t="shared" si="113"/>
        <v>20.257900000000003</v>
      </c>
      <c r="Q558" s="68">
        <f t="shared" si="114"/>
        <v>4.05158</v>
      </c>
      <c r="R558" s="255">
        <f t="shared" si="115"/>
        <v>24.309480000000004</v>
      </c>
      <c r="S558" s="541" t="s">
        <v>459</v>
      </c>
      <c r="T558" s="541"/>
    </row>
    <row r="559" spans="1:20" ht="22.5">
      <c r="A559" s="233" t="s">
        <v>15</v>
      </c>
      <c r="B559" s="7"/>
      <c r="C559" s="232" t="s">
        <v>267</v>
      </c>
      <c r="D559" s="377" t="s">
        <v>449</v>
      </c>
      <c r="E559" s="102" t="s">
        <v>155</v>
      </c>
      <c r="F559" s="102" t="s">
        <v>450</v>
      </c>
      <c r="G559" s="325">
        <v>38393</v>
      </c>
      <c r="H559" s="104">
        <v>38461</v>
      </c>
      <c r="I559" s="104" t="s">
        <v>448</v>
      </c>
      <c r="J559" s="326">
        <v>1058.74</v>
      </c>
      <c r="K559" s="376">
        <f t="shared" si="118"/>
        <v>211.74800000000002</v>
      </c>
      <c r="L559" s="330">
        <f t="shared" si="119"/>
        <v>1270.488</v>
      </c>
      <c r="M559" s="68">
        <v>211.74800000000002</v>
      </c>
      <c r="N559" s="68">
        <v>42.34960000000001</v>
      </c>
      <c r="O559" s="255">
        <v>254.09760000000003</v>
      </c>
      <c r="P559" s="68">
        <f t="shared" si="113"/>
        <v>137.63620000000003</v>
      </c>
      <c r="Q559" s="68">
        <f t="shared" si="114"/>
        <v>27.527240000000006</v>
      </c>
      <c r="R559" s="255">
        <f t="shared" si="115"/>
        <v>165.16344000000004</v>
      </c>
      <c r="S559" s="569"/>
      <c r="T559" s="570"/>
    </row>
    <row r="560" spans="1:20" ht="22.5">
      <c r="A560" s="233" t="s">
        <v>15</v>
      </c>
      <c r="B560" s="7"/>
      <c r="C560" s="232" t="s">
        <v>267</v>
      </c>
      <c r="D560" s="377" t="s">
        <v>451</v>
      </c>
      <c r="E560" s="102" t="s">
        <v>155</v>
      </c>
      <c r="F560" s="102" t="s">
        <v>450</v>
      </c>
      <c r="G560" s="325">
        <v>38393</v>
      </c>
      <c r="H560" s="104">
        <v>38461</v>
      </c>
      <c r="I560" s="104" t="s">
        <v>448</v>
      </c>
      <c r="J560" s="326">
        <v>97.69</v>
      </c>
      <c r="K560" s="376">
        <f t="shared" si="118"/>
        <v>19.538</v>
      </c>
      <c r="L560" s="330">
        <f t="shared" si="119"/>
        <v>117.228</v>
      </c>
      <c r="M560" s="68">
        <v>19.538</v>
      </c>
      <c r="N560" s="68">
        <v>3.9076000000000004</v>
      </c>
      <c r="O560" s="255">
        <v>23.4456</v>
      </c>
      <c r="P560" s="68">
        <f t="shared" si="113"/>
        <v>12.6997</v>
      </c>
      <c r="Q560" s="68">
        <f t="shared" si="114"/>
        <v>2.5399400000000005</v>
      </c>
      <c r="R560" s="255">
        <f t="shared" si="115"/>
        <v>15.23964</v>
      </c>
      <c r="S560" s="569"/>
      <c r="T560" s="570"/>
    </row>
    <row r="561" spans="1:20" ht="22.5">
      <c r="A561" s="233" t="s">
        <v>15</v>
      </c>
      <c r="B561" s="7"/>
      <c r="C561" s="232" t="s">
        <v>267</v>
      </c>
      <c r="D561" s="377" t="s">
        <v>452</v>
      </c>
      <c r="E561" s="102" t="s">
        <v>155</v>
      </c>
      <c r="F561" s="102" t="s">
        <v>453</v>
      </c>
      <c r="G561" s="325">
        <v>38421</v>
      </c>
      <c r="H561" s="104">
        <v>38461</v>
      </c>
      <c r="I561" s="104" t="s">
        <v>454</v>
      </c>
      <c r="J561" s="326">
        <v>1058.74</v>
      </c>
      <c r="K561" s="376">
        <f t="shared" si="118"/>
        <v>211.74800000000002</v>
      </c>
      <c r="L561" s="330">
        <f t="shared" si="119"/>
        <v>1270.488</v>
      </c>
      <c r="M561" s="68">
        <v>211.74800000000002</v>
      </c>
      <c r="N561" s="68">
        <v>42.34960000000001</v>
      </c>
      <c r="O561" s="255">
        <v>254.09760000000003</v>
      </c>
      <c r="P561" s="68">
        <f t="shared" si="113"/>
        <v>137.63620000000003</v>
      </c>
      <c r="Q561" s="68">
        <f t="shared" si="114"/>
        <v>27.527240000000006</v>
      </c>
      <c r="R561" s="255">
        <f t="shared" si="115"/>
        <v>165.16344000000004</v>
      </c>
      <c r="S561" s="569"/>
      <c r="T561" s="570"/>
    </row>
    <row r="562" spans="1:20" ht="22.5">
      <c r="A562" s="233" t="s">
        <v>15</v>
      </c>
      <c r="B562" s="7"/>
      <c r="C562" s="232" t="s">
        <v>267</v>
      </c>
      <c r="D562" s="377" t="s">
        <v>455</v>
      </c>
      <c r="E562" s="102" t="s">
        <v>155</v>
      </c>
      <c r="F562" s="102" t="s">
        <v>453</v>
      </c>
      <c r="G562" s="325">
        <v>38421</v>
      </c>
      <c r="H562" s="104">
        <v>38461</v>
      </c>
      <c r="I562" s="104" t="s">
        <v>448</v>
      </c>
      <c r="J562" s="326">
        <v>97.69</v>
      </c>
      <c r="K562" s="376">
        <f t="shared" si="118"/>
        <v>19.538</v>
      </c>
      <c r="L562" s="330">
        <f t="shared" si="119"/>
        <v>117.228</v>
      </c>
      <c r="M562" s="68">
        <v>19.538</v>
      </c>
      <c r="N562" s="68">
        <v>3.9076000000000004</v>
      </c>
      <c r="O562" s="255">
        <v>23.4456</v>
      </c>
      <c r="P562" s="68">
        <f t="shared" si="113"/>
        <v>12.6997</v>
      </c>
      <c r="Q562" s="68">
        <f t="shared" si="114"/>
        <v>2.5399400000000005</v>
      </c>
      <c r="R562" s="255">
        <f t="shared" si="115"/>
        <v>15.23964</v>
      </c>
      <c r="S562" s="569"/>
      <c r="T562" s="570"/>
    </row>
    <row r="563" spans="1:20" ht="22.5">
      <c r="A563" s="233" t="s">
        <v>15</v>
      </c>
      <c r="B563" s="7"/>
      <c r="C563" s="232" t="s">
        <v>267</v>
      </c>
      <c r="D563" s="377" t="s">
        <v>456</v>
      </c>
      <c r="E563" s="102" t="s">
        <v>457</v>
      </c>
      <c r="F563" s="247">
        <v>280</v>
      </c>
      <c r="G563" s="325">
        <v>38469</v>
      </c>
      <c r="H563" s="104">
        <v>38469</v>
      </c>
      <c r="I563" s="104" t="s">
        <v>173</v>
      </c>
      <c r="J563" s="326">
        <v>136</v>
      </c>
      <c r="K563" s="376">
        <f t="shared" si="118"/>
        <v>27.200000000000003</v>
      </c>
      <c r="L563" s="330">
        <f t="shared" si="119"/>
        <v>163.2</v>
      </c>
      <c r="M563" s="68">
        <v>27.2</v>
      </c>
      <c r="N563" s="68">
        <v>5.44</v>
      </c>
      <c r="O563" s="255">
        <v>32.64</v>
      </c>
      <c r="P563" s="68">
        <f t="shared" si="113"/>
        <v>17.68</v>
      </c>
      <c r="Q563" s="68">
        <f t="shared" si="114"/>
        <v>3.5360000000000005</v>
      </c>
      <c r="R563" s="255">
        <f t="shared" si="115"/>
        <v>21.216</v>
      </c>
      <c r="S563" s="545" t="s">
        <v>316</v>
      </c>
      <c r="T563" s="546"/>
    </row>
    <row r="564" spans="1:20" ht="22.5">
      <c r="A564" s="233" t="s">
        <v>15</v>
      </c>
      <c r="B564" s="7"/>
      <c r="C564" s="232" t="s">
        <v>267</v>
      </c>
      <c r="D564" s="377" t="s">
        <v>458</v>
      </c>
      <c r="E564" s="102" t="s">
        <v>457</v>
      </c>
      <c r="F564" s="247">
        <v>381</v>
      </c>
      <c r="G564" s="325">
        <v>38495</v>
      </c>
      <c r="H564" s="104">
        <v>38495</v>
      </c>
      <c r="I564" s="104" t="s">
        <v>173</v>
      </c>
      <c r="J564" s="326">
        <v>136</v>
      </c>
      <c r="K564" s="376">
        <f t="shared" si="118"/>
        <v>27.200000000000003</v>
      </c>
      <c r="L564" s="330">
        <f t="shared" si="119"/>
        <v>163.2</v>
      </c>
      <c r="M564" s="68"/>
      <c r="N564" s="68"/>
      <c r="O564" s="255"/>
      <c r="P564" s="68">
        <f t="shared" si="113"/>
        <v>0</v>
      </c>
      <c r="Q564" s="68">
        <f t="shared" si="114"/>
        <v>0</v>
      </c>
      <c r="R564" s="255">
        <f t="shared" si="115"/>
        <v>0</v>
      </c>
      <c r="S564" s="541" t="s">
        <v>317</v>
      </c>
      <c r="T564" s="541"/>
    </row>
    <row r="565" spans="1:20" ht="33.75">
      <c r="A565" s="233" t="s">
        <v>15</v>
      </c>
      <c r="B565" s="7"/>
      <c r="C565" s="232" t="s">
        <v>464</v>
      </c>
      <c r="D565" s="378" t="s">
        <v>460</v>
      </c>
      <c r="E565" s="13"/>
      <c r="F565" s="13">
        <v>186293</v>
      </c>
      <c r="G565" s="331"/>
      <c r="H565" s="331"/>
      <c r="I565" s="331"/>
      <c r="J565" s="349">
        <v>36.88</v>
      </c>
      <c r="K565" s="13"/>
      <c r="L565" s="383">
        <f>J565</f>
        <v>36.88</v>
      </c>
      <c r="M565" s="349">
        <v>36.88</v>
      </c>
      <c r="N565" s="68"/>
      <c r="O565" s="255">
        <f>+N565+M565</f>
        <v>36.88</v>
      </c>
      <c r="P565" s="68">
        <f aca="true" t="shared" si="120" ref="P565:R569">+M565*0.65</f>
        <v>23.972</v>
      </c>
      <c r="Q565" s="68">
        <f t="shared" si="120"/>
        <v>0</v>
      </c>
      <c r="R565" s="255">
        <f t="shared" si="120"/>
        <v>23.972</v>
      </c>
      <c r="S565" s="545"/>
      <c r="T565" s="546"/>
    </row>
    <row r="566" spans="1:20" ht="45">
      <c r="A566" s="233" t="s">
        <v>15</v>
      </c>
      <c r="B566" s="7"/>
      <c r="C566" s="232" t="s">
        <v>464</v>
      </c>
      <c r="D566" s="378" t="s">
        <v>461</v>
      </c>
      <c r="E566" s="13"/>
      <c r="F566" s="13">
        <v>186295</v>
      </c>
      <c r="G566" s="331"/>
      <c r="H566" s="331"/>
      <c r="I566" s="331"/>
      <c r="J566" s="349">
        <f>+(244-140)*0.2634</f>
        <v>27.393600000000003</v>
      </c>
      <c r="K566" s="13"/>
      <c r="L566" s="383">
        <f>J566</f>
        <v>27.393600000000003</v>
      </c>
      <c r="M566" s="349">
        <f>+(244-140)*0.2634</f>
        <v>27.393600000000003</v>
      </c>
      <c r="N566" s="68"/>
      <c r="O566" s="255">
        <f>+N566+M566</f>
        <v>27.393600000000003</v>
      </c>
      <c r="P566" s="68">
        <f t="shared" si="120"/>
        <v>17.805840000000003</v>
      </c>
      <c r="Q566" s="68">
        <f t="shared" si="120"/>
        <v>0</v>
      </c>
      <c r="R566" s="255">
        <f t="shared" si="120"/>
        <v>17.805840000000003</v>
      </c>
      <c r="S566" s="545"/>
      <c r="T566" s="546"/>
    </row>
    <row r="567" spans="1:20" ht="33.75">
      <c r="A567" s="233" t="s">
        <v>15</v>
      </c>
      <c r="B567" s="7"/>
      <c r="C567" s="232" t="s">
        <v>464</v>
      </c>
      <c r="D567" s="378" t="s">
        <v>462</v>
      </c>
      <c r="E567" s="13"/>
      <c r="F567" s="13">
        <v>185868</v>
      </c>
      <c r="G567" s="331"/>
      <c r="H567" s="331"/>
      <c r="I567" s="331"/>
      <c r="J567" s="349">
        <v>9.5</v>
      </c>
      <c r="K567" s="13"/>
      <c r="L567" s="383">
        <f>J567</f>
        <v>9.5</v>
      </c>
      <c r="M567" s="349">
        <v>9.5</v>
      </c>
      <c r="N567" s="68"/>
      <c r="O567" s="255">
        <f>+N567+M567</f>
        <v>9.5</v>
      </c>
      <c r="P567" s="68">
        <f t="shared" si="120"/>
        <v>6.175</v>
      </c>
      <c r="Q567" s="68">
        <f t="shared" si="120"/>
        <v>0</v>
      </c>
      <c r="R567" s="255">
        <f t="shared" si="120"/>
        <v>6.175</v>
      </c>
      <c r="S567" s="545"/>
      <c r="T567" s="546"/>
    </row>
    <row r="568" spans="1:20" ht="33.75">
      <c r="A568" s="233" t="s">
        <v>15</v>
      </c>
      <c r="B568" s="7"/>
      <c r="C568" s="232" t="s">
        <v>464</v>
      </c>
      <c r="D568" s="378" t="s">
        <v>462</v>
      </c>
      <c r="E568" s="13"/>
      <c r="F568" s="13">
        <v>185869</v>
      </c>
      <c r="G568" s="331"/>
      <c r="H568" s="331"/>
      <c r="I568" s="331"/>
      <c r="J568" s="349">
        <v>6.85</v>
      </c>
      <c r="K568" s="13"/>
      <c r="L568" s="383">
        <f>J568</f>
        <v>6.85</v>
      </c>
      <c r="M568" s="349">
        <v>6.85</v>
      </c>
      <c r="N568" s="68"/>
      <c r="O568" s="255">
        <f>+N568+M568</f>
        <v>6.85</v>
      </c>
      <c r="P568" s="68">
        <f t="shared" si="120"/>
        <v>4.4525</v>
      </c>
      <c r="Q568" s="68">
        <f t="shared" si="120"/>
        <v>0</v>
      </c>
      <c r="R568" s="255">
        <f t="shared" si="120"/>
        <v>4.4525</v>
      </c>
      <c r="S568" s="545"/>
      <c r="T568" s="546"/>
    </row>
    <row r="569" spans="1:20" ht="33.75">
      <c r="A569" s="233" t="s">
        <v>15</v>
      </c>
      <c r="B569" s="7"/>
      <c r="C569" s="232" t="s">
        <v>464</v>
      </c>
      <c r="D569" s="378" t="s">
        <v>463</v>
      </c>
      <c r="E569" s="13"/>
      <c r="F569" s="13">
        <v>112988</v>
      </c>
      <c r="G569" s="331"/>
      <c r="H569" s="331"/>
      <c r="I569" s="331"/>
      <c r="J569" s="349">
        <f>175.46+233.04</f>
        <v>408.5</v>
      </c>
      <c r="K569" s="13"/>
      <c r="L569" s="383">
        <f>J569</f>
        <v>408.5</v>
      </c>
      <c r="M569" s="349">
        <f>175.46+233.04</f>
        <v>408.5</v>
      </c>
      <c r="N569" s="68"/>
      <c r="O569" s="255">
        <f>+N569+M569</f>
        <v>408.5</v>
      </c>
      <c r="P569" s="68">
        <f t="shared" si="120"/>
        <v>265.52500000000003</v>
      </c>
      <c r="Q569" s="68">
        <f t="shared" si="120"/>
        <v>0</v>
      </c>
      <c r="R569" s="255">
        <f t="shared" si="120"/>
        <v>265.52500000000003</v>
      </c>
      <c r="S569" s="545"/>
      <c r="T569" s="546"/>
    </row>
    <row r="570" spans="1:21" s="393" customFormat="1" ht="11.25">
      <c r="A570" s="387" t="s">
        <v>252</v>
      </c>
      <c r="B570" s="388"/>
      <c r="C570" s="389" t="s">
        <v>477</v>
      </c>
      <c r="D570" s="390"/>
      <c r="E570" s="391"/>
      <c r="F570" s="390"/>
      <c r="G570" s="390"/>
      <c r="H570" s="391"/>
      <c r="I570" s="391"/>
      <c r="J570" s="392">
        <v>31596.36</v>
      </c>
      <c r="K570" s="392">
        <v>4187.982</v>
      </c>
      <c r="L570" s="255">
        <f>+K570+J570</f>
        <v>35784.342000000004</v>
      </c>
      <c r="M570" s="392">
        <v>11889.6905</v>
      </c>
      <c r="N570" s="392">
        <v>1049.551</v>
      </c>
      <c r="O570" s="255">
        <f>+N570+M570-0.12</f>
        <v>12939.1215</v>
      </c>
      <c r="P570" s="392">
        <f>M570*0.65</f>
        <v>7728.298825000001</v>
      </c>
      <c r="Q570" s="392">
        <f>N570*0.65</f>
        <v>682.2081499999999</v>
      </c>
      <c r="R570" s="255">
        <f>O570*0.65</f>
        <v>8410.428975</v>
      </c>
      <c r="S570" s="571" t="s">
        <v>478</v>
      </c>
      <c r="T570" s="571"/>
      <c r="U570" s="395"/>
    </row>
    <row r="571" spans="1:20" s="64" customFormat="1" ht="22.5">
      <c r="A571" s="99" t="s">
        <v>252</v>
      </c>
      <c r="B571" s="100"/>
      <c r="C571" s="101" t="s">
        <v>65</v>
      </c>
      <c r="D571" s="121" t="s">
        <v>68</v>
      </c>
      <c r="E571" s="117" t="s">
        <v>69</v>
      </c>
      <c r="F571" s="118">
        <v>170870</v>
      </c>
      <c r="G571" s="119">
        <v>38518</v>
      </c>
      <c r="H571" s="119">
        <v>38548</v>
      </c>
      <c r="I571" s="123" t="s">
        <v>70</v>
      </c>
      <c r="J571" s="124">
        <v>38.77</v>
      </c>
      <c r="K571" s="124">
        <f aca="true" t="shared" si="121" ref="K571:K576">J571*0.2</f>
        <v>7.754000000000001</v>
      </c>
      <c r="L571" s="275">
        <f aca="true" t="shared" si="122" ref="L571:L576">SUM(J571:K571)</f>
        <v>46.524</v>
      </c>
      <c r="M571" s="68">
        <f>J571*0.3</f>
        <v>11.631</v>
      </c>
      <c r="N571" s="68">
        <f>K571*0.3</f>
        <v>2.3262000000000005</v>
      </c>
      <c r="O571" s="255">
        <f aca="true" t="shared" si="123" ref="O571:O576">SUM(M571:N571)</f>
        <v>13.9572</v>
      </c>
      <c r="P571" s="68">
        <f aca="true" t="shared" si="124" ref="P571:R576">M571*0.65</f>
        <v>7.56015</v>
      </c>
      <c r="Q571" s="68">
        <f t="shared" si="124"/>
        <v>1.5120300000000004</v>
      </c>
      <c r="R571" s="255">
        <f t="shared" si="124"/>
        <v>9.072180000000001</v>
      </c>
      <c r="S571" s="545" t="s">
        <v>316</v>
      </c>
      <c r="T571" s="546"/>
    </row>
    <row r="572" spans="1:20" s="64" customFormat="1" ht="22.5">
      <c r="A572" s="99" t="s">
        <v>252</v>
      </c>
      <c r="B572" s="100"/>
      <c r="C572" s="101" t="s">
        <v>65</v>
      </c>
      <c r="D572" s="121" t="s">
        <v>71</v>
      </c>
      <c r="E572" s="117" t="s">
        <v>69</v>
      </c>
      <c r="F572" s="118">
        <v>264117</v>
      </c>
      <c r="G572" s="119">
        <v>38578</v>
      </c>
      <c r="H572" s="119">
        <v>38609</v>
      </c>
      <c r="I572" s="123" t="s">
        <v>70</v>
      </c>
      <c r="J572" s="124">
        <v>83.62</v>
      </c>
      <c r="K572" s="124">
        <f t="shared" si="121"/>
        <v>16.724</v>
      </c>
      <c r="L572" s="275">
        <f t="shared" si="122"/>
        <v>100.34400000000001</v>
      </c>
      <c r="M572" s="68">
        <f aca="true" t="shared" si="125" ref="M572:N574">J572*0.15</f>
        <v>12.543000000000001</v>
      </c>
      <c r="N572" s="68">
        <f t="shared" si="125"/>
        <v>2.5086</v>
      </c>
      <c r="O572" s="255">
        <f t="shared" si="123"/>
        <v>15.0516</v>
      </c>
      <c r="P572" s="68">
        <f t="shared" si="124"/>
        <v>8.15295</v>
      </c>
      <c r="Q572" s="68">
        <f t="shared" si="124"/>
        <v>1.63059</v>
      </c>
      <c r="R572" s="255">
        <f t="shared" si="124"/>
        <v>9.78354</v>
      </c>
      <c r="S572" s="545" t="s">
        <v>316</v>
      </c>
      <c r="T572" s="546"/>
    </row>
    <row r="573" spans="1:20" s="64" customFormat="1" ht="22.5">
      <c r="A573" s="99" t="s">
        <v>252</v>
      </c>
      <c r="B573" s="100"/>
      <c r="C573" s="101" t="s">
        <v>65</v>
      </c>
      <c r="D573" s="121" t="s">
        <v>71</v>
      </c>
      <c r="E573" s="117" t="s">
        <v>69</v>
      </c>
      <c r="F573" s="118">
        <v>308294</v>
      </c>
      <c r="G573" s="119">
        <v>38610</v>
      </c>
      <c r="H573" s="119">
        <v>38640</v>
      </c>
      <c r="I573" s="123" t="s">
        <v>70</v>
      </c>
      <c r="J573" s="124">
        <v>50.96</v>
      </c>
      <c r="K573" s="124">
        <f t="shared" si="121"/>
        <v>10.192</v>
      </c>
      <c r="L573" s="275">
        <f t="shared" si="122"/>
        <v>61.152</v>
      </c>
      <c r="M573" s="68">
        <f t="shared" si="125"/>
        <v>7.644</v>
      </c>
      <c r="N573" s="68">
        <f t="shared" si="125"/>
        <v>1.5288</v>
      </c>
      <c r="O573" s="255">
        <f t="shared" si="123"/>
        <v>9.1728</v>
      </c>
      <c r="P573" s="68">
        <f t="shared" si="124"/>
        <v>4.9686</v>
      </c>
      <c r="Q573" s="68">
        <f t="shared" si="124"/>
        <v>0.99372</v>
      </c>
      <c r="R573" s="255">
        <f t="shared" si="124"/>
        <v>5.962320000000001</v>
      </c>
      <c r="S573" s="545" t="s">
        <v>316</v>
      </c>
      <c r="T573" s="546"/>
    </row>
    <row r="574" spans="1:20" s="64" customFormat="1" ht="22.5">
      <c r="A574" s="99" t="s">
        <v>252</v>
      </c>
      <c r="B574" s="100"/>
      <c r="C574" s="101" t="s">
        <v>65</v>
      </c>
      <c r="D574" s="121" t="s">
        <v>72</v>
      </c>
      <c r="E574" s="117" t="s">
        <v>73</v>
      </c>
      <c r="F574" s="120" t="s">
        <v>74</v>
      </c>
      <c r="G574" s="119">
        <v>38614</v>
      </c>
      <c r="H574" s="119">
        <v>38635</v>
      </c>
      <c r="I574" s="123" t="s">
        <v>70</v>
      </c>
      <c r="J574" s="124">
        <f>985.69+93.9</f>
        <v>1079.5900000000001</v>
      </c>
      <c r="K574" s="124">
        <f t="shared" si="121"/>
        <v>215.91800000000003</v>
      </c>
      <c r="L574" s="275">
        <f t="shared" si="122"/>
        <v>1295.5080000000003</v>
      </c>
      <c r="M574" s="68">
        <f t="shared" si="125"/>
        <v>161.9385</v>
      </c>
      <c r="N574" s="68">
        <f t="shared" si="125"/>
        <v>32.3877</v>
      </c>
      <c r="O574" s="255">
        <f t="shared" si="123"/>
        <v>194.3262</v>
      </c>
      <c r="P574" s="68">
        <f t="shared" si="124"/>
        <v>105.26002500000001</v>
      </c>
      <c r="Q574" s="68">
        <f t="shared" si="124"/>
        <v>21.052005</v>
      </c>
      <c r="R574" s="255">
        <f t="shared" si="124"/>
        <v>126.31203000000001</v>
      </c>
      <c r="S574" s="547"/>
      <c r="T574" s="547"/>
    </row>
    <row r="575" spans="1:20" s="64" customFormat="1" ht="22.5">
      <c r="A575" s="99" t="s">
        <v>252</v>
      </c>
      <c r="B575" s="100"/>
      <c r="C575" s="101" t="s">
        <v>65</v>
      </c>
      <c r="D575" s="121" t="s">
        <v>75</v>
      </c>
      <c r="E575" s="121" t="s">
        <v>76</v>
      </c>
      <c r="F575" s="122" t="s">
        <v>77</v>
      </c>
      <c r="G575" s="119">
        <v>38625</v>
      </c>
      <c r="H575" s="119">
        <v>38656</v>
      </c>
      <c r="I575" s="123" t="s">
        <v>78</v>
      </c>
      <c r="J575" s="124">
        <v>262</v>
      </c>
      <c r="K575" s="124">
        <f t="shared" si="121"/>
        <v>52.400000000000006</v>
      </c>
      <c r="L575" s="275">
        <f t="shared" si="122"/>
        <v>314.4</v>
      </c>
      <c r="M575" s="68"/>
      <c r="N575" s="68">
        <v>0</v>
      </c>
      <c r="O575" s="255">
        <f t="shared" si="123"/>
        <v>0</v>
      </c>
      <c r="P575" s="68">
        <f t="shared" si="124"/>
        <v>0</v>
      </c>
      <c r="Q575" s="68">
        <f t="shared" si="124"/>
        <v>0</v>
      </c>
      <c r="R575" s="255">
        <f t="shared" si="124"/>
        <v>0</v>
      </c>
      <c r="S575" s="541" t="s">
        <v>476</v>
      </c>
      <c r="T575" s="541"/>
    </row>
    <row r="576" spans="1:20" s="64" customFormat="1" ht="31.5">
      <c r="A576" s="99" t="s">
        <v>252</v>
      </c>
      <c r="B576" s="400" t="s">
        <v>481</v>
      </c>
      <c r="C576" s="101" t="s">
        <v>65</v>
      </c>
      <c r="D576" s="102" t="s">
        <v>79</v>
      </c>
      <c r="E576" s="102" t="s">
        <v>80</v>
      </c>
      <c r="F576" s="101" t="s">
        <v>81</v>
      </c>
      <c r="G576" s="103">
        <v>38538</v>
      </c>
      <c r="H576" s="103">
        <v>38559</v>
      </c>
      <c r="I576" s="104" t="s">
        <v>82</v>
      </c>
      <c r="J576" s="68">
        <v>600</v>
      </c>
      <c r="K576" s="124">
        <f t="shared" si="121"/>
        <v>120</v>
      </c>
      <c r="L576" s="275">
        <f t="shared" si="122"/>
        <v>720</v>
      </c>
      <c r="M576" s="68">
        <v>600</v>
      </c>
      <c r="N576" s="68">
        <f>M576*0.2</f>
        <v>120</v>
      </c>
      <c r="O576" s="255">
        <f t="shared" si="123"/>
        <v>720</v>
      </c>
      <c r="P576" s="68">
        <f t="shared" si="124"/>
        <v>390</v>
      </c>
      <c r="Q576" s="68">
        <f t="shared" si="124"/>
        <v>78</v>
      </c>
      <c r="R576" s="255">
        <f t="shared" si="124"/>
        <v>468</v>
      </c>
      <c r="S576" s="541" t="s">
        <v>466</v>
      </c>
      <c r="T576" s="541"/>
    </row>
    <row r="577" spans="1:20" s="64" customFormat="1" ht="22.5">
      <c r="A577" s="99" t="s">
        <v>252</v>
      </c>
      <c r="B577" s="100"/>
      <c r="C577" s="101" t="s">
        <v>122</v>
      </c>
      <c r="D577" s="106" t="s">
        <v>85</v>
      </c>
      <c r="E577" s="126" t="s">
        <v>86</v>
      </c>
      <c r="F577" s="121" t="s">
        <v>87</v>
      </c>
      <c r="G577" s="127">
        <v>38504</v>
      </c>
      <c r="H577" s="127">
        <v>38504</v>
      </c>
      <c r="I577" s="107" t="s">
        <v>88</v>
      </c>
      <c r="J577" s="130">
        <v>516.34</v>
      </c>
      <c r="K577" s="124">
        <v>0</v>
      </c>
      <c r="L577" s="275">
        <f aca="true" t="shared" si="126" ref="L577:L592">SUM(J577:K577)</f>
        <v>516.34</v>
      </c>
      <c r="M577" s="68">
        <f>J577*0.3</f>
        <v>154.90200000000002</v>
      </c>
      <c r="N577" s="68"/>
      <c r="O577" s="255">
        <f aca="true" t="shared" si="127" ref="O577:O602">SUM(M577:N577)</f>
        <v>154.90200000000002</v>
      </c>
      <c r="P577" s="68">
        <f aca="true" t="shared" si="128" ref="P577:P589">M577*0.65</f>
        <v>100.68630000000002</v>
      </c>
      <c r="Q577" s="68">
        <f aca="true" t="shared" si="129" ref="Q577:Q589">N577*0.65</f>
        <v>0</v>
      </c>
      <c r="R577" s="255">
        <f aca="true" t="shared" si="130" ref="R577:R589">O577*0.65</f>
        <v>100.68630000000002</v>
      </c>
      <c r="S577" s="541" t="s">
        <v>466</v>
      </c>
      <c r="T577" s="541"/>
    </row>
    <row r="578" spans="1:20" s="64" customFormat="1" ht="22.5">
      <c r="A578" s="99" t="s">
        <v>252</v>
      </c>
      <c r="B578" s="100"/>
      <c r="C578" s="101" t="s">
        <v>122</v>
      </c>
      <c r="D578" s="106" t="s">
        <v>89</v>
      </c>
      <c r="E578" s="128" t="s">
        <v>90</v>
      </c>
      <c r="F578" s="121">
        <v>136</v>
      </c>
      <c r="G578" s="127">
        <v>38524</v>
      </c>
      <c r="H578" s="127">
        <v>38524</v>
      </c>
      <c r="I578" s="106"/>
      <c r="J578" s="130">
        <v>240</v>
      </c>
      <c r="K578" s="124">
        <f>J578*20%</f>
        <v>48</v>
      </c>
      <c r="L578" s="275">
        <f t="shared" si="126"/>
        <v>288</v>
      </c>
      <c r="M578" s="68"/>
      <c r="N578" s="68"/>
      <c r="O578" s="255">
        <f t="shared" si="127"/>
        <v>0</v>
      </c>
      <c r="P578" s="68">
        <f t="shared" si="128"/>
        <v>0</v>
      </c>
      <c r="Q578" s="68">
        <f t="shared" si="129"/>
        <v>0</v>
      </c>
      <c r="R578" s="255">
        <f t="shared" si="130"/>
        <v>0</v>
      </c>
      <c r="S578" s="541" t="s">
        <v>480</v>
      </c>
      <c r="T578" s="541"/>
    </row>
    <row r="579" spans="1:20" s="64" customFormat="1" ht="22.5">
      <c r="A579" s="99" t="s">
        <v>252</v>
      </c>
      <c r="B579" s="100"/>
      <c r="C579" s="101" t="s">
        <v>122</v>
      </c>
      <c r="D579" s="106" t="s">
        <v>91</v>
      </c>
      <c r="E579" s="128" t="s">
        <v>92</v>
      </c>
      <c r="F579" s="121" t="s">
        <v>93</v>
      </c>
      <c r="G579" s="127">
        <v>38533</v>
      </c>
      <c r="H579" s="127">
        <v>38533</v>
      </c>
      <c r="I579" s="106"/>
      <c r="J579" s="130">
        <v>70</v>
      </c>
      <c r="K579" s="124">
        <f>J579*20%</f>
        <v>14</v>
      </c>
      <c r="L579" s="275">
        <f t="shared" si="126"/>
        <v>84</v>
      </c>
      <c r="M579" s="68"/>
      <c r="N579" s="68"/>
      <c r="O579" s="255">
        <f t="shared" si="127"/>
        <v>0</v>
      </c>
      <c r="P579" s="68">
        <f t="shared" si="128"/>
        <v>0</v>
      </c>
      <c r="Q579" s="68">
        <f t="shared" si="129"/>
        <v>0</v>
      </c>
      <c r="R579" s="255">
        <f t="shared" si="130"/>
        <v>0</v>
      </c>
      <c r="S579" s="541" t="s">
        <v>480</v>
      </c>
      <c r="T579" s="541"/>
    </row>
    <row r="580" spans="1:20" s="64" customFormat="1" ht="22.5">
      <c r="A580" s="99" t="s">
        <v>252</v>
      </c>
      <c r="B580" s="100"/>
      <c r="C580" s="101" t="s">
        <v>122</v>
      </c>
      <c r="D580" s="106" t="s">
        <v>94</v>
      </c>
      <c r="E580" s="126" t="s">
        <v>86</v>
      </c>
      <c r="F580" s="121" t="s">
        <v>95</v>
      </c>
      <c r="G580" s="127">
        <v>38534</v>
      </c>
      <c r="H580" s="127">
        <v>38534</v>
      </c>
      <c r="I580" s="107" t="s">
        <v>88</v>
      </c>
      <c r="J580" s="130">
        <v>516.86</v>
      </c>
      <c r="K580" s="124">
        <v>0</v>
      </c>
      <c r="L580" s="275">
        <f t="shared" si="126"/>
        <v>516.86</v>
      </c>
      <c r="M580" s="68">
        <f>J580*0.3</f>
        <v>155.058</v>
      </c>
      <c r="N580" s="68">
        <f>K580*0.3</f>
        <v>0</v>
      </c>
      <c r="O580" s="255">
        <f t="shared" si="127"/>
        <v>155.058</v>
      </c>
      <c r="P580" s="68">
        <f t="shared" si="128"/>
        <v>100.7877</v>
      </c>
      <c r="Q580" s="68">
        <f t="shared" si="129"/>
        <v>0</v>
      </c>
      <c r="R580" s="255">
        <f t="shared" si="130"/>
        <v>100.7877</v>
      </c>
      <c r="S580" s="541" t="s">
        <v>466</v>
      </c>
      <c r="T580" s="541"/>
    </row>
    <row r="581" spans="1:20" s="64" customFormat="1" ht="22.5">
      <c r="A581" s="99" t="s">
        <v>252</v>
      </c>
      <c r="B581" s="100"/>
      <c r="C581" s="101" t="s">
        <v>122</v>
      </c>
      <c r="D581" s="106" t="s">
        <v>96</v>
      </c>
      <c r="E581" s="126" t="s">
        <v>73</v>
      </c>
      <c r="F581" s="132" t="s">
        <v>97</v>
      </c>
      <c r="G581" s="127">
        <v>38523</v>
      </c>
      <c r="H581" s="127">
        <v>38544</v>
      </c>
      <c r="I581" s="123" t="s">
        <v>70</v>
      </c>
      <c r="J581" s="130">
        <v>49.9</v>
      </c>
      <c r="K581" s="124">
        <f>J581*20%</f>
        <v>9.98</v>
      </c>
      <c r="L581" s="275">
        <f t="shared" si="126"/>
        <v>59.879999999999995</v>
      </c>
      <c r="M581" s="68">
        <f>J581*0.3</f>
        <v>14.969999999999999</v>
      </c>
      <c r="N581" s="68">
        <f>K581*0.3</f>
        <v>2.994</v>
      </c>
      <c r="O581" s="255">
        <f t="shared" si="127"/>
        <v>17.964</v>
      </c>
      <c r="P581" s="68">
        <f t="shared" si="128"/>
        <v>9.7305</v>
      </c>
      <c r="Q581" s="68">
        <f t="shared" si="129"/>
        <v>1.9461000000000002</v>
      </c>
      <c r="R581" s="255">
        <f t="shared" si="130"/>
        <v>11.676599999999999</v>
      </c>
      <c r="S581" s="541" t="s">
        <v>466</v>
      </c>
      <c r="T581" s="541"/>
    </row>
    <row r="582" spans="1:20" s="64" customFormat="1" ht="22.5">
      <c r="A582" s="99" t="s">
        <v>252</v>
      </c>
      <c r="B582" s="100"/>
      <c r="C582" s="101" t="s">
        <v>122</v>
      </c>
      <c r="D582" s="106" t="s">
        <v>98</v>
      </c>
      <c r="E582" s="126" t="s">
        <v>99</v>
      </c>
      <c r="F582" s="121" t="s">
        <v>100</v>
      </c>
      <c r="G582" s="129">
        <v>38510</v>
      </c>
      <c r="H582" s="127">
        <v>38548</v>
      </c>
      <c r="I582" s="123" t="s">
        <v>70</v>
      </c>
      <c r="J582" s="131">
        <f>454.3+125.66+21.68</f>
        <v>601.64</v>
      </c>
      <c r="K582" s="124">
        <f>J582*20%</f>
        <v>120.328</v>
      </c>
      <c r="L582" s="275">
        <f t="shared" si="126"/>
        <v>721.968</v>
      </c>
      <c r="M582" s="68">
        <f>J582*0.15</f>
        <v>90.246</v>
      </c>
      <c r="N582" s="68">
        <f>K582*0.15</f>
        <v>18.0492</v>
      </c>
      <c r="O582" s="255">
        <f t="shared" si="127"/>
        <v>108.2952</v>
      </c>
      <c r="P582" s="68">
        <f t="shared" si="128"/>
        <v>58.6599</v>
      </c>
      <c r="Q582" s="68">
        <f t="shared" si="129"/>
        <v>11.73198</v>
      </c>
      <c r="R582" s="255">
        <f t="shared" si="130"/>
        <v>70.39188</v>
      </c>
      <c r="S582" s="541" t="s">
        <v>466</v>
      </c>
      <c r="T582" s="541"/>
    </row>
    <row r="583" spans="1:20" s="64" customFormat="1" ht="22.5">
      <c r="A583" s="99" t="s">
        <v>252</v>
      </c>
      <c r="B583" s="100"/>
      <c r="C583" s="101" t="s">
        <v>122</v>
      </c>
      <c r="D583" s="106" t="s">
        <v>101</v>
      </c>
      <c r="E583" s="128" t="s">
        <v>92</v>
      </c>
      <c r="F583" s="121" t="s">
        <v>102</v>
      </c>
      <c r="G583" s="129">
        <v>38555</v>
      </c>
      <c r="H583" s="129">
        <v>38555</v>
      </c>
      <c r="I583" s="106"/>
      <c r="J583" s="130">
        <v>70</v>
      </c>
      <c r="K583" s="124">
        <f>J583*20%</f>
        <v>14</v>
      </c>
      <c r="L583" s="275">
        <f t="shared" si="126"/>
        <v>84</v>
      </c>
      <c r="M583" s="68"/>
      <c r="N583" s="68"/>
      <c r="O583" s="255">
        <f t="shared" si="127"/>
        <v>0</v>
      </c>
      <c r="P583" s="68">
        <f t="shared" si="128"/>
        <v>0</v>
      </c>
      <c r="Q583" s="68">
        <f t="shared" si="129"/>
        <v>0</v>
      </c>
      <c r="R583" s="255">
        <f t="shared" si="130"/>
        <v>0</v>
      </c>
      <c r="S583" s="541" t="s">
        <v>480</v>
      </c>
      <c r="T583" s="541"/>
    </row>
    <row r="584" spans="1:20" s="64" customFormat="1" ht="11.25">
      <c r="A584" s="99" t="s">
        <v>252</v>
      </c>
      <c r="B584" s="100"/>
      <c r="C584" s="101" t="s">
        <v>122</v>
      </c>
      <c r="D584" s="106" t="s">
        <v>103</v>
      </c>
      <c r="E584" s="126" t="s">
        <v>104</v>
      </c>
      <c r="F584" s="121">
        <v>287</v>
      </c>
      <c r="G584" s="127">
        <v>38509</v>
      </c>
      <c r="H584" s="127">
        <v>38595</v>
      </c>
      <c r="I584" s="107"/>
      <c r="J584" s="130">
        <v>72.2</v>
      </c>
      <c r="K584" s="124">
        <f>J584*20%</f>
        <v>14.440000000000001</v>
      </c>
      <c r="L584" s="275">
        <f t="shared" si="126"/>
        <v>86.64</v>
      </c>
      <c r="M584" s="68"/>
      <c r="N584" s="68"/>
      <c r="O584" s="255">
        <f t="shared" si="127"/>
        <v>0</v>
      </c>
      <c r="P584" s="68">
        <f t="shared" si="128"/>
        <v>0</v>
      </c>
      <c r="Q584" s="68">
        <f t="shared" si="129"/>
        <v>0</v>
      </c>
      <c r="R584" s="255">
        <f t="shared" si="130"/>
        <v>0</v>
      </c>
      <c r="S584" s="541" t="s">
        <v>476</v>
      </c>
      <c r="T584" s="541"/>
    </row>
    <row r="585" spans="1:20" s="64" customFormat="1" ht="22.5">
      <c r="A585" s="99" t="s">
        <v>252</v>
      </c>
      <c r="B585" s="100"/>
      <c r="C585" s="101" t="s">
        <v>122</v>
      </c>
      <c r="D585" s="106" t="s">
        <v>105</v>
      </c>
      <c r="E585" s="126" t="s">
        <v>106</v>
      </c>
      <c r="F585" s="121" t="s">
        <v>107</v>
      </c>
      <c r="G585" s="127">
        <v>38596</v>
      </c>
      <c r="H585" s="127">
        <v>38596</v>
      </c>
      <c r="I585" s="123" t="s">
        <v>88</v>
      </c>
      <c r="J585" s="130">
        <v>516.86</v>
      </c>
      <c r="K585" s="124">
        <v>0</v>
      </c>
      <c r="L585" s="275">
        <f t="shared" si="126"/>
        <v>516.86</v>
      </c>
      <c r="M585" s="68">
        <f>J585*0.3</f>
        <v>155.058</v>
      </c>
      <c r="N585" s="68">
        <f>K585*0.3</f>
        <v>0</v>
      </c>
      <c r="O585" s="255">
        <f t="shared" si="127"/>
        <v>155.058</v>
      </c>
      <c r="P585" s="68">
        <f t="shared" si="128"/>
        <v>100.7877</v>
      </c>
      <c r="Q585" s="68">
        <f t="shared" si="129"/>
        <v>0</v>
      </c>
      <c r="R585" s="255">
        <f t="shared" si="130"/>
        <v>100.7877</v>
      </c>
      <c r="S585" s="541" t="s">
        <v>466</v>
      </c>
      <c r="T585" s="541"/>
    </row>
    <row r="586" spans="1:20" s="64" customFormat="1" ht="22.5">
      <c r="A586" s="99" t="s">
        <v>252</v>
      </c>
      <c r="B586" s="100"/>
      <c r="C586" s="101" t="s">
        <v>122</v>
      </c>
      <c r="D586" s="106" t="s">
        <v>108</v>
      </c>
      <c r="E586" s="126" t="s">
        <v>73</v>
      </c>
      <c r="F586" s="132"/>
      <c r="G586" s="127"/>
      <c r="H586" s="127">
        <v>38602</v>
      </c>
      <c r="I586" s="123" t="s">
        <v>70</v>
      </c>
      <c r="J586" s="130">
        <v>46.52</v>
      </c>
      <c r="K586" s="124">
        <f>J586*20%</f>
        <v>9.304</v>
      </c>
      <c r="L586" s="275">
        <f t="shared" si="126"/>
        <v>55.824000000000005</v>
      </c>
      <c r="M586" s="68">
        <f>J586*0.3</f>
        <v>13.956000000000001</v>
      </c>
      <c r="N586" s="68">
        <f>K586*0.3</f>
        <v>2.7912</v>
      </c>
      <c r="O586" s="255">
        <f t="shared" si="127"/>
        <v>16.7472</v>
      </c>
      <c r="P586" s="68">
        <f t="shared" si="128"/>
        <v>9.0714</v>
      </c>
      <c r="Q586" s="68">
        <f t="shared" si="129"/>
        <v>1.81428</v>
      </c>
      <c r="R586" s="255">
        <f t="shared" si="130"/>
        <v>10.88568</v>
      </c>
      <c r="S586" s="541" t="s">
        <v>469</v>
      </c>
      <c r="T586" s="541"/>
    </row>
    <row r="587" spans="1:20" s="64" customFormat="1" ht="22.5">
      <c r="A587" s="99" t="s">
        <v>252</v>
      </c>
      <c r="B587" s="100"/>
      <c r="C587" s="101" t="s">
        <v>122</v>
      </c>
      <c r="D587" s="106" t="s">
        <v>109</v>
      </c>
      <c r="E587" s="128" t="s">
        <v>99</v>
      </c>
      <c r="F587" s="121" t="s">
        <v>110</v>
      </c>
      <c r="G587" s="127">
        <v>38569</v>
      </c>
      <c r="H587" s="127">
        <v>38610</v>
      </c>
      <c r="I587" s="123" t="s">
        <v>70</v>
      </c>
      <c r="J587" s="131">
        <f>220.26+125.66+21.68-2.71</f>
        <v>364.89</v>
      </c>
      <c r="K587" s="124">
        <f>J587*20%</f>
        <v>72.978</v>
      </c>
      <c r="L587" s="275">
        <f t="shared" si="126"/>
        <v>437.868</v>
      </c>
      <c r="M587" s="68">
        <f>J587*0.15</f>
        <v>54.7335</v>
      </c>
      <c r="N587" s="68">
        <f>K587*0.15</f>
        <v>10.946699999999998</v>
      </c>
      <c r="O587" s="255">
        <f t="shared" si="127"/>
        <v>65.6802</v>
      </c>
      <c r="P587" s="68">
        <f t="shared" si="128"/>
        <v>35.576775</v>
      </c>
      <c r="Q587" s="68">
        <f t="shared" si="129"/>
        <v>7.115354999999999</v>
      </c>
      <c r="R587" s="255">
        <f t="shared" si="130"/>
        <v>42.69213</v>
      </c>
      <c r="S587" s="541" t="s">
        <v>466</v>
      </c>
      <c r="T587" s="541"/>
    </row>
    <row r="588" spans="1:20" s="64" customFormat="1" ht="22.5">
      <c r="A588" s="99" t="s">
        <v>252</v>
      </c>
      <c r="B588" s="100"/>
      <c r="C588" s="101" t="s">
        <v>122</v>
      </c>
      <c r="D588" s="106" t="s">
        <v>111</v>
      </c>
      <c r="E588" s="128" t="s">
        <v>92</v>
      </c>
      <c r="F588" s="121" t="s">
        <v>112</v>
      </c>
      <c r="G588" s="127">
        <v>38625</v>
      </c>
      <c r="H588" s="127">
        <v>38625</v>
      </c>
      <c r="I588" s="106"/>
      <c r="J588" s="130">
        <v>70</v>
      </c>
      <c r="K588" s="124">
        <f>J588*20%</f>
        <v>14</v>
      </c>
      <c r="L588" s="275">
        <f t="shared" si="126"/>
        <v>84</v>
      </c>
      <c r="M588" s="68"/>
      <c r="N588" s="68"/>
      <c r="O588" s="255">
        <f t="shared" si="127"/>
        <v>0</v>
      </c>
      <c r="P588" s="68">
        <f t="shared" si="128"/>
        <v>0</v>
      </c>
      <c r="Q588" s="68">
        <f t="shared" si="129"/>
        <v>0</v>
      </c>
      <c r="R588" s="255">
        <f t="shared" si="130"/>
        <v>0</v>
      </c>
      <c r="S588" s="541" t="s">
        <v>480</v>
      </c>
      <c r="T588" s="541"/>
    </row>
    <row r="589" spans="1:20" s="64" customFormat="1" ht="22.5">
      <c r="A589" s="99" t="s">
        <v>252</v>
      </c>
      <c r="B589" s="100"/>
      <c r="C589" s="101" t="s">
        <v>122</v>
      </c>
      <c r="D589" s="106" t="s">
        <v>113</v>
      </c>
      <c r="E589" s="128" t="s">
        <v>106</v>
      </c>
      <c r="F589" s="133" t="s">
        <v>114</v>
      </c>
      <c r="G589" s="127">
        <v>38626</v>
      </c>
      <c r="H589" s="127">
        <v>38626</v>
      </c>
      <c r="I589" s="107" t="s">
        <v>88</v>
      </c>
      <c r="J589" s="130">
        <v>516.86</v>
      </c>
      <c r="K589" s="124">
        <v>0</v>
      </c>
      <c r="L589" s="275">
        <f t="shared" si="126"/>
        <v>516.86</v>
      </c>
      <c r="M589" s="68">
        <f>J589*0.15</f>
        <v>77.529</v>
      </c>
      <c r="N589" s="68"/>
      <c r="O589" s="255">
        <f t="shared" si="127"/>
        <v>77.529</v>
      </c>
      <c r="P589" s="68">
        <f t="shared" si="128"/>
        <v>50.39385</v>
      </c>
      <c r="Q589" s="68">
        <f t="shared" si="129"/>
        <v>0</v>
      </c>
      <c r="R589" s="255">
        <f t="shared" si="130"/>
        <v>50.39385</v>
      </c>
      <c r="S589" s="541" t="s">
        <v>466</v>
      </c>
      <c r="T589" s="541"/>
    </row>
    <row r="590" spans="1:20" s="64" customFormat="1" ht="22.5">
      <c r="A590" s="99" t="s">
        <v>252</v>
      </c>
      <c r="B590" s="100"/>
      <c r="C590" s="101" t="s">
        <v>122</v>
      </c>
      <c r="D590" s="106" t="s">
        <v>115</v>
      </c>
      <c r="E590" s="128" t="s">
        <v>116</v>
      </c>
      <c r="F590" s="133" t="s">
        <v>117</v>
      </c>
      <c r="G590" s="127">
        <v>38625</v>
      </c>
      <c r="H590" s="127">
        <v>38635</v>
      </c>
      <c r="I590" s="107" t="s">
        <v>78</v>
      </c>
      <c r="J590" s="130">
        <v>182.91</v>
      </c>
      <c r="K590" s="124">
        <f>J590*20%</f>
        <v>36.582</v>
      </c>
      <c r="L590" s="275">
        <f t="shared" si="126"/>
        <v>219.492</v>
      </c>
      <c r="M590" s="68"/>
      <c r="N590" s="68">
        <f>M590*0.2</f>
        <v>0</v>
      </c>
      <c r="O590" s="255">
        <f t="shared" si="127"/>
        <v>0</v>
      </c>
      <c r="P590" s="63">
        <f aca="true" t="shared" si="131" ref="P590:Q592">M590*0.65</f>
        <v>0</v>
      </c>
      <c r="Q590" s="63">
        <f t="shared" si="131"/>
        <v>0</v>
      </c>
      <c r="R590" s="255">
        <f>SUM(P590:Q590)</f>
        <v>0</v>
      </c>
      <c r="S590" s="541" t="s">
        <v>476</v>
      </c>
      <c r="T590" s="541"/>
    </row>
    <row r="591" spans="1:20" s="64" customFormat="1" ht="22.5">
      <c r="A591" s="99" t="s">
        <v>252</v>
      </c>
      <c r="B591" s="100"/>
      <c r="C591" s="101" t="s">
        <v>122</v>
      </c>
      <c r="D591" s="106" t="s">
        <v>118</v>
      </c>
      <c r="E591" s="128" t="s">
        <v>92</v>
      </c>
      <c r="F591" s="121" t="s">
        <v>119</v>
      </c>
      <c r="G591" s="127">
        <v>38651</v>
      </c>
      <c r="H591" s="127">
        <v>38651</v>
      </c>
      <c r="I591" s="106"/>
      <c r="J591" s="130">
        <v>70</v>
      </c>
      <c r="K591" s="124">
        <f>J591*20%</f>
        <v>14</v>
      </c>
      <c r="L591" s="275">
        <f t="shared" si="126"/>
        <v>84</v>
      </c>
      <c r="M591" s="68"/>
      <c r="N591" s="68"/>
      <c r="O591" s="255">
        <f t="shared" si="127"/>
        <v>0</v>
      </c>
      <c r="P591" s="68">
        <f t="shared" si="131"/>
        <v>0</v>
      </c>
      <c r="Q591" s="68">
        <f t="shared" si="131"/>
        <v>0</v>
      </c>
      <c r="R591" s="255">
        <f aca="true" t="shared" si="132" ref="R591:R622">O591*0.65</f>
        <v>0</v>
      </c>
      <c r="S591" s="541" t="s">
        <v>468</v>
      </c>
      <c r="T591" s="541"/>
    </row>
    <row r="592" spans="1:20" s="64" customFormat="1" ht="22.5">
      <c r="A592" s="99" t="s">
        <v>252</v>
      </c>
      <c r="B592" s="100"/>
      <c r="C592" s="101" t="s">
        <v>122</v>
      </c>
      <c r="D592" s="106" t="s">
        <v>120</v>
      </c>
      <c r="E592" s="128" t="s">
        <v>73</v>
      </c>
      <c r="F592" s="132" t="s">
        <v>121</v>
      </c>
      <c r="G592" s="127">
        <v>38643</v>
      </c>
      <c r="H592" s="127">
        <v>38663</v>
      </c>
      <c r="I592" s="107" t="s">
        <v>70</v>
      </c>
      <c r="J592" s="130">
        <v>51.63</v>
      </c>
      <c r="K592" s="124">
        <f>J592*20%</f>
        <v>10.326</v>
      </c>
      <c r="L592" s="275">
        <f t="shared" si="126"/>
        <v>61.956</v>
      </c>
      <c r="M592" s="68">
        <f>J592*0.15</f>
        <v>7.7445</v>
      </c>
      <c r="N592" s="68">
        <f>K592*0.15</f>
        <v>1.5489</v>
      </c>
      <c r="O592" s="255">
        <f t="shared" si="127"/>
        <v>9.2934</v>
      </c>
      <c r="P592" s="68">
        <f t="shared" si="131"/>
        <v>5.033925</v>
      </c>
      <c r="Q592" s="68">
        <f t="shared" si="131"/>
        <v>1.006785</v>
      </c>
      <c r="R592" s="255">
        <f t="shared" si="132"/>
        <v>6.040710000000001</v>
      </c>
      <c r="S592" s="541" t="s">
        <v>466</v>
      </c>
      <c r="T592" s="541"/>
    </row>
    <row r="593" spans="1:20" s="64" customFormat="1" ht="22.5">
      <c r="A593" s="99" t="s">
        <v>252</v>
      </c>
      <c r="B593" s="100"/>
      <c r="C593" s="101" t="s">
        <v>123</v>
      </c>
      <c r="D593" s="135" t="s">
        <v>149</v>
      </c>
      <c r="E593" s="106"/>
      <c r="F593" s="106"/>
      <c r="G593" s="107"/>
      <c r="H593" s="136">
        <v>38504</v>
      </c>
      <c r="I593" s="137" t="s">
        <v>125</v>
      </c>
      <c r="J593" s="124">
        <v>106</v>
      </c>
      <c r="K593" s="144">
        <v>0</v>
      </c>
      <c r="L593" s="275">
        <f aca="true" t="shared" si="133" ref="L593:L608">J593+K593</f>
        <v>106</v>
      </c>
      <c r="M593" s="68">
        <f aca="true" t="shared" si="134" ref="M593:M598">J593*0.3</f>
        <v>31.799999999999997</v>
      </c>
      <c r="N593" s="68"/>
      <c r="O593" s="255">
        <f t="shared" si="127"/>
        <v>31.799999999999997</v>
      </c>
      <c r="P593" s="63">
        <f aca="true" t="shared" si="135" ref="P593:P624">M593*0.65</f>
        <v>20.669999999999998</v>
      </c>
      <c r="Q593" s="63"/>
      <c r="R593" s="255">
        <f t="shared" si="132"/>
        <v>20.669999999999998</v>
      </c>
      <c r="S593" s="547"/>
      <c r="T593" s="547"/>
    </row>
    <row r="594" spans="1:20" s="64" customFormat="1" ht="22.5">
      <c r="A594" s="99" t="s">
        <v>252</v>
      </c>
      <c r="B594" s="100"/>
      <c r="C594" s="101" t="s">
        <v>123</v>
      </c>
      <c r="D594" s="135" t="s">
        <v>126</v>
      </c>
      <c r="E594" s="106" t="s">
        <v>127</v>
      </c>
      <c r="F594" s="121"/>
      <c r="G594" s="107"/>
      <c r="H594" s="136">
        <v>38506</v>
      </c>
      <c r="I594" s="137" t="s">
        <v>125</v>
      </c>
      <c r="J594" s="124">
        <v>912.83</v>
      </c>
      <c r="K594" s="144">
        <v>0</v>
      </c>
      <c r="L594" s="275">
        <f t="shared" si="133"/>
        <v>912.83</v>
      </c>
      <c r="M594" s="68">
        <f t="shared" si="134"/>
        <v>273.849</v>
      </c>
      <c r="N594" s="68"/>
      <c r="O594" s="255">
        <f t="shared" si="127"/>
        <v>273.849</v>
      </c>
      <c r="P594" s="68">
        <f t="shared" si="135"/>
        <v>178.00185</v>
      </c>
      <c r="Q594" s="68">
        <f aca="true" t="shared" si="136" ref="Q594:Q625">N594*0.65</f>
        <v>0</v>
      </c>
      <c r="R594" s="255">
        <f t="shared" si="132"/>
        <v>178.00185</v>
      </c>
      <c r="S594" s="547"/>
      <c r="T594" s="547"/>
    </row>
    <row r="595" spans="1:20" s="64" customFormat="1" ht="22.5">
      <c r="A595" s="99" t="s">
        <v>252</v>
      </c>
      <c r="B595" s="100"/>
      <c r="C595" s="101" t="s">
        <v>123</v>
      </c>
      <c r="D595" s="138" t="s">
        <v>146</v>
      </c>
      <c r="E595" s="106" t="s">
        <v>129</v>
      </c>
      <c r="F595" s="132" t="s">
        <v>147</v>
      </c>
      <c r="G595" s="107">
        <v>38601</v>
      </c>
      <c r="H595" s="136">
        <v>38639</v>
      </c>
      <c r="I595" s="123" t="s">
        <v>130</v>
      </c>
      <c r="J595" s="124">
        <v>30.01</v>
      </c>
      <c r="K595" s="144">
        <v>5.99</v>
      </c>
      <c r="L595" s="275">
        <f t="shared" si="133"/>
        <v>36</v>
      </c>
      <c r="M595" s="68">
        <f t="shared" si="134"/>
        <v>9.003</v>
      </c>
      <c r="N595" s="68">
        <f>K595*0.3</f>
        <v>1.797</v>
      </c>
      <c r="O595" s="255">
        <f t="shared" si="127"/>
        <v>10.8</v>
      </c>
      <c r="P595" s="68">
        <f t="shared" si="135"/>
        <v>5.85195</v>
      </c>
      <c r="Q595" s="68">
        <f t="shared" si="136"/>
        <v>1.16805</v>
      </c>
      <c r="R595" s="255">
        <f t="shared" si="132"/>
        <v>7.0200000000000005</v>
      </c>
      <c r="S595" s="541" t="s">
        <v>466</v>
      </c>
      <c r="T595" s="541"/>
    </row>
    <row r="596" spans="1:20" s="64" customFormat="1" ht="22.5">
      <c r="A596" s="99" t="s">
        <v>252</v>
      </c>
      <c r="B596" s="100"/>
      <c r="C596" s="101" t="s">
        <v>123</v>
      </c>
      <c r="D596" s="138" t="s">
        <v>131</v>
      </c>
      <c r="E596" s="106" t="s">
        <v>99</v>
      </c>
      <c r="F596" s="141">
        <v>8500676733</v>
      </c>
      <c r="G596" s="107">
        <v>38510</v>
      </c>
      <c r="H596" s="136">
        <v>38548</v>
      </c>
      <c r="I596" s="123" t="s">
        <v>132</v>
      </c>
      <c r="J596" s="124">
        <v>569.91</v>
      </c>
      <c r="K596" s="144">
        <v>114.59</v>
      </c>
      <c r="L596" s="275">
        <f t="shared" si="133"/>
        <v>684.5</v>
      </c>
      <c r="M596" s="68">
        <f t="shared" si="134"/>
        <v>170.97299999999998</v>
      </c>
      <c r="N596" s="68">
        <f>K596*0.3</f>
        <v>34.377</v>
      </c>
      <c r="O596" s="255">
        <f t="shared" si="127"/>
        <v>205.35</v>
      </c>
      <c r="P596" s="68">
        <f t="shared" si="135"/>
        <v>111.13244999999999</v>
      </c>
      <c r="Q596" s="68">
        <f t="shared" si="136"/>
        <v>22.345050000000004</v>
      </c>
      <c r="R596" s="255">
        <f t="shared" si="132"/>
        <v>133.4775</v>
      </c>
      <c r="S596" s="541" t="s">
        <v>466</v>
      </c>
      <c r="T596" s="541"/>
    </row>
    <row r="597" spans="1:20" s="64" customFormat="1" ht="22.5">
      <c r="A597" s="99" t="s">
        <v>252</v>
      </c>
      <c r="B597" s="100"/>
      <c r="C597" s="101" t="s">
        <v>123</v>
      </c>
      <c r="D597" s="135" t="s">
        <v>133</v>
      </c>
      <c r="E597" s="106" t="s">
        <v>127</v>
      </c>
      <c r="F597" s="121"/>
      <c r="G597" s="107"/>
      <c r="H597" s="136">
        <v>38534</v>
      </c>
      <c r="I597" s="137" t="s">
        <v>125</v>
      </c>
      <c r="J597" s="124">
        <v>912.83</v>
      </c>
      <c r="K597" s="144">
        <v>0</v>
      </c>
      <c r="L597" s="275">
        <f t="shared" si="133"/>
        <v>912.83</v>
      </c>
      <c r="M597" s="68">
        <f t="shared" si="134"/>
        <v>273.849</v>
      </c>
      <c r="N597" s="68">
        <f>K597*0.3</f>
        <v>0</v>
      </c>
      <c r="O597" s="255">
        <f t="shared" si="127"/>
        <v>273.849</v>
      </c>
      <c r="P597" s="68">
        <f t="shared" si="135"/>
        <v>178.00185</v>
      </c>
      <c r="Q597" s="68">
        <f t="shared" si="136"/>
        <v>0</v>
      </c>
      <c r="R597" s="255">
        <f t="shared" si="132"/>
        <v>178.00185</v>
      </c>
      <c r="S597" s="547"/>
      <c r="T597" s="547"/>
    </row>
    <row r="598" spans="1:20" s="64" customFormat="1" ht="22.5">
      <c r="A598" s="99" t="s">
        <v>252</v>
      </c>
      <c r="B598" s="100"/>
      <c r="C598" s="101" t="s">
        <v>123</v>
      </c>
      <c r="D598" s="135" t="s">
        <v>134</v>
      </c>
      <c r="E598" s="106" t="s">
        <v>135</v>
      </c>
      <c r="F598" s="121"/>
      <c r="G598" s="107"/>
      <c r="H598" s="136">
        <v>38532</v>
      </c>
      <c r="I598" s="137" t="s">
        <v>125</v>
      </c>
      <c r="J598" s="124">
        <v>106</v>
      </c>
      <c r="K598" s="144">
        <v>0</v>
      </c>
      <c r="L598" s="275">
        <f t="shared" si="133"/>
        <v>106</v>
      </c>
      <c r="M598" s="68">
        <f t="shared" si="134"/>
        <v>31.799999999999997</v>
      </c>
      <c r="N598" s="68">
        <f>K598*0.3</f>
        <v>0</v>
      </c>
      <c r="O598" s="255">
        <f t="shared" si="127"/>
        <v>31.799999999999997</v>
      </c>
      <c r="P598" s="68">
        <f t="shared" si="135"/>
        <v>20.669999999999998</v>
      </c>
      <c r="Q598" s="68">
        <f t="shared" si="136"/>
        <v>0</v>
      </c>
      <c r="R598" s="255">
        <f t="shared" si="132"/>
        <v>20.669999999999998</v>
      </c>
      <c r="S598" s="547"/>
      <c r="T598" s="547"/>
    </row>
    <row r="599" spans="1:20" s="64" customFormat="1" ht="22.5">
      <c r="A599" s="99" t="s">
        <v>252</v>
      </c>
      <c r="B599" s="100"/>
      <c r="C599" s="101" t="s">
        <v>123</v>
      </c>
      <c r="D599" s="135" t="s">
        <v>144</v>
      </c>
      <c r="E599" s="106" t="s">
        <v>127</v>
      </c>
      <c r="F599" s="121"/>
      <c r="G599" s="107"/>
      <c r="H599" s="136">
        <v>38567</v>
      </c>
      <c r="I599" s="137" t="s">
        <v>125</v>
      </c>
      <c r="J599" s="124">
        <v>912.83</v>
      </c>
      <c r="K599" s="144">
        <v>0</v>
      </c>
      <c r="L599" s="275">
        <f t="shared" si="133"/>
        <v>912.83</v>
      </c>
      <c r="M599" s="68">
        <f>J599*0.2</f>
        <v>182.56600000000003</v>
      </c>
      <c r="N599" s="68"/>
      <c r="O599" s="255">
        <f t="shared" si="127"/>
        <v>182.56600000000003</v>
      </c>
      <c r="P599" s="63">
        <f t="shared" si="135"/>
        <v>118.66790000000002</v>
      </c>
      <c r="Q599" s="63">
        <f t="shared" si="136"/>
        <v>0</v>
      </c>
      <c r="R599" s="255">
        <f t="shared" si="132"/>
        <v>118.66790000000002</v>
      </c>
      <c r="S599" s="547"/>
      <c r="T599" s="547"/>
    </row>
    <row r="600" spans="1:20" s="64" customFormat="1" ht="22.5">
      <c r="A600" s="99" t="s">
        <v>252</v>
      </c>
      <c r="B600" s="100"/>
      <c r="C600" s="101" t="s">
        <v>123</v>
      </c>
      <c r="D600" s="135" t="s">
        <v>142</v>
      </c>
      <c r="E600" s="106" t="s">
        <v>143</v>
      </c>
      <c r="F600" s="106"/>
      <c r="G600" s="107"/>
      <c r="H600" s="136">
        <v>38565</v>
      </c>
      <c r="I600" s="137" t="s">
        <v>125</v>
      </c>
      <c r="J600" s="124">
        <v>106</v>
      </c>
      <c r="K600" s="144">
        <v>0</v>
      </c>
      <c r="L600" s="275">
        <f t="shared" si="133"/>
        <v>106</v>
      </c>
      <c r="M600" s="68">
        <f>J600*0.2</f>
        <v>21.200000000000003</v>
      </c>
      <c r="N600" s="68"/>
      <c r="O600" s="255">
        <f t="shared" si="127"/>
        <v>21.200000000000003</v>
      </c>
      <c r="P600" s="63">
        <f t="shared" si="135"/>
        <v>13.780000000000003</v>
      </c>
      <c r="Q600" s="63">
        <f t="shared" si="136"/>
        <v>0</v>
      </c>
      <c r="R600" s="255">
        <f t="shared" si="132"/>
        <v>13.780000000000003</v>
      </c>
      <c r="S600" s="547"/>
      <c r="T600" s="547"/>
    </row>
    <row r="601" spans="1:20" s="64" customFormat="1" ht="22.5">
      <c r="A601" s="99" t="s">
        <v>252</v>
      </c>
      <c r="B601" s="100"/>
      <c r="C601" s="101" t="s">
        <v>123</v>
      </c>
      <c r="D601" s="138" t="s">
        <v>131</v>
      </c>
      <c r="E601" s="106" t="s">
        <v>99</v>
      </c>
      <c r="F601" s="106" t="s">
        <v>145</v>
      </c>
      <c r="G601" s="107">
        <v>38603</v>
      </c>
      <c r="H601" s="136">
        <v>38642</v>
      </c>
      <c r="I601" s="123" t="s">
        <v>132</v>
      </c>
      <c r="J601" s="124">
        <v>171.82</v>
      </c>
      <c r="K601" s="144">
        <v>34.68</v>
      </c>
      <c r="L601" s="275">
        <f>SUM(J601:K601)</f>
        <v>206.5</v>
      </c>
      <c r="M601" s="68">
        <f>J601*0.2</f>
        <v>34.364</v>
      </c>
      <c r="N601" s="68">
        <f>K601*0.2</f>
        <v>6.936</v>
      </c>
      <c r="O601" s="255">
        <f t="shared" si="127"/>
        <v>41.3</v>
      </c>
      <c r="P601" s="63">
        <f t="shared" si="135"/>
        <v>22.3366</v>
      </c>
      <c r="Q601" s="63">
        <f t="shared" si="136"/>
        <v>4.5084</v>
      </c>
      <c r="R601" s="255">
        <f t="shared" si="132"/>
        <v>26.845</v>
      </c>
      <c r="S601" s="541" t="s">
        <v>466</v>
      </c>
      <c r="T601" s="541"/>
    </row>
    <row r="602" spans="1:20" s="64" customFormat="1" ht="22.5">
      <c r="A602" s="99" t="s">
        <v>252</v>
      </c>
      <c r="B602" s="100"/>
      <c r="C602" s="101" t="s">
        <v>123</v>
      </c>
      <c r="D602" s="138" t="s">
        <v>131</v>
      </c>
      <c r="E602" s="106" t="s">
        <v>99</v>
      </c>
      <c r="F602" s="106" t="s">
        <v>151</v>
      </c>
      <c r="G602" s="142">
        <v>38569</v>
      </c>
      <c r="H602" s="136">
        <v>38610</v>
      </c>
      <c r="I602" s="123" t="s">
        <v>132</v>
      </c>
      <c r="J602" s="124">
        <v>686.68</v>
      </c>
      <c r="K602" s="144">
        <v>137.82</v>
      </c>
      <c r="L602" s="275">
        <f t="shared" si="133"/>
        <v>824.5</v>
      </c>
      <c r="M602" s="68">
        <f>J602*0.3</f>
        <v>206.004</v>
      </c>
      <c r="N602" s="68">
        <f>K602*0.3</f>
        <v>41.346</v>
      </c>
      <c r="O602" s="255">
        <f t="shared" si="127"/>
        <v>247.35</v>
      </c>
      <c r="P602" s="68">
        <f t="shared" si="135"/>
        <v>133.9026</v>
      </c>
      <c r="Q602" s="68">
        <f t="shared" si="136"/>
        <v>26.8749</v>
      </c>
      <c r="R602" s="255">
        <f t="shared" si="132"/>
        <v>160.7775</v>
      </c>
      <c r="S602" s="541" t="s">
        <v>466</v>
      </c>
      <c r="T602" s="541"/>
    </row>
    <row r="603" spans="1:20" s="64" customFormat="1" ht="22.5">
      <c r="A603" s="99" t="s">
        <v>252</v>
      </c>
      <c r="B603" s="100"/>
      <c r="C603" s="101" t="s">
        <v>123</v>
      </c>
      <c r="D603" s="138" t="s">
        <v>140</v>
      </c>
      <c r="E603" s="106" t="s">
        <v>141</v>
      </c>
      <c r="F603" s="141">
        <v>7102194010</v>
      </c>
      <c r="G603" s="142">
        <v>38614</v>
      </c>
      <c r="H603" s="136">
        <v>38635</v>
      </c>
      <c r="I603" s="123" t="s">
        <v>132</v>
      </c>
      <c r="J603" s="124">
        <v>58.14</v>
      </c>
      <c r="K603" s="144">
        <v>11.63</v>
      </c>
      <c r="L603" s="275">
        <f t="shared" si="133"/>
        <v>69.77</v>
      </c>
      <c r="M603" s="68">
        <f aca="true" t="shared" si="137" ref="M603:O605">J603*0.15</f>
        <v>8.721</v>
      </c>
      <c r="N603" s="68">
        <f t="shared" si="137"/>
        <v>1.7445000000000002</v>
      </c>
      <c r="O603" s="255">
        <f t="shared" si="137"/>
        <v>10.465499999999999</v>
      </c>
      <c r="P603" s="63">
        <f t="shared" si="135"/>
        <v>5.66865</v>
      </c>
      <c r="Q603" s="63">
        <f t="shared" si="136"/>
        <v>1.133925</v>
      </c>
      <c r="R603" s="255">
        <f t="shared" si="132"/>
        <v>6.802574999999999</v>
      </c>
      <c r="S603" s="541" t="s">
        <v>466</v>
      </c>
      <c r="T603" s="541"/>
    </row>
    <row r="604" spans="1:20" s="64" customFormat="1" ht="11.25">
      <c r="A604" s="99" t="s">
        <v>252</v>
      </c>
      <c r="B604" s="100"/>
      <c r="C604" s="101" t="s">
        <v>123</v>
      </c>
      <c r="D604" s="135" t="s">
        <v>137</v>
      </c>
      <c r="E604" s="106" t="s">
        <v>127</v>
      </c>
      <c r="F604" s="121"/>
      <c r="G604" s="107"/>
      <c r="H604" s="136">
        <v>38596</v>
      </c>
      <c r="I604" s="137" t="s">
        <v>125</v>
      </c>
      <c r="J604" s="124">
        <v>912.83</v>
      </c>
      <c r="K604" s="144">
        <v>0</v>
      </c>
      <c r="L604" s="275">
        <f t="shared" si="133"/>
        <v>912.83</v>
      </c>
      <c r="M604" s="68">
        <f t="shared" si="137"/>
        <v>136.9245</v>
      </c>
      <c r="N604" s="68">
        <f t="shared" si="137"/>
        <v>0</v>
      </c>
      <c r="O604" s="255">
        <f t="shared" si="137"/>
        <v>136.9245</v>
      </c>
      <c r="P604" s="63">
        <f t="shared" si="135"/>
        <v>89.000925</v>
      </c>
      <c r="Q604" s="63">
        <f t="shared" si="136"/>
        <v>0</v>
      </c>
      <c r="R604" s="255">
        <f t="shared" si="132"/>
        <v>89.000925</v>
      </c>
      <c r="S604" s="547"/>
      <c r="T604" s="547"/>
    </row>
    <row r="605" spans="1:20" s="64" customFormat="1" ht="11.25">
      <c r="A605" s="99" t="s">
        <v>252</v>
      </c>
      <c r="B605" s="100"/>
      <c r="C605" s="101" t="s">
        <v>123</v>
      </c>
      <c r="D605" s="135" t="s">
        <v>136</v>
      </c>
      <c r="E605" s="106" t="s">
        <v>135</v>
      </c>
      <c r="F605" s="106"/>
      <c r="G605" s="107"/>
      <c r="H605" s="136">
        <v>38595</v>
      </c>
      <c r="I605" s="137" t="s">
        <v>125</v>
      </c>
      <c r="J605" s="124">
        <v>233</v>
      </c>
      <c r="K605" s="144">
        <v>0</v>
      </c>
      <c r="L605" s="275">
        <f t="shared" si="133"/>
        <v>233</v>
      </c>
      <c r="M605" s="68">
        <f t="shared" si="137"/>
        <v>34.949999999999996</v>
      </c>
      <c r="N605" s="68">
        <f t="shared" si="137"/>
        <v>0</v>
      </c>
      <c r="O605" s="255">
        <f t="shared" si="137"/>
        <v>34.949999999999996</v>
      </c>
      <c r="P605" s="63">
        <f t="shared" si="135"/>
        <v>22.717499999999998</v>
      </c>
      <c r="Q605" s="63">
        <f t="shared" si="136"/>
        <v>0</v>
      </c>
      <c r="R605" s="255">
        <f t="shared" si="132"/>
        <v>22.717499999999998</v>
      </c>
      <c r="S605" s="547"/>
      <c r="T605" s="547"/>
    </row>
    <row r="606" spans="1:20" s="64" customFormat="1" ht="22.5">
      <c r="A606" s="99" t="s">
        <v>252</v>
      </c>
      <c r="B606" s="100"/>
      <c r="C606" s="101" t="s">
        <v>123</v>
      </c>
      <c r="D606" s="138" t="s">
        <v>150</v>
      </c>
      <c r="E606" s="106" t="s">
        <v>141</v>
      </c>
      <c r="F606" s="121"/>
      <c r="G606" s="107"/>
      <c r="H606" s="136">
        <v>38572</v>
      </c>
      <c r="I606" s="123" t="s">
        <v>132</v>
      </c>
      <c r="J606" s="124">
        <v>57.96</v>
      </c>
      <c r="K606" s="144">
        <f>J606*20%</f>
        <v>11.592</v>
      </c>
      <c r="L606" s="275">
        <f t="shared" si="133"/>
        <v>69.552</v>
      </c>
      <c r="M606" s="68">
        <f>J606*0.3</f>
        <v>17.387999999999998</v>
      </c>
      <c r="N606" s="68">
        <f>K606*0.3</f>
        <v>3.4776000000000002</v>
      </c>
      <c r="O606" s="255">
        <f>SUM(M606:N606)</f>
        <v>20.865599999999997</v>
      </c>
      <c r="P606" s="63">
        <f t="shared" si="135"/>
        <v>11.3022</v>
      </c>
      <c r="Q606" s="63">
        <f t="shared" si="136"/>
        <v>2.2604400000000004</v>
      </c>
      <c r="R606" s="255">
        <f t="shared" si="132"/>
        <v>13.562639999999998</v>
      </c>
      <c r="S606" s="541" t="s">
        <v>470</v>
      </c>
      <c r="T606" s="541"/>
    </row>
    <row r="607" spans="1:20" s="64" customFormat="1" ht="11.25">
      <c r="A607" s="99" t="s">
        <v>252</v>
      </c>
      <c r="B607" s="100"/>
      <c r="C607" s="101" t="s">
        <v>123</v>
      </c>
      <c r="D607" s="135" t="s">
        <v>137</v>
      </c>
      <c r="E607" s="106" t="s">
        <v>127</v>
      </c>
      <c r="F607" s="121"/>
      <c r="G607" s="107"/>
      <c r="H607" s="136">
        <v>38628</v>
      </c>
      <c r="I607" s="137" t="s">
        <v>125</v>
      </c>
      <c r="J607" s="124">
        <v>912.83</v>
      </c>
      <c r="K607" s="144">
        <v>0</v>
      </c>
      <c r="L607" s="275">
        <f t="shared" si="133"/>
        <v>912.83</v>
      </c>
      <c r="M607" s="68">
        <f>J607*0.15</f>
        <v>136.9245</v>
      </c>
      <c r="N607" s="68"/>
      <c r="O607" s="255">
        <f>SUM(M607:N607)</f>
        <v>136.9245</v>
      </c>
      <c r="P607" s="63">
        <f t="shared" si="135"/>
        <v>89.000925</v>
      </c>
      <c r="Q607" s="63">
        <f t="shared" si="136"/>
        <v>0</v>
      </c>
      <c r="R607" s="255">
        <f t="shared" si="132"/>
        <v>89.000925</v>
      </c>
      <c r="S607" s="547"/>
      <c r="T607" s="547"/>
    </row>
    <row r="608" spans="1:20" s="64" customFormat="1" ht="22.5">
      <c r="A608" s="99" t="s">
        <v>252</v>
      </c>
      <c r="B608" s="145"/>
      <c r="C608" s="146" t="s">
        <v>123</v>
      </c>
      <c r="D608" s="147" t="s">
        <v>138</v>
      </c>
      <c r="E608" s="148" t="s">
        <v>139</v>
      </c>
      <c r="F608" s="140">
        <v>1139</v>
      </c>
      <c r="G608" s="149">
        <v>38500</v>
      </c>
      <c r="H608" s="150">
        <v>38562</v>
      </c>
      <c r="I608" s="123" t="s">
        <v>148</v>
      </c>
      <c r="J608" s="124">
        <v>259.5</v>
      </c>
      <c r="K608" s="144">
        <f>J608*20%</f>
        <v>51.900000000000006</v>
      </c>
      <c r="L608" s="275">
        <f t="shared" si="133"/>
        <v>311.4</v>
      </c>
      <c r="M608" s="68"/>
      <c r="N608" s="68"/>
      <c r="O608" s="255">
        <f>SUM(M608:N608)</f>
        <v>0</v>
      </c>
      <c r="P608" s="63">
        <f t="shared" si="135"/>
        <v>0</v>
      </c>
      <c r="Q608" s="63">
        <f t="shared" si="136"/>
        <v>0</v>
      </c>
      <c r="R608" s="255">
        <f t="shared" si="132"/>
        <v>0</v>
      </c>
      <c r="S608" s="541" t="s">
        <v>476</v>
      </c>
      <c r="T608" s="541"/>
    </row>
    <row r="609" spans="1:20" s="64" customFormat="1" ht="11.25">
      <c r="A609" s="99" t="s">
        <v>252</v>
      </c>
      <c r="B609" s="100"/>
      <c r="C609" s="146" t="s">
        <v>152</v>
      </c>
      <c r="D609" s="153" t="s">
        <v>154</v>
      </c>
      <c r="E609" s="153" t="s">
        <v>155</v>
      </c>
      <c r="F609" s="153" t="s">
        <v>156</v>
      </c>
      <c r="G609" s="154">
        <v>38394</v>
      </c>
      <c r="H609" s="155">
        <v>38496</v>
      </c>
      <c r="I609" s="155" t="s">
        <v>157</v>
      </c>
      <c r="J609" s="163">
        <v>1058.74</v>
      </c>
      <c r="K609" s="351">
        <v>211.75</v>
      </c>
      <c r="L609" s="275">
        <f>J609+K609</f>
        <v>1270.49</v>
      </c>
      <c r="M609" s="68">
        <f aca="true" t="shared" si="138" ref="M609:O612">J609*0.2</f>
        <v>211.74800000000002</v>
      </c>
      <c r="N609" s="68">
        <f t="shared" si="138"/>
        <v>42.35</v>
      </c>
      <c r="O609" s="255">
        <f t="shared" si="138"/>
        <v>254.098</v>
      </c>
      <c r="P609" s="63">
        <f t="shared" si="135"/>
        <v>137.63620000000003</v>
      </c>
      <c r="Q609" s="63">
        <f t="shared" si="136"/>
        <v>27.527500000000003</v>
      </c>
      <c r="R609" s="255">
        <f t="shared" si="132"/>
        <v>165.1637</v>
      </c>
      <c r="S609" s="541" t="s">
        <v>466</v>
      </c>
      <c r="T609" s="541"/>
    </row>
    <row r="610" spans="1:20" s="64" customFormat="1" ht="11.25">
      <c r="A610" s="99" t="s">
        <v>252</v>
      </c>
      <c r="B610" s="100"/>
      <c r="C610" s="146" t="s">
        <v>152</v>
      </c>
      <c r="D610" s="153" t="s">
        <v>158</v>
      </c>
      <c r="E610" s="153" t="s">
        <v>155</v>
      </c>
      <c r="F610" s="153" t="s">
        <v>156</v>
      </c>
      <c r="G610" s="154">
        <v>38394</v>
      </c>
      <c r="H610" s="155">
        <v>38496</v>
      </c>
      <c r="I610" s="155" t="s">
        <v>157</v>
      </c>
      <c r="J610" s="163">
        <v>99.89</v>
      </c>
      <c r="K610" s="351">
        <v>19.92</v>
      </c>
      <c r="L610" s="275">
        <v>119.51</v>
      </c>
      <c r="M610" s="68">
        <f t="shared" si="138"/>
        <v>19.978</v>
      </c>
      <c r="N610" s="68">
        <f t="shared" si="138"/>
        <v>3.9840000000000004</v>
      </c>
      <c r="O610" s="255">
        <f t="shared" si="138"/>
        <v>23.902</v>
      </c>
      <c r="P610" s="63">
        <f t="shared" si="135"/>
        <v>12.985700000000001</v>
      </c>
      <c r="Q610" s="63">
        <f t="shared" si="136"/>
        <v>2.5896000000000003</v>
      </c>
      <c r="R610" s="255">
        <f t="shared" si="132"/>
        <v>15.5363</v>
      </c>
      <c r="S610" s="541" t="s">
        <v>466</v>
      </c>
      <c r="T610" s="541"/>
    </row>
    <row r="611" spans="1:20" s="64" customFormat="1" ht="11.25">
      <c r="A611" s="99" t="s">
        <v>252</v>
      </c>
      <c r="B611" s="100"/>
      <c r="C611" s="146" t="s">
        <v>152</v>
      </c>
      <c r="D611" s="153" t="s">
        <v>159</v>
      </c>
      <c r="E611" s="153" t="s">
        <v>155</v>
      </c>
      <c r="F611" s="153" t="s">
        <v>160</v>
      </c>
      <c r="G611" s="154">
        <v>38454</v>
      </c>
      <c r="H611" s="155">
        <v>38525</v>
      </c>
      <c r="I611" s="155" t="s">
        <v>157</v>
      </c>
      <c r="J611" s="163">
        <v>1058.74</v>
      </c>
      <c r="K611" s="351">
        <v>211.75</v>
      </c>
      <c r="L611" s="275">
        <v>1270.49</v>
      </c>
      <c r="M611" s="68">
        <f t="shared" si="138"/>
        <v>211.74800000000002</v>
      </c>
      <c r="N611" s="68">
        <f t="shared" si="138"/>
        <v>42.35</v>
      </c>
      <c r="O611" s="255">
        <f t="shared" si="138"/>
        <v>254.098</v>
      </c>
      <c r="P611" s="63">
        <f t="shared" si="135"/>
        <v>137.63620000000003</v>
      </c>
      <c r="Q611" s="63">
        <f t="shared" si="136"/>
        <v>27.527500000000003</v>
      </c>
      <c r="R611" s="255">
        <f t="shared" si="132"/>
        <v>165.1637</v>
      </c>
      <c r="S611" s="541" t="s">
        <v>466</v>
      </c>
      <c r="T611" s="541"/>
    </row>
    <row r="612" spans="1:20" s="64" customFormat="1" ht="11.25">
      <c r="A612" s="99" t="s">
        <v>252</v>
      </c>
      <c r="B612" s="100"/>
      <c r="C612" s="146" t="s">
        <v>152</v>
      </c>
      <c r="D612" s="153" t="s">
        <v>161</v>
      </c>
      <c r="E612" s="153" t="s">
        <v>155</v>
      </c>
      <c r="F612" s="153" t="s">
        <v>160</v>
      </c>
      <c r="G612" s="154">
        <v>38454</v>
      </c>
      <c r="H612" s="155">
        <v>38525</v>
      </c>
      <c r="I612" s="155" t="s">
        <v>157</v>
      </c>
      <c r="J612" s="163">
        <v>99.89</v>
      </c>
      <c r="K612" s="351">
        <v>19.92</v>
      </c>
      <c r="L612" s="275">
        <v>119.51</v>
      </c>
      <c r="M612" s="68">
        <f t="shared" si="138"/>
        <v>19.978</v>
      </c>
      <c r="N612" s="68">
        <f t="shared" si="138"/>
        <v>3.9840000000000004</v>
      </c>
      <c r="O612" s="255">
        <f t="shared" si="138"/>
        <v>23.902</v>
      </c>
      <c r="P612" s="63">
        <f t="shared" si="135"/>
        <v>12.985700000000001</v>
      </c>
      <c r="Q612" s="63">
        <f t="shared" si="136"/>
        <v>2.5896000000000003</v>
      </c>
      <c r="R612" s="255">
        <f t="shared" si="132"/>
        <v>15.5363</v>
      </c>
      <c r="S612" s="541" t="s">
        <v>466</v>
      </c>
      <c r="T612" s="541"/>
    </row>
    <row r="613" spans="1:20" s="64" customFormat="1" ht="11.25">
      <c r="A613" s="99" t="s">
        <v>252</v>
      </c>
      <c r="B613" s="100"/>
      <c r="C613" s="146" t="s">
        <v>152</v>
      </c>
      <c r="D613" s="153" t="s">
        <v>162</v>
      </c>
      <c r="E613" s="153" t="s">
        <v>155</v>
      </c>
      <c r="F613" s="153" t="s">
        <v>163</v>
      </c>
      <c r="G613" s="154">
        <v>38454</v>
      </c>
      <c r="H613" s="155">
        <v>38551</v>
      </c>
      <c r="I613" s="155" t="s">
        <v>157</v>
      </c>
      <c r="J613" s="163">
        <v>1058.74</v>
      </c>
      <c r="K613" s="351">
        <v>211.75</v>
      </c>
      <c r="L613" s="275">
        <v>1270.49</v>
      </c>
      <c r="M613" s="68">
        <f aca="true" t="shared" si="139" ref="M613:O616">J613*0.3</f>
        <v>317.622</v>
      </c>
      <c r="N613" s="68">
        <f t="shared" si="139"/>
        <v>63.525</v>
      </c>
      <c r="O613" s="255">
        <f t="shared" si="139"/>
        <v>381.147</v>
      </c>
      <c r="P613" s="63">
        <f t="shared" si="135"/>
        <v>206.45430000000002</v>
      </c>
      <c r="Q613" s="63">
        <f t="shared" si="136"/>
        <v>41.29125</v>
      </c>
      <c r="R613" s="255">
        <f t="shared" si="132"/>
        <v>247.74555</v>
      </c>
      <c r="S613" s="541" t="s">
        <v>466</v>
      </c>
      <c r="T613" s="541"/>
    </row>
    <row r="614" spans="1:20" s="64" customFormat="1" ht="11.25">
      <c r="A614" s="99" t="s">
        <v>252</v>
      </c>
      <c r="B614" s="100"/>
      <c r="C614" s="146" t="s">
        <v>152</v>
      </c>
      <c r="D614" s="153" t="s">
        <v>164</v>
      </c>
      <c r="E614" s="153" t="s">
        <v>155</v>
      </c>
      <c r="F614" s="153" t="s">
        <v>163</v>
      </c>
      <c r="G614" s="154">
        <v>38454</v>
      </c>
      <c r="H614" s="155">
        <v>38551</v>
      </c>
      <c r="I614" s="155" t="s">
        <v>157</v>
      </c>
      <c r="J614" s="163">
        <v>99.89</v>
      </c>
      <c r="K614" s="351">
        <v>19.92</v>
      </c>
      <c r="L614" s="275">
        <f aca="true" t="shared" si="140" ref="L614:L619">SUM(J614:K614)</f>
        <v>119.81</v>
      </c>
      <c r="M614" s="68">
        <f t="shared" si="139"/>
        <v>29.967</v>
      </c>
      <c r="N614" s="68">
        <f t="shared" si="139"/>
        <v>5.976</v>
      </c>
      <c r="O614" s="255">
        <f t="shared" si="139"/>
        <v>35.943</v>
      </c>
      <c r="P614" s="63">
        <f t="shared" si="135"/>
        <v>19.47855</v>
      </c>
      <c r="Q614" s="63">
        <f t="shared" si="136"/>
        <v>3.8844000000000003</v>
      </c>
      <c r="R614" s="255">
        <f t="shared" si="132"/>
        <v>23.362949999999998</v>
      </c>
      <c r="S614" s="541" t="s">
        <v>466</v>
      </c>
      <c r="T614" s="541"/>
    </row>
    <row r="615" spans="1:20" s="64" customFormat="1" ht="11.25">
      <c r="A615" s="99" t="s">
        <v>252</v>
      </c>
      <c r="B615" s="100"/>
      <c r="C615" s="146" t="s">
        <v>152</v>
      </c>
      <c r="D615" s="153" t="s">
        <v>165</v>
      </c>
      <c r="E615" s="153" t="s">
        <v>155</v>
      </c>
      <c r="F615" s="153" t="s">
        <v>166</v>
      </c>
      <c r="G615" s="154">
        <v>38523</v>
      </c>
      <c r="H615" s="155">
        <v>38615</v>
      </c>
      <c r="I615" s="155" t="s">
        <v>157</v>
      </c>
      <c r="J615" s="163">
        <v>1058.74</v>
      </c>
      <c r="K615" s="351">
        <v>211.75</v>
      </c>
      <c r="L615" s="275">
        <f t="shared" si="140"/>
        <v>1270.49</v>
      </c>
      <c r="M615" s="68">
        <f t="shared" si="139"/>
        <v>317.622</v>
      </c>
      <c r="N615" s="68">
        <f t="shared" si="139"/>
        <v>63.525</v>
      </c>
      <c r="O615" s="255">
        <f t="shared" si="139"/>
        <v>381.147</v>
      </c>
      <c r="P615" s="63">
        <f t="shared" si="135"/>
        <v>206.45430000000002</v>
      </c>
      <c r="Q615" s="63">
        <f t="shared" si="136"/>
        <v>41.29125</v>
      </c>
      <c r="R615" s="255">
        <f t="shared" si="132"/>
        <v>247.74555</v>
      </c>
      <c r="S615" s="541" t="s">
        <v>466</v>
      </c>
      <c r="T615" s="541"/>
    </row>
    <row r="616" spans="1:20" s="64" customFormat="1" ht="11.25">
      <c r="A616" s="99" t="s">
        <v>252</v>
      </c>
      <c r="B616" s="100"/>
      <c r="C616" s="146" t="s">
        <v>152</v>
      </c>
      <c r="D616" s="153" t="s">
        <v>167</v>
      </c>
      <c r="E616" s="153" t="s">
        <v>155</v>
      </c>
      <c r="F616" s="153" t="s">
        <v>166</v>
      </c>
      <c r="G616" s="154">
        <v>38523</v>
      </c>
      <c r="H616" s="155">
        <v>38615</v>
      </c>
      <c r="I616" s="155" t="s">
        <v>157</v>
      </c>
      <c r="J616" s="163">
        <v>119.68</v>
      </c>
      <c r="K616" s="351">
        <v>23.94</v>
      </c>
      <c r="L616" s="275">
        <f t="shared" si="140"/>
        <v>143.62</v>
      </c>
      <c r="M616" s="68">
        <f t="shared" si="139"/>
        <v>35.904</v>
      </c>
      <c r="N616" s="68">
        <f t="shared" si="139"/>
        <v>7.182</v>
      </c>
      <c r="O616" s="255">
        <f t="shared" si="139"/>
        <v>43.086</v>
      </c>
      <c r="P616" s="63">
        <f t="shared" si="135"/>
        <v>23.337600000000002</v>
      </c>
      <c r="Q616" s="63">
        <f t="shared" si="136"/>
        <v>4.6683</v>
      </c>
      <c r="R616" s="255">
        <f t="shared" si="132"/>
        <v>28.0059</v>
      </c>
      <c r="S616" s="541" t="s">
        <v>466</v>
      </c>
      <c r="T616" s="541"/>
    </row>
    <row r="617" spans="1:20" s="64" customFormat="1" ht="11.25">
      <c r="A617" s="99" t="s">
        <v>252</v>
      </c>
      <c r="B617" s="100"/>
      <c r="C617" s="146" t="s">
        <v>152</v>
      </c>
      <c r="D617" s="153" t="s">
        <v>168</v>
      </c>
      <c r="E617" s="153" t="s">
        <v>155</v>
      </c>
      <c r="F617" s="153" t="s">
        <v>169</v>
      </c>
      <c r="G617" s="154">
        <v>38553</v>
      </c>
      <c r="H617" s="155">
        <v>38653</v>
      </c>
      <c r="I617" s="155" t="s">
        <v>157</v>
      </c>
      <c r="J617" s="163">
        <v>1058.74</v>
      </c>
      <c r="K617" s="351">
        <v>211.75</v>
      </c>
      <c r="L617" s="275">
        <f t="shared" si="140"/>
        <v>1270.49</v>
      </c>
      <c r="M617" s="68">
        <f aca="true" t="shared" si="141" ref="M617:O618">J617*0.15</f>
        <v>158.811</v>
      </c>
      <c r="N617" s="68">
        <f t="shared" si="141"/>
        <v>31.7625</v>
      </c>
      <c r="O617" s="255">
        <f t="shared" si="141"/>
        <v>190.5735</v>
      </c>
      <c r="P617" s="63">
        <f t="shared" si="135"/>
        <v>103.22715000000001</v>
      </c>
      <c r="Q617" s="63">
        <f t="shared" si="136"/>
        <v>20.645625</v>
      </c>
      <c r="R617" s="255">
        <f t="shared" si="132"/>
        <v>123.872775</v>
      </c>
      <c r="S617" s="541" t="s">
        <v>466</v>
      </c>
      <c r="T617" s="541"/>
    </row>
    <row r="618" spans="1:20" s="64" customFormat="1" ht="11.25">
      <c r="A618" s="99" t="s">
        <v>252</v>
      </c>
      <c r="B618" s="100"/>
      <c r="C618" s="146" t="s">
        <v>152</v>
      </c>
      <c r="D618" s="153" t="s">
        <v>170</v>
      </c>
      <c r="E618" s="153" t="s">
        <v>155</v>
      </c>
      <c r="F618" s="153" t="s">
        <v>169</v>
      </c>
      <c r="G618" s="154">
        <v>38553</v>
      </c>
      <c r="H618" s="155">
        <v>38653</v>
      </c>
      <c r="I618" s="155" t="s">
        <v>157</v>
      </c>
      <c r="J618" s="163">
        <v>100.78</v>
      </c>
      <c r="K618" s="351">
        <v>20.16</v>
      </c>
      <c r="L618" s="275">
        <f t="shared" si="140"/>
        <v>120.94</v>
      </c>
      <c r="M618" s="68">
        <f t="shared" si="141"/>
        <v>15.116999999999999</v>
      </c>
      <c r="N618" s="68">
        <f t="shared" si="141"/>
        <v>3.024</v>
      </c>
      <c r="O618" s="255">
        <f t="shared" si="141"/>
        <v>18.141</v>
      </c>
      <c r="P618" s="63">
        <f t="shared" si="135"/>
        <v>9.82605</v>
      </c>
      <c r="Q618" s="63">
        <f t="shared" si="136"/>
        <v>1.9656</v>
      </c>
      <c r="R618" s="255">
        <f t="shared" si="132"/>
        <v>11.791649999999999</v>
      </c>
      <c r="S618" s="541" t="s">
        <v>466</v>
      </c>
      <c r="T618" s="541"/>
    </row>
    <row r="619" spans="1:20" s="64" customFormat="1" ht="11.25">
      <c r="A619" s="99" t="s">
        <v>252</v>
      </c>
      <c r="B619" s="145"/>
      <c r="C619" s="146" t="s">
        <v>152</v>
      </c>
      <c r="D619" s="153" t="s">
        <v>171</v>
      </c>
      <c r="E619" s="153" t="s">
        <v>172</v>
      </c>
      <c r="F619" s="134">
        <v>460</v>
      </c>
      <c r="G619" s="154">
        <v>38523</v>
      </c>
      <c r="H619" s="155">
        <v>38523</v>
      </c>
      <c r="I619" s="155" t="s">
        <v>173</v>
      </c>
      <c r="J619" s="163">
        <v>226</v>
      </c>
      <c r="K619" s="351">
        <v>45.2</v>
      </c>
      <c r="L619" s="275">
        <f t="shared" si="140"/>
        <v>271.2</v>
      </c>
      <c r="M619" s="68"/>
      <c r="N619" s="68"/>
      <c r="O619" s="255"/>
      <c r="P619" s="63">
        <f t="shared" si="135"/>
        <v>0</v>
      </c>
      <c r="Q619" s="63">
        <f t="shared" si="136"/>
        <v>0</v>
      </c>
      <c r="R619" s="255">
        <f t="shared" si="132"/>
        <v>0</v>
      </c>
      <c r="S619" s="541" t="s">
        <v>625</v>
      </c>
      <c r="T619" s="541"/>
    </row>
    <row r="620" spans="1:20" s="64" customFormat="1" ht="11.25" customHeight="1">
      <c r="A620" s="99" t="s">
        <v>252</v>
      </c>
      <c r="B620" s="145"/>
      <c r="C620" s="146" t="s">
        <v>152</v>
      </c>
      <c r="D620" s="153" t="s">
        <v>174</v>
      </c>
      <c r="E620" s="153" t="s">
        <v>172</v>
      </c>
      <c r="F620" s="134">
        <v>548</v>
      </c>
      <c r="G620" s="154">
        <v>38551</v>
      </c>
      <c r="H620" s="155">
        <v>38551</v>
      </c>
      <c r="I620" s="155" t="s">
        <v>173</v>
      </c>
      <c r="J620" s="163">
        <v>136</v>
      </c>
      <c r="K620" s="351">
        <v>27.2</v>
      </c>
      <c r="L620" s="275">
        <v>163.2</v>
      </c>
      <c r="M620" s="68"/>
      <c r="N620" s="68"/>
      <c r="O620" s="255"/>
      <c r="P620" s="63">
        <f t="shared" si="135"/>
        <v>0</v>
      </c>
      <c r="Q620" s="63">
        <f t="shared" si="136"/>
        <v>0</v>
      </c>
      <c r="R620" s="255">
        <f t="shared" si="132"/>
        <v>0</v>
      </c>
      <c r="S620" s="541" t="s">
        <v>625</v>
      </c>
      <c r="T620" s="541"/>
    </row>
    <row r="621" spans="1:20" s="64" customFormat="1" ht="11.25" customHeight="1">
      <c r="A621" s="99" t="s">
        <v>252</v>
      </c>
      <c r="B621" s="145"/>
      <c r="C621" s="146" t="s">
        <v>152</v>
      </c>
      <c r="D621" s="153" t="s">
        <v>175</v>
      </c>
      <c r="E621" s="153" t="s">
        <v>172</v>
      </c>
      <c r="F621" s="156">
        <v>715</v>
      </c>
      <c r="G621" s="157">
        <v>38600</v>
      </c>
      <c r="H621" s="155">
        <v>38600</v>
      </c>
      <c r="I621" s="155" t="s">
        <v>173</v>
      </c>
      <c r="J621" s="163">
        <v>136</v>
      </c>
      <c r="K621" s="351">
        <v>27.2</v>
      </c>
      <c r="L621" s="275">
        <v>163.2</v>
      </c>
      <c r="M621" s="68"/>
      <c r="N621" s="68"/>
      <c r="O621" s="255"/>
      <c r="P621" s="63">
        <f t="shared" si="135"/>
        <v>0</v>
      </c>
      <c r="Q621" s="63">
        <f t="shared" si="136"/>
        <v>0</v>
      </c>
      <c r="R621" s="255">
        <f t="shared" si="132"/>
        <v>0</v>
      </c>
      <c r="S621" s="541" t="s">
        <v>625</v>
      </c>
      <c r="T621" s="541"/>
    </row>
    <row r="622" spans="1:20" s="64" customFormat="1" ht="11.25" customHeight="1">
      <c r="A622" s="99" t="s">
        <v>252</v>
      </c>
      <c r="B622" s="145"/>
      <c r="C622" s="146" t="s">
        <v>152</v>
      </c>
      <c r="D622" s="153" t="s">
        <v>176</v>
      </c>
      <c r="E622" s="153" t="s">
        <v>172</v>
      </c>
      <c r="F622" s="134">
        <v>777</v>
      </c>
      <c r="G622" s="154">
        <v>38625</v>
      </c>
      <c r="H622" s="155">
        <v>38625</v>
      </c>
      <c r="I622" s="155" t="s">
        <v>173</v>
      </c>
      <c r="J622" s="163">
        <v>136</v>
      </c>
      <c r="K622" s="351">
        <v>27.2</v>
      </c>
      <c r="L622" s="275">
        <v>163.2</v>
      </c>
      <c r="M622" s="68"/>
      <c r="N622" s="68"/>
      <c r="O622" s="255"/>
      <c r="P622" s="63">
        <f t="shared" si="135"/>
        <v>0</v>
      </c>
      <c r="Q622" s="63">
        <f t="shared" si="136"/>
        <v>0</v>
      </c>
      <c r="R622" s="255">
        <f t="shared" si="132"/>
        <v>0</v>
      </c>
      <c r="S622" s="541" t="s">
        <v>625</v>
      </c>
      <c r="T622" s="541"/>
    </row>
    <row r="623" spans="1:20" s="64" customFormat="1" ht="11.25">
      <c r="A623" s="99" t="s">
        <v>252</v>
      </c>
      <c r="B623" s="145"/>
      <c r="C623" s="146" t="s">
        <v>152</v>
      </c>
      <c r="D623" s="153" t="s">
        <v>177</v>
      </c>
      <c r="E623" s="153" t="s">
        <v>178</v>
      </c>
      <c r="F623" s="134"/>
      <c r="G623" s="154"/>
      <c r="H623" s="155">
        <v>38525</v>
      </c>
      <c r="I623" s="155" t="s">
        <v>179</v>
      </c>
      <c r="J623" s="163">
        <v>596.78</v>
      </c>
      <c r="K623" s="351"/>
      <c r="L623" s="275">
        <v>596.78</v>
      </c>
      <c r="M623" s="68">
        <f>J623*0.2</f>
        <v>119.356</v>
      </c>
      <c r="N623" s="163"/>
      <c r="O623" s="255">
        <f>L623*0.2</f>
        <v>119.356</v>
      </c>
      <c r="P623" s="63">
        <f t="shared" si="135"/>
        <v>77.5814</v>
      </c>
      <c r="Q623" s="63">
        <f t="shared" si="136"/>
        <v>0</v>
      </c>
      <c r="R623" s="255">
        <f aca="true" t="shared" si="142" ref="R623:R649">O623*0.65</f>
        <v>77.5814</v>
      </c>
      <c r="S623" s="541" t="s">
        <v>459</v>
      </c>
      <c r="T623" s="541"/>
    </row>
    <row r="624" spans="1:20" s="64" customFormat="1" ht="11.25">
      <c r="A624" s="99" t="s">
        <v>252</v>
      </c>
      <c r="B624" s="145"/>
      <c r="C624" s="146" t="s">
        <v>152</v>
      </c>
      <c r="D624" s="153" t="s">
        <v>177</v>
      </c>
      <c r="E624" s="153" t="s">
        <v>180</v>
      </c>
      <c r="F624" s="134">
        <v>845026</v>
      </c>
      <c r="G624" s="154">
        <v>38566</v>
      </c>
      <c r="H624" s="155">
        <v>38586</v>
      </c>
      <c r="I624" s="155" t="s">
        <v>179</v>
      </c>
      <c r="J624" s="163">
        <v>173.36</v>
      </c>
      <c r="K624" s="351">
        <v>34.67</v>
      </c>
      <c r="L624" s="275">
        <v>208.03</v>
      </c>
      <c r="M624" s="68">
        <f>J624*0.3</f>
        <v>52.008</v>
      </c>
      <c r="N624" s="68">
        <f>K624*0.3</f>
        <v>10.401</v>
      </c>
      <c r="O624" s="255">
        <f>L624*0.3</f>
        <v>62.409</v>
      </c>
      <c r="P624" s="63">
        <f t="shared" si="135"/>
        <v>33.805200000000006</v>
      </c>
      <c r="Q624" s="63">
        <f t="shared" si="136"/>
        <v>6.76065</v>
      </c>
      <c r="R624" s="255">
        <f t="shared" si="142"/>
        <v>40.56585</v>
      </c>
      <c r="S624" s="541" t="s">
        <v>466</v>
      </c>
      <c r="T624" s="541"/>
    </row>
    <row r="625" spans="1:20" s="64" customFormat="1" ht="11.25">
      <c r="A625" s="99" t="s">
        <v>252</v>
      </c>
      <c r="B625" s="145"/>
      <c r="C625" s="146" t="s">
        <v>152</v>
      </c>
      <c r="D625" s="153" t="s">
        <v>177</v>
      </c>
      <c r="E625" s="153" t="s">
        <v>178</v>
      </c>
      <c r="F625" s="134">
        <v>845027</v>
      </c>
      <c r="G625" s="154">
        <v>38628</v>
      </c>
      <c r="H625" s="155">
        <v>38649</v>
      </c>
      <c r="I625" s="155" t="s">
        <v>179</v>
      </c>
      <c r="J625" s="163">
        <v>150.79</v>
      </c>
      <c r="K625" s="351">
        <v>30.16</v>
      </c>
      <c r="L625" s="275">
        <v>180.95</v>
      </c>
      <c r="M625" s="68">
        <f>J625*0.15</f>
        <v>22.618499999999997</v>
      </c>
      <c r="N625" s="68">
        <f>K625*0.15</f>
        <v>4.524</v>
      </c>
      <c r="O625" s="255">
        <f>L625*0.15</f>
        <v>27.1425</v>
      </c>
      <c r="P625" s="63">
        <f aca="true" t="shared" si="143" ref="P625:P649">M625*0.65</f>
        <v>14.702024999999999</v>
      </c>
      <c r="Q625" s="63">
        <f t="shared" si="136"/>
        <v>2.9406000000000003</v>
      </c>
      <c r="R625" s="255">
        <f t="shared" si="142"/>
        <v>17.642625</v>
      </c>
      <c r="S625" s="541" t="s">
        <v>466</v>
      </c>
      <c r="T625" s="541"/>
    </row>
    <row r="626" spans="1:20" s="64" customFormat="1" ht="22.5">
      <c r="A626" s="99" t="s">
        <v>252</v>
      </c>
      <c r="B626" s="145"/>
      <c r="C626" s="146" t="s">
        <v>152</v>
      </c>
      <c r="D626" s="153" t="s">
        <v>181</v>
      </c>
      <c r="E626" s="153" t="s">
        <v>182</v>
      </c>
      <c r="F626" s="158">
        <v>461987</v>
      </c>
      <c r="G626" s="159">
        <v>38458</v>
      </c>
      <c r="H626" s="160">
        <v>38496</v>
      </c>
      <c r="I626" s="162" t="s">
        <v>183</v>
      </c>
      <c r="J626" s="352">
        <v>144</v>
      </c>
      <c r="K626" s="352"/>
      <c r="L626" s="353">
        <v>144</v>
      </c>
      <c r="M626" s="68">
        <f>J626*0.2</f>
        <v>28.8</v>
      </c>
      <c r="N626" s="163"/>
      <c r="O626" s="255">
        <f>L626*0.2</f>
        <v>28.8</v>
      </c>
      <c r="P626" s="63">
        <f t="shared" si="143"/>
        <v>18.720000000000002</v>
      </c>
      <c r="Q626" s="63">
        <f aca="true" t="shared" si="144" ref="Q626:Q649">N626*0.65</f>
        <v>0</v>
      </c>
      <c r="R626" s="255">
        <f t="shared" si="142"/>
        <v>18.720000000000002</v>
      </c>
      <c r="S626" s="541" t="s">
        <v>459</v>
      </c>
      <c r="T626" s="541"/>
    </row>
    <row r="627" spans="1:20" s="64" customFormat="1" ht="22.5">
      <c r="A627" s="99" t="s">
        <v>252</v>
      </c>
      <c r="B627" s="145"/>
      <c r="C627" s="146" t="s">
        <v>152</v>
      </c>
      <c r="D627" s="153" t="s">
        <v>181</v>
      </c>
      <c r="E627" s="153" t="s">
        <v>182</v>
      </c>
      <c r="F627" s="158">
        <v>461329</v>
      </c>
      <c r="G627" s="159">
        <v>38458</v>
      </c>
      <c r="H627" s="160">
        <v>38496</v>
      </c>
      <c r="I627" s="162" t="s">
        <v>183</v>
      </c>
      <c r="J627" s="352">
        <v>834</v>
      </c>
      <c r="K627" s="352"/>
      <c r="L627" s="353">
        <v>834</v>
      </c>
      <c r="M627" s="68">
        <f>J627*0.2</f>
        <v>166.8</v>
      </c>
      <c r="N627" s="163"/>
      <c r="O627" s="255">
        <f>L627*0.2</f>
        <v>166.8</v>
      </c>
      <c r="P627" s="63">
        <f t="shared" si="143"/>
        <v>108.42000000000002</v>
      </c>
      <c r="Q627" s="63">
        <f t="shared" si="144"/>
        <v>0</v>
      </c>
      <c r="R627" s="255">
        <f t="shared" si="142"/>
        <v>108.42000000000002</v>
      </c>
      <c r="S627" s="541" t="s">
        <v>459</v>
      </c>
      <c r="T627" s="541"/>
    </row>
    <row r="628" spans="1:20" s="64" customFormat="1" ht="22.5">
      <c r="A628" s="99" t="s">
        <v>252</v>
      </c>
      <c r="B628" s="145"/>
      <c r="C628" s="146" t="s">
        <v>152</v>
      </c>
      <c r="D628" s="153" t="s">
        <v>181</v>
      </c>
      <c r="E628" s="153" t="s">
        <v>182</v>
      </c>
      <c r="F628" s="134">
        <v>675018</v>
      </c>
      <c r="G628" s="154">
        <v>38510</v>
      </c>
      <c r="H628" s="155">
        <v>38547</v>
      </c>
      <c r="I628" s="162" t="s">
        <v>183</v>
      </c>
      <c r="J628" s="163">
        <v>168.33</v>
      </c>
      <c r="K628" s="351">
        <f aca="true" t="shared" si="145" ref="K628:K633">+J628*20%</f>
        <v>33.666000000000004</v>
      </c>
      <c r="L628" s="275">
        <f aca="true" t="shared" si="146" ref="L628:L633">+K628+J628</f>
        <v>201.996</v>
      </c>
      <c r="M628" s="68">
        <f>J628*0.2</f>
        <v>33.666000000000004</v>
      </c>
      <c r="N628" s="68">
        <f>K628*0.2</f>
        <v>6.733200000000001</v>
      </c>
      <c r="O628" s="255">
        <f>L628*0.2</f>
        <v>40.39920000000001</v>
      </c>
      <c r="P628" s="63">
        <f t="shared" si="143"/>
        <v>21.882900000000003</v>
      </c>
      <c r="Q628" s="63">
        <f t="shared" si="144"/>
        <v>4.376580000000001</v>
      </c>
      <c r="R628" s="255">
        <f t="shared" si="142"/>
        <v>26.259480000000007</v>
      </c>
      <c r="S628" s="566"/>
      <c r="T628" s="547"/>
    </row>
    <row r="629" spans="1:20" s="64" customFormat="1" ht="22.5">
      <c r="A629" s="99" t="s">
        <v>252</v>
      </c>
      <c r="B629" s="145"/>
      <c r="C629" s="146" t="s">
        <v>152</v>
      </c>
      <c r="D629" s="153" t="s">
        <v>181</v>
      </c>
      <c r="E629" s="153" t="s">
        <v>182</v>
      </c>
      <c r="F629" s="134">
        <v>677938</v>
      </c>
      <c r="G629" s="154">
        <v>38510</v>
      </c>
      <c r="H629" s="155">
        <v>38547</v>
      </c>
      <c r="I629" s="162" t="s">
        <v>183</v>
      </c>
      <c r="J629" s="163">
        <f>912/1.2</f>
        <v>760</v>
      </c>
      <c r="K629" s="351">
        <f t="shared" si="145"/>
        <v>152</v>
      </c>
      <c r="L629" s="275">
        <f t="shared" si="146"/>
        <v>912</v>
      </c>
      <c r="M629" s="68">
        <f>J629*0.2</f>
        <v>152</v>
      </c>
      <c r="N629" s="68">
        <f>K629*0.2</f>
        <v>30.400000000000002</v>
      </c>
      <c r="O629" s="255">
        <f>L629*0.2</f>
        <v>182.4</v>
      </c>
      <c r="P629" s="63">
        <f t="shared" si="143"/>
        <v>98.8</v>
      </c>
      <c r="Q629" s="63">
        <f t="shared" si="144"/>
        <v>19.76</v>
      </c>
      <c r="R629" s="255">
        <f t="shared" si="142"/>
        <v>118.56</v>
      </c>
      <c r="S629" s="547"/>
      <c r="T629" s="547"/>
    </row>
    <row r="630" spans="1:20" s="64" customFormat="1" ht="22.5">
      <c r="A630" s="99" t="s">
        <v>252</v>
      </c>
      <c r="B630" s="145"/>
      <c r="C630" s="146" t="s">
        <v>152</v>
      </c>
      <c r="D630" s="153" t="s">
        <v>181</v>
      </c>
      <c r="E630" s="153" t="s">
        <v>182</v>
      </c>
      <c r="F630" s="134">
        <v>894473</v>
      </c>
      <c r="G630" s="154">
        <v>38569</v>
      </c>
      <c r="H630" s="155">
        <v>38624</v>
      </c>
      <c r="I630" s="162" t="s">
        <v>183</v>
      </c>
      <c r="J630" s="163">
        <f>156.5/1.2</f>
        <v>130.41666666666669</v>
      </c>
      <c r="K630" s="351">
        <f t="shared" si="145"/>
        <v>26.08333333333334</v>
      </c>
      <c r="L630" s="275">
        <f t="shared" si="146"/>
        <v>156.50000000000003</v>
      </c>
      <c r="M630" s="68">
        <f aca="true" t="shared" si="147" ref="M630:O631">J630*0.3</f>
        <v>39.12500000000001</v>
      </c>
      <c r="N630" s="68">
        <f t="shared" si="147"/>
        <v>7.825000000000001</v>
      </c>
      <c r="O630" s="255">
        <f t="shared" si="147"/>
        <v>46.95000000000001</v>
      </c>
      <c r="P630" s="63">
        <f t="shared" si="143"/>
        <v>25.431250000000006</v>
      </c>
      <c r="Q630" s="63">
        <f t="shared" si="144"/>
        <v>5.086250000000001</v>
      </c>
      <c r="R630" s="255">
        <f t="shared" si="142"/>
        <v>30.51750000000001</v>
      </c>
      <c r="S630" s="547"/>
      <c r="T630" s="547"/>
    </row>
    <row r="631" spans="1:20" s="64" customFormat="1" ht="22.5">
      <c r="A631" s="99" t="s">
        <v>252</v>
      </c>
      <c r="B631" s="145"/>
      <c r="C631" s="146" t="s">
        <v>152</v>
      </c>
      <c r="D631" s="153" t="s">
        <v>181</v>
      </c>
      <c r="E631" s="153" t="s">
        <v>182</v>
      </c>
      <c r="F631" s="134">
        <v>890178</v>
      </c>
      <c r="G631" s="154">
        <v>38569</v>
      </c>
      <c r="H631" s="155">
        <v>38624</v>
      </c>
      <c r="I631" s="162" t="s">
        <v>183</v>
      </c>
      <c r="J631" s="163">
        <f>799.5/1.2</f>
        <v>666.25</v>
      </c>
      <c r="K631" s="351">
        <f t="shared" si="145"/>
        <v>133.25</v>
      </c>
      <c r="L631" s="275">
        <f t="shared" si="146"/>
        <v>799.5</v>
      </c>
      <c r="M631" s="68">
        <f t="shared" si="147"/>
        <v>199.875</v>
      </c>
      <c r="N631" s="68">
        <f t="shared" si="147"/>
        <v>39.975</v>
      </c>
      <c r="O631" s="255">
        <f t="shared" si="147"/>
        <v>239.85</v>
      </c>
      <c r="P631" s="63">
        <f t="shared" si="143"/>
        <v>129.91875000000002</v>
      </c>
      <c r="Q631" s="63">
        <f t="shared" si="144"/>
        <v>25.98375</v>
      </c>
      <c r="R631" s="255">
        <f t="shared" si="142"/>
        <v>155.9025</v>
      </c>
      <c r="S631" s="547"/>
      <c r="T631" s="547"/>
    </row>
    <row r="632" spans="1:20" s="9" customFormat="1" ht="22.5">
      <c r="A632" s="99" t="s">
        <v>252</v>
      </c>
      <c r="B632" s="100"/>
      <c r="C632" s="146" t="s">
        <v>152</v>
      </c>
      <c r="D632" s="153" t="s">
        <v>181</v>
      </c>
      <c r="E632" s="153" t="s">
        <v>182</v>
      </c>
      <c r="F632" s="158">
        <v>6472</v>
      </c>
      <c r="G632" s="159">
        <v>38603</v>
      </c>
      <c r="H632" s="160">
        <v>38639</v>
      </c>
      <c r="I632" s="162" t="s">
        <v>183</v>
      </c>
      <c r="J632" s="352">
        <f>170/1.2</f>
        <v>141.66666666666669</v>
      </c>
      <c r="K632" s="352">
        <f t="shared" si="145"/>
        <v>28.33333333333334</v>
      </c>
      <c r="L632" s="353">
        <f t="shared" si="146"/>
        <v>170.00000000000003</v>
      </c>
      <c r="M632" s="68">
        <f aca="true" t="shared" si="148" ref="M632:O633">J632*0.15</f>
        <v>21.250000000000004</v>
      </c>
      <c r="N632" s="68">
        <f t="shared" si="148"/>
        <v>4.250000000000001</v>
      </c>
      <c r="O632" s="255">
        <f t="shared" si="148"/>
        <v>25.500000000000004</v>
      </c>
      <c r="P632" s="63">
        <f t="shared" si="143"/>
        <v>13.812500000000004</v>
      </c>
      <c r="Q632" s="63">
        <f t="shared" si="144"/>
        <v>2.7625000000000006</v>
      </c>
      <c r="R632" s="255">
        <f t="shared" si="142"/>
        <v>16.575000000000003</v>
      </c>
      <c r="S632" s="547"/>
      <c r="T632" s="547"/>
    </row>
    <row r="633" spans="1:20" s="64" customFormat="1" ht="22.5">
      <c r="A633" s="99" t="s">
        <v>252</v>
      </c>
      <c r="B633" s="100"/>
      <c r="C633" s="101" t="s">
        <v>152</v>
      </c>
      <c r="D633" s="153" t="s">
        <v>181</v>
      </c>
      <c r="E633" s="153" t="s">
        <v>182</v>
      </c>
      <c r="F633" s="158">
        <v>56890</v>
      </c>
      <c r="G633" s="159">
        <v>38603</v>
      </c>
      <c r="H633" s="160">
        <v>38639</v>
      </c>
      <c r="I633" s="162" t="s">
        <v>183</v>
      </c>
      <c r="J633" s="352">
        <f>41/1.2</f>
        <v>34.16666666666667</v>
      </c>
      <c r="K633" s="352">
        <f t="shared" si="145"/>
        <v>6.833333333333335</v>
      </c>
      <c r="L633" s="353">
        <f t="shared" si="146"/>
        <v>41.00000000000001</v>
      </c>
      <c r="M633" s="68">
        <f t="shared" si="148"/>
        <v>5.125000000000001</v>
      </c>
      <c r="N633" s="68">
        <f t="shared" si="148"/>
        <v>1.0250000000000001</v>
      </c>
      <c r="O633" s="255">
        <f t="shared" si="148"/>
        <v>6.150000000000001</v>
      </c>
      <c r="P633" s="63">
        <f t="shared" si="143"/>
        <v>3.3312500000000007</v>
      </c>
      <c r="Q633" s="63">
        <f t="shared" si="144"/>
        <v>0.6662500000000001</v>
      </c>
      <c r="R633" s="255">
        <f t="shared" si="142"/>
        <v>3.997500000000001</v>
      </c>
      <c r="S633" s="547"/>
      <c r="T633" s="547"/>
    </row>
    <row r="634" spans="1:20" s="64" customFormat="1" ht="22.5">
      <c r="A634" s="99" t="s">
        <v>252</v>
      </c>
      <c r="B634" s="100"/>
      <c r="C634" s="101" t="s">
        <v>184</v>
      </c>
      <c r="D634" s="106" t="s">
        <v>85</v>
      </c>
      <c r="E634" s="164"/>
      <c r="F634" s="188">
        <v>6</v>
      </c>
      <c r="G634" s="177">
        <v>38504</v>
      </c>
      <c r="H634" s="177">
        <v>38517</v>
      </c>
      <c r="I634" s="107" t="s">
        <v>88</v>
      </c>
      <c r="J634" s="184">
        <v>551.29</v>
      </c>
      <c r="K634" s="124">
        <v>0</v>
      </c>
      <c r="L634" s="275">
        <f aca="true" t="shared" si="149" ref="L634:L646">SUM(J634:K634)</f>
        <v>551.29</v>
      </c>
      <c r="M634" s="68">
        <f aca="true" t="shared" si="150" ref="M634:O638">J634*0.3</f>
        <v>165.38699999999997</v>
      </c>
      <c r="N634" s="68">
        <f t="shared" si="150"/>
        <v>0</v>
      </c>
      <c r="O634" s="255">
        <f t="shared" si="150"/>
        <v>165.38699999999997</v>
      </c>
      <c r="P634" s="63">
        <f t="shared" si="143"/>
        <v>107.50154999999998</v>
      </c>
      <c r="Q634" s="63">
        <f t="shared" si="144"/>
        <v>0</v>
      </c>
      <c r="R634" s="255">
        <f t="shared" si="142"/>
        <v>107.50154999999998</v>
      </c>
      <c r="S634" s="541" t="s">
        <v>466</v>
      </c>
      <c r="T634" s="541"/>
    </row>
    <row r="635" spans="1:20" s="64" customFormat="1" ht="22.5">
      <c r="A635" s="99" t="s">
        <v>252</v>
      </c>
      <c r="B635" s="100"/>
      <c r="C635" s="101" t="s">
        <v>184</v>
      </c>
      <c r="D635" s="106" t="s">
        <v>186</v>
      </c>
      <c r="E635" s="164"/>
      <c r="F635" s="188">
        <v>13</v>
      </c>
      <c r="G635" s="177">
        <v>38504</v>
      </c>
      <c r="H635" s="177">
        <v>38517</v>
      </c>
      <c r="I635" s="107" t="s">
        <v>187</v>
      </c>
      <c r="J635" s="184">
        <v>141.5</v>
      </c>
      <c r="K635" s="124">
        <v>0</v>
      </c>
      <c r="L635" s="275">
        <f t="shared" si="149"/>
        <v>141.5</v>
      </c>
      <c r="M635" s="68"/>
      <c r="N635" s="68">
        <f t="shared" si="150"/>
        <v>0</v>
      </c>
      <c r="O635" s="255"/>
      <c r="P635" s="63">
        <f t="shared" si="143"/>
        <v>0</v>
      </c>
      <c r="Q635" s="63">
        <f t="shared" si="144"/>
        <v>0</v>
      </c>
      <c r="R635" s="255">
        <f t="shared" si="142"/>
        <v>0</v>
      </c>
      <c r="S635" s="541" t="s">
        <v>467</v>
      </c>
      <c r="T635" s="541"/>
    </row>
    <row r="636" spans="1:20" s="64" customFormat="1" ht="22.5">
      <c r="A636" s="99" t="s">
        <v>252</v>
      </c>
      <c r="B636" s="100"/>
      <c r="C636" s="101" t="s">
        <v>184</v>
      </c>
      <c r="D636" s="173" t="s">
        <v>94</v>
      </c>
      <c r="E636" s="165"/>
      <c r="F636" s="166">
        <v>7</v>
      </c>
      <c r="G636" s="178">
        <v>38534</v>
      </c>
      <c r="H636" s="178">
        <v>38545</v>
      </c>
      <c r="I636" s="181" t="s">
        <v>88</v>
      </c>
      <c r="J636" s="185">
        <v>551.81</v>
      </c>
      <c r="K636" s="167">
        <v>0</v>
      </c>
      <c r="L636" s="276">
        <f t="shared" si="149"/>
        <v>551.81</v>
      </c>
      <c r="M636" s="68">
        <f t="shared" si="150"/>
        <v>165.54299999999998</v>
      </c>
      <c r="N636" s="68">
        <f t="shared" si="150"/>
        <v>0</v>
      </c>
      <c r="O636" s="255">
        <f t="shared" si="150"/>
        <v>165.54299999999998</v>
      </c>
      <c r="P636" s="63">
        <f t="shared" si="143"/>
        <v>107.60294999999999</v>
      </c>
      <c r="Q636" s="63">
        <f t="shared" si="144"/>
        <v>0</v>
      </c>
      <c r="R636" s="255">
        <f t="shared" si="142"/>
        <v>107.60294999999999</v>
      </c>
      <c r="S636" s="541" t="s">
        <v>466</v>
      </c>
      <c r="T636" s="541"/>
    </row>
    <row r="637" spans="1:20" s="64" customFormat="1" ht="22.5">
      <c r="A637" s="99" t="s">
        <v>252</v>
      </c>
      <c r="B637" s="100"/>
      <c r="C637" s="101" t="s">
        <v>184</v>
      </c>
      <c r="D637" s="174" t="s">
        <v>186</v>
      </c>
      <c r="E637" s="126"/>
      <c r="F637" s="168">
        <v>13</v>
      </c>
      <c r="G637" s="179">
        <v>38534</v>
      </c>
      <c r="H637" s="179">
        <v>38545</v>
      </c>
      <c r="I637" s="182" t="s">
        <v>187</v>
      </c>
      <c r="J637" s="186">
        <v>141.5</v>
      </c>
      <c r="K637" s="124">
        <v>0</v>
      </c>
      <c r="L637" s="275">
        <f t="shared" si="149"/>
        <v>141.5</v>
      </c>
      <c r="M637" s="68"/>
      <c r="N637" s="68">
        <f t="shared" si="150"/>
        <v>0</v>
      </c>
      <c r="O637" s="255"/>
      <c r="P637" s="63">
        <f t="shared" si="143"/>
        <v>0</v>
      </c>
      <c r="Q637" s="63">
        <f t="shared" si="144"/>
        <v>0</v>
      </c>
      <c r="R637" s="255">
        <f t="shared" si="142"/>
        <v>0</v>
      </c>
      <c r="S637" s="541" t="s">
        <v>467</v>
      </c>
      <c r="T637" s="541"/>
    </row>
    <row r="638" spans="1:20" s="64" customFormat="1" ht="22.5">
      <c r="A638" s="99" t="s">
        <v>252</v>
      </c>
      <c r="B638" s="100"/>
      <c r="C638" s="101" t="s">
        <v>184</v>
      </c>
      <c r="D638" s="174" t="s">
        <v>188</v>
      </c>
      <c r="E638" s="126" t="s">
        <v>189</v>
      </c>
      <c r="F638" s="168">
        <v>7117805956</v>
      </c>
      <c r="G638" s="179">
        <v>38550</v>
      </c>
      <c r="H638" s="179">
        <v>38569</v>
      </c>
      <c r="I638" s="183" t="s">
        <v>70</v>
      </c>
      <c r="J638" s="187">
        <v>150.7</v>
      </c>
      <c r="K638" s="124">
        <f>J638*20%</f>
        <v>30.14</v>
      </c>
      <c r="L638" s="275">
        <f>SUM(J638:K638)</f>
        <v>180.83999999999997</v>
      </c>
      <c r="M638" s="68">
        <f t="shared" si="150"/>
        <v>45.209999999999994</v>
      </c>
      <c r="N638" s="68">
        <f t="shared" si="150"/>
        <v>9.042</v>
      </c>
      <c r="O638" s="255">
        <f t="shared" si="150"/>
        <v>54.25199999999999</v>
      </c>
      <c r="P638" s="63">
        <f t="shared" si="143"/>
        <v>29.386499999999998</v>
      </c>
      <c r="Q638" s="63">
        <f t="shared" si="144"/>
        <v>5.8773</v>
      </c>
      <c r="R638" s="255">
        <f t="shared" si="142"/>
        <v>35.263799999999996</v>
      </c>
      <c r="S638" s="547"/>
      <c r="T638" s="547"/>
    </row>
    <row r="639" spans="1:20" s="64" customFormat="1" ht="22.5">
      <c r="A639" s="99" t="s">
        <v>252</v>
      </c>
      <c r="B639" s="100"/>
      <c r="C639" s="101" t="s">
        <v>184</v>
      </c>
      <c r="D639" s="174" t="s">
        <v>105</v>
      </c>
      <c r="E639" s="126"/>
      <c r="F639" s="168">
        <v>9</v>
      </c>
      <c r="G639" s="179">
        <v>38596</v>
      </c>
      <c r="H639" s="179">
        <v>38608</v>
      </c>
      <c r="I639" s="182" t="s">
        <v>88</v>
      </c>
      <c r="J639" s="169">
        <v>551.81</v>
      </c>
      <c r="K639" s="124">
        <v>0</v>
      </c>
      <c r="L639" s="275">
        <f t="shared" si="149"/>
        <v>551.81</v>
      </c>
      <c r="M639" s="68">
        <f aca="true" t="shared" si="151" ref="M639:O642">J639*0.15</f>
        <v>82.77149999999999</v>
      </c>
      <c r="N639" s="68">
        <f t="shared" si="151"/>
        <v>0</v>
      </c>
      <c r="O639" s="255">
        <f t="shared" si="151"/>
        <v>82.77149999999999</v>
      </c>
      <c r="P639" s="63">
        <f t="shared" si="143"/>
        <v>53.801474999999996</v>
      </c>
      <c r="Q639" s="63">
        <f t="shared" si="144"/>
        <v>0</v>
      </c>
      <c r="R639" s="255">
        <f t="shared" si="142"/>
        <v>53.801474999999996</v>
      </c>
      <c r="S639" s="541" t="s">
        <v>466</v>
      </c>
      <c r="T639" s="541"/>
    </row>
    <row r="640" spans="1:20" s="64" customFormat="1" ht="22.5">
      <c r="A640" s="99" t="s">
        <v>252</v>
      </c>
      <c r="B640" s="100"/>
      <c r="C640" s="101" t="s">
        <v>184</v>
      </c>
      <c r="D640" s="174" t="s">
        <v>190</v>
      </c>
      <c r="E640" s="126"/>
      <c r="F640" s="168">
        <v>13</v>
      </c>
      <c r="G640" s="179">
        <v>38640</v>
      </c>
      <c r="H640" s="179">
        <v>38650</v>
      </c>
      <c r="I640" s="182" t="s">
        <v>187</v>
      </c>
      <c r="J640" s="169">
        <v>141.5</v>
      </c>
      <c r="K640" s="124">
        <v>0</v>
      </c>
      <c r="L640" s="275">
        <f t="shared" si="149"/>
        <v>141.5</v>
      </c>
      <c r="M640" s="68"/>
      <c r="N640" s="68">
        <f t="shared" si="151"/>
        <v>0</v>
      </c>
      <c r="O640" s="255"/>
      <c r="P640" s="63">
        <f t="shared" si="143"/>
        <v>0</v>
      </c>
      <c r="Q640" s="63">
        <f t="shared" si="144"/>
        <v>0</v>
      </c>
      <c r="R640" s="255">
        <f t="shared" si="142"/>
        <v>0</v>
      </c>
      <c r="S640" s="541" t="s">
        <v>467</v>
      </c>
      <c r="T640" s="541"/>
    </row>
    <row r="641" spans="1:20" s="64" customFormat="1" ht="22.5">
      <c r="A641" s="99" t="s">
        <v>252</v>
      </c>
      <c r="B641" s="100"/>
      <c r="C641" s="101" t="s">
        <v>184</v>
      </c>
      <c r="D641" s="174" t="s">
        <v>191</v>
      </c>
      <c r="E641" s="126"/>
      <c r="F641" s="168">
        <v>1</v>
      </c>
      <c r="G641" s="179">
        <v>38626</v>
      </c>
      <c r="H641" s="179">
        <v>38642</v>
      </c>
      <c r="I641" s="182" t="s">
        <v>88</v>
      </c>
      <c r="J641" s="169">
        <v>551.81</v>
      </c>
      <c r="K641" s="124">
        <v>0</v>
      </c>
      <c r="L641" s="275">
        <f>SUM(J641:K641)</f>
        <v>551.81</v>
      </c>
      <c r="M641" s="68">
        <f t="shared" si="151"/>
        <v>82.77149999999999</v>
      </c>
      <c r="N641" s="68">
        <f t="shared" si="151"/>
        <v>0</v>
      </c>
      <c r="O641" s="255">
        <f t="shared" si="151"/>
        <v>82.77149999999999</v>
      </c>
      <c r="P641" s="63">
        <f t="shared" si="143"/>
        <v>53.801474999999996</v>
      </c>
      <c r="Q641" s="63">
        <f t="shared" si="144"/>
        <v>0</v>
      </c>
      <c r="R641" s="255">
        <f t="shared" si="142"/>
        <v>53.801474999999996</v>
      </c>
      <c r="S641" s="541" t="s">
        <v>466</v>
      </c>
      <c r="T641" s="541"/>
    </row>
    <row r="642" spans="1:20" s="64" customFormat="1" ht="22.5">
      <c r="A642" s="99" t="s">
        <v>252</v>
      </c>
      <c r="B642" s="100"/>
      <c r="C642" s="101" t="s">
        <v>184</v>
      </c>
      <c r="D642" s="174" t="s">
        <v>190</v>
      </c>
      <c r="E642" s="126"/>
      <c r="F642" s="168">
        <v>13</v>
      </c>
      <c r="G642" s="179">
        <v>38610</v>
      </c>
      <c r="H642" s="179">
        <v>38621</v>
      </c>
      <c r="I642" s="182" t="s">
        <v>187</v>
      </c>
      <c r="J642" s="169">
        <v>141.5</v>
      </c>
      <c r="K642" s="124">
        <v>0</v>
      </c>
      <c r="L642" s="275">
        <f>SUM(J642:K642)</f>
        <v>141.5</v>
      </c>
      <c r="M642" s="68"/>
      <c r="N642" s="68">
        <f t="shared" si="151"/>
        <v>0</v>
      </c>
      <c r="O642" s="255"/>
      <c r="P642" s="63">
        <f t="shared" si="143"/>
        <v>0</v>
      </c>
      <c r="Q642" s="63">
        <f t="shared" si="144"/>
        <v>0</v>
      </c>
      <c r="R642" s="255">
        <f t="shared" si="142"/>
        <v>0</v>
      </c>
      <c r="S642" s="541" t="s">
        <v>467</v>
      </c>
      <c r="T642" s="541"/>
    </row>
    <row r="643" spans="1:20" s="64" customFormat="1" ht="22.5">
      <c r="A643" s="99" t="s">
        <v>252</v>
      </c>
      <c r="B643" s="100"/>
      <c r="C643" s="101" t="s">
        <v>184</v>
      </c>
      <c r="D643" s="175" t="s">
        <v>192</v>
      </c>
      <c r="E643" s="126" t="s">
        <v>99</v>
      </c>
      <c r="F643" s="168" t="s">
        <v>193</v>
      </c>
      <c r="G643" s="179">
        <v>38510</v>
      </c>
      <c r="H643" s="179">
        <v>38552</v>
      </c>
      <c r="I643" s="182" t="s">
        <v>70</v>
      </c>
      <c r="J643" s="169">
        <f>3.14+128.56+30.84</f>
        <v>162.54</v>
      </c>
      <c r="K643" s="124">
        <f aca="true" t="shared" si="152" ref="K643:K648">J643*20%</f>
        <v>32.508</v>
      </c>
      <c r="L643" s="275">
        <f t="shared" si="149"/>
        <v>195.048</v>
      </c>
      <c r="M643" s="68">
        <f aca="true" t="shared" si="153" ref="M643:O646">J643*0.3</f>
        <v>48.76199999999999</v>
      </c>
      <c r="N643" s="68">
        <f t="shared" si="153"/>
        <v>9.7524</v>
      </c>
      <c r="O643" s="255">
        <f t="shared" si="153"/>
        <v>58.514399999999995</v>
      </c>
      <c r="P643" s="63">
        <f t="shared" si="143"/>
        <v>31.695299999999996</v>
      </c>
      <c r="Q643" s="63">
        <f t="shared" si="144"/>
        <v>6.33906</v>
      </c>
      <c r="R643" s="255">
        <f t="shared" si="142"/>
        <v>38.03436</v>
      </c>
      <c r="S643" s="547"/>
      <c r="T643" s="547"/>
    </row>
    <row r="644" spans="1:20" s="64" customFormat="1" ht="22.5">
      <c r="A644" s="99" t="s">
        <v>252</v>
      </c>
      <c r="B644" s="100"/>
      <c r="C644" s="101" t="s">
        <v>184</v>
      </c>
      <c r="D644" s="174" t="s">
        <v>188</v>
      </c>
      <c r="E644" s="126" t="s">
        <v>189</v>
      </c>
      <c r="F644" s="168">
        <v>7116621327</v>
      </c>
      <c r="G644" s="179">
        <v>38521</v>
      </c>
      <c r="H644" s="179">
        <v>38545</v>
      </c>
      <c r="I644" s="183" t="s">
        <v>70</v>
      </c>
      <c r="J644" s="170">
        <v>174.43</v>
      </c>
      <c r="K644" s="124">
        <f t="shared" si="152"/>
        <v>34.886</v>
      </c>
      <c r="L644" s="275">
        <f t="shared" si="149"/>
        <v>209.316</v>
      </c>
      <c r="M644" s="68">
        <f t="shared" si="153"/>
        <v>52.329</v>
      </c>
      <c r="N644" s="68">
        <f t="shared" si="153"/>
        <v>10.4658</v>
      </c>
      <c r="O644" s="255">
        <f t="shared" si="153"/>
        <v>62.794799999999995</v>
      </c>
      <c r="P644" s="63">
        <f t="shared" si="143"/>
        <v>34.013850000000005</v>
      </c>
      <c r="Q644" s="63">
        <f t="shared" si="144"/>
        <v>6.80277</v>
      </c>
      <c r="R644" s="255">
        <f t="shared" si="142"/>
        <v>40.81662</v>
      </c>
      <c r="S644" s="547"/>
      <c r="T644" s="547"/>
    </row>
    <row r="645" spans="1:20" s="64" customFormat="1" ht="22.5">
      <c r="A645" s="99" t="s">
        <v>252</v>
      </c>
      <c r="B645" s="100"/>
      <c r="C645" s="101" t="s">
        <v>184</v>
      </c>
      <c r="D645" s="176" t="s">
        <v>194</v>
      </c>
      <c r="E645" s="128" t="s">
        <v>73</v>
      </c>
      <c r="F645" s="171" t="s">
        <v>195</v>
      </c>
      <c r="G645" s="179">
        <v>38544</v>
      </c>
      <c r="H645" s="179">
        <v>38552</v>
      </c>
      <c r="I645" s="183" t="s">
        <v>196</v>
      </c>
      <c r="J645" s="170">
        <v>54.58</v>
      </c>
      <c r="K645" s="124">
        <f t="shared" si="152"/>
        <v>10.916</v>
      </c>
      <c r="L645" s="275">
        <f t="shared" si="149"/>
        <v>65.496</v>
      </c>
      <c r="M645" s="68">
        <f t="shared" si="153"/>
        <v>16.374</v>
      </c>
      <c r="N645" s="68">
        <f t="shared" si="153"/>
        <v>3.2748</v>
      </c>
      <c r="O645" s="255">
        <f t="shared" si="153"/>
        <v>19.648799999999998</v>
      </c>
      <c r="P645" s="63">
        <f t="shared" si="143"/>
        <v>10.6431</v>
      </c>
      <c r="Q645" s="63">
        <f t="shared" si="144"/>
        <v>2.12862</v>
      </c>
      <c r="R645" s="255">
        <f t="shared" si="142"/>
        <v>12.771719999999998</v>
      </c>
      <c r="S645" s="547"/>
      <c r="T645" s="547"/>
    </row>
    <row r="646" spans="1:20" s="64" customFormat="1" ht="22.5">
      <c r="A646" s="99" t="s">
        <v>252</v>
      </c>
      <c r="B646" s="100"/>
      <c r="C646" s="101" t="s">
        <v>184</v>
      </c>
      <c r="D646" s="174" t="s">
        <v>128</v>
      </c>
      <c r="E646" s="128" t="s">
        <v>197</v>
      </c>
      <c r="F646" s="171" t="s">
        <v>198</v>
      </c>
      <c r="G646" s="179">
        <v>38513</v>
      </c>
      <c r="H646" s="179">
        <v>38524</v>
      </c>
      <c r="I646" s="183" t="s">
        <v>196</v>
      </c>
      <c r="J646" s="169">
        <v>201.59</v>
      </c>
      <c r="K646" s="124">
        <f t="shared" si="152"/>
        <v>40.318000000000005</v>
      </c>
      <c r="L646" s="275">
        <f t="shared" si="149"/>
        <v>241.90800000000002</v>
      </c>
      <c r="M646" s="68">
        <f t="shared" si="153"/>
        <v>60.477</v>
      </c>
      <c r="N646" s="68">
        <f t="shared" si="153"/>
        <v>12.095400000000001</v>
      </c>
      <c r="O646" s="255">
        <f t="shared" si="153"/>
        <v>72.5724</v>
      </c>
      <c r="P646" s="63">
        <f t="shared" si="143"/>
        <v>39.31005</v>
      </c>
      <c r="Q646" s="63">
        <f t="shared" si="144"/>
        <v>7.8620100000000015</v>
      </c>
      <c r="R646" s="255">
        <f t="shared" si="142"/>
        <v>47.17206</v>
      </c>
      <c r="S646" s="547"/>
      <c r="T646" s="547"/>
    </row>
    <row r="647" spans="1:20" s="64" customFormat="1" ht="22.5">
      <c r="A647" s="99" t="s">
        <v>252</v>
      </c>
      <c r="B647" s="100"/>
      <c r="C647" s="101" t="s">
        <v>184</v>
      </c>
      <c r="D647" s="176" t="s">
        <v>199</v>
      </c>
      <c r="E647" s="128" t="s">
        <v>73</v>
      </c>
      <c r="F647" s="172"/>
      <c r="G647" s="179"/>
      <c r="H647" s="180"/>
      <c r="I647" s="183" t="s">
        <v>196</v>
      </c>
      <c r="J647" s="170">
        <v>53.92</v>
      </c>
      <c r="K647" s="124">
        <f t="shared" si="152"/>
        <v>10.784</v>
      </c>
      <c r="L647" s="275">
        <f>SUM(J647:K647)</f>
        <v>64.70400000000001</v>
      </c>
      <c r="M647" s="68">
        <f aca="true" t="shared" si="154" ref="M647:O648">J647*0.15</f>
        <v>8.088</v>
      </c>
      <c r="N647" s="68">
        <f t="shared" si="154"/>
        <v>1.6176000000000001</v>
      </c>
      <c r="O647" s="255">
        <f t="shared" si="154"/>
        <v>9.7056</v>
      </c>
      <c r="P647" s="63">
        <f t="shared" si="143"/>
        <v>5.2572</v>
      </c>
      <c r="Q647" s="63">
        <f t="shared" si="144"/>
        <v>1.0514400000000002</v>
      </c>
      <c r="R647" s="255">
        <f t="shared" si="142"/>
        <v>6.3086400000000005</v>
      </c>
      <c r="S647" s="541" t="s">
        <v>471</v>
      </c>
      <c r="T647" s="541"/>
    </row>
    <row r="648" spans="1:20" s="64" customFormat="1" ht="22.5">
      <c r="A648" s="99" t="s">
        <v>252</v>
      </c>
      <c r="B648" s="100"/>
      <c r="C648" s="101" t="s">
        <v>184</v>
      </c>
      <c r="D648" s="174" t="s">
        <v>128</v>
      </c>
      <c r="E648" s="128" t="s">
        <v>197</v>
      </c>
      <c r="F648" s="171" t="s">
        <v>200</v>
      </c>
      <c r="G648" s="179">
        <v>38604</v>
      </c>
      <c r="H648" s="179">
        <v>38639</v>
      </c>
      <c r="I648" s="183" t="s">
        <v>196</v>
      </c>
      <c r="J648" s="169">
        <v>9.53</v>
      </c>
      <c r="K648" s="124">
        <f t="shared" si="152"/>
        <v>1.906</v>
      </c>
      <c r="L648" s="275">
        <f>SUM(J648:K648)</f>
        <v>11.436</v>
      </c>
      <c r="M648" s="68">
        <f t="shared" si="154"/>
        <v>1.4294999999999998</v>
      </c>
      <c r="N648" s="68">
        <f t="shared" si="154"/>
        <v>0.2859</v>
      </c>
      <c r="O648" s="255">
        <f t="shared" si="154"/>
        <v>1.7154</v>
      </c>
      <c r="P648" s="63">
        <f t="shared" si="143"/>
        <v>0.9291749999999999</v>
      </c>
      <c r="Q648" s="63">
        <f t="shared" si="144"/>
        <v>0.185835</v>
      </c>
      <c r="R648" s="255">
        <f t="shared" si="142"/>
        <v>1.11501</v>
      </c>
      <c r="S648" s="567"/>
      <c r="T648" s="568"/>
    </row>
    <row r="649" spans="1:20" s="64" customFormat="1" ht="33.75">
      <c r="A649" s="99" t="s">
        <v>252</v>
      </c>
      <c r="B649" s="100"/>
      <c r="C649" s="101" t="s">
        <v>201</v>
      </c>
      <c r="D649" s="192" t="s">
        <v>202</v>
      </c>
      <c r="E649" s="189" t="s">
        <v>203</v>
      </c>
      <c r="F649" s="190">
        <v>38496</v>
      </c>
      <c r="G649" s="191"/>
      <c r="H649" s="179">
        <v>38533</v>
      </c>
      <c r="I649" s="193" t="s">
        <v>204</v>
      </c>
      <c r="J649" s="124">
        <v>3745</v>
      </c>
      <c r="K649" s="124">
        <f>J649*0.2</f>
        <v>749</v>
      </c>
      <c r="L649" s="275">
        <f>SUM(J649:K649)</f>
        <v>4494</v>
      </c>
      <c r="M649" s="63">
        <v>3745</v>
      </c>
      <c r="N649" s="63"/>
      <c r="O649" s="255">
        <f>SUM(M649:N649)</f>
        <v>3745</v>
      </c>
      <c r="P649" s="63">
        <f t="shared" si="143"/>
        <v>2434.25</v>
      </c>
      <c r="Q649" s="63">
        <f t="shared" si="144"/>
        <v>0</v>
      </c>
      <c r="R649" s="255">
        <f t="shared" si="142"/>
        <v>2434.25</v>
      </c>
      <c r="S649" s="541" t="s">
        <v>466</v>
      </c>
      <c r="T649" s="541"/>
    </row>
    <row r="650" spans="1:20" s="64" customFormat="1" ht="22.5">
      <c r="A650" s="99" t="s">
        <v>252</v>
      </c>
      <c r="B650" s="100"/>
      <c r="C650" s="101" t="s">
        <v>205</v>
      </c>
      <c r="D650" s="203" t="s">
        <v>223</v>
      </c>
      <c r="E650" s="211" t="s">
        <v>224</v>
      </c>
      <c r="F650" s="211">
        <v>8762</v>
      </c>
      <c r="G650" s="214">
        <v>0.29311342592592593</v>
      </c>
      <c r="H650" s="214">
        <v>0.960474537037037</v>
      </c>
      <c r="I650" s="215" t="s">
        <v>225</v>
      </c>
      <c r="J650" s="354"/>
      <c r="K650" s="216">
        <v>41.95</v>
      </c>
      <c r="L650" s="277">
        <f aca="true" t="shared" si="155" ref="L650:L655">SUM(J650:K650)</f>
        <v>41.95</v>
      </c>
      <c r="M650" s="9"/>
      <c r="N650" s="9"/>
      <c r="O650" s="264"/>
      <c r="P650" s="9"/>
      <c r="Q650" s="9"/>
      <c r="R650" s="264"/>
      <c r="S650" s="572" t="s">
        <v>741</v>
      </c>
      <c r="T650" s="573"/>
    </row>
    <row r="651" spans="1:20" s="64" customFormat="1" ht="22.5">
      <c r="A651" s="99" t="s">
        <v>252</v>
      </c>
      <c r="B651" s="100"/>
      <c r="C651" s="101" t="s">
        <v>205</v>
      </c>
      <c r="D651" s="203" t="s">
        <v>226</v>
      </c>
      <c r="E651" s="211" t="s">
        <v>73</v>
      </c>
      <c r="F651" s="211">
        <v>271012</v>
      </c>
      <c r="G651" s="217">
        <v>0.09171296296296295</v>
      </c>
      <c r="H651" s="214">
        <v>0.3833796296296296</v>
      </c>
      <c r="I651" s="215" t="s">
        <v>227</v>
      </c>
      <c r="J651" s="354"/>
      <c r="K651" s="216">
        <v>14.56</v>
      </c>
      <c r="L651" s="277">
        <f t="shared" si="155"/>
        <v>14.56</v>
      </c>
      <c r="M651" s="9"/>
      <c r="N651" s="9"/>
      <c r="O651" s="264"/>
      <c r="P651" s="9"/>
      <c r="Q651" s="9"/>
      <c r="R651" s="264"/>
      <c r="S651" s="574"/>
      <c r="T651" s="575"/>
    </row>
    <row r="652" spans="1:20" s="64" customFormat="1" ht="22.5">
      <c r="A652" s="99" t="s">
        <v>252</v>
      </c>
      <c r="B652" s="100"/>
      <c r="C652" s="101" t="s">
        <v>205</v>
      </c>
      <c r="D652" s="203" t="s">
        <v>226</v>
      </c>
      <c r="E652" s="211" t="s">
        <v>73</v>
      </c>
      <c r="F652" s="211">
        <v>271013</v>
      </c>
      <c r="G652" s="214">
        <v>0.20908564814814815</v>
      </c>
      <c r="H652" s="214">
        <v>0.7924189814814815</v>
      </c>
      <c r="I652" s="215" t="s">
        <v>228</v>
      </c>
      <c r="J652" s="354"/>
      <c r="K652" s="216">
        <v>17.71</v>
      </c>
      <c r="L652" s="277">
        <f t="shared" si="155"/>
        <v>17.71</v>
      </c>
      <c r="M652" s="9"/>
      <c r="N652" s="9"/>
      <c r="O652" s="264"/>
      <c r="P652" s="9"/>
      <c r="Q652" s="9"/>
      <c r="R652" s="264"/>
      <c r="S652" s="574"/>
      <c r="T652" s="575"/>
    </row>
    <row r="653" spans="1:20" s="64" customFormat="1" ht="22.5">
      <c r="A653" s="99" t="s">
        <v>252</v>
      </c>
      <c r="B653" s="100"/>
      <c r="C653" s="101" t="s">
        <v>205</v>
      </c>
      <c r="D653" s="203" t="s">
        <v>226</v>
      </c>
      <c r="E653" s="211" t="s">
        <v>73</v>
      </c>
      <c r="F653" s="211">
        <v>271014</v>
      </c>
      <c r="G653" s="218" t="s">
        <v>229</v>
      </c>
      <c r="H653" s="214">
        <v>0.5847800925925926</v>
      </c>
      <c r="I653" s="215" t="s">
        <v>230</v>
      </c>
      <c r="J653" s="354"/>
      <c r="K653" s="216">
        <v>14.85</v>
      </c>
      <c r="L653" s="277">
        <f t="shared" si="155"/>
        <v>14.85</v>
      </c>
      <c r="M653" s="9"/>
      <c r="N653" s="9"/>
      <c r="O653" s="264"/>
      <c r="P653" s="9"/>
      <c r="Q653" s="9"/>
      <c r="R653" s="264"/>
      <c r="S653" s="574"/>
      <c r="T653" s="575"/>
    </row>
    <row r="654" spans="1:20" s="64" customFormat="1" ht="22.5">
      <c r="A654" s="99" t="s">
        <v>252</v>
      </c>
      <c r="B654" s="100"/>
      <c r="C654" s="101" t="s">
        <v>205</v>
      </c>
      <c r="D654" s="203" t="s">
        <v>226</v>
      </c>
      <c r="E654" s="211" t="s">
        <v>73</v>
      </c>
      <c r="F654" s="211">
        <v>271015</v>
      </c>
      <c r="G654" s="214">
        <v>0.08547453703703704</v>
      </c>
      <c r="H654" s="214">
        <v>0.41880787037037037</v>
      </c>
      <c r="I654" s="215" t="s">
        <v>231</v>
      </c>
      <c r="J654" s="354"/>
      <c r="K654" s="216">
        <v>15.55</v>
      </c>
      <c r="L654" s="277">
        <f t="shared" si="155"/>
        <v>15.55</v>
      </c>
      <c r="M654" s="9"/>
      <c r="N654" s="9"/>
      <c r="O654" s="264"/>
      <c r="P654" s="9"/>
      <c r="Q654" s="9"/>
      <c r="R654" s="264"/>
      <c r="S654" s="574"/>
      <c r="T654" s="575"/>
    </row>
    <row r="655" spans="1:20" s="64" customFormat="1" ht="22.5">
      <c r="A655" s="99" t="s">
        <v>252</v>
      </c>
      <c r="B655" s="100"/>
      <c r="C655" s="101" t="s">
        <v>205</v>
      </c>
      <c r="D655" s="203" t="s">
        <v>223</v>
      </c>
      <c r="E655" s="211" t="s">
        <v>224</v>
      </c>
      <c r="F655" s="211">
        <v>19718</v>
      </c>
      <c r="G655" s="214">
        <v>0.6701967592592593</v>
      </c>
      <c r="H655" s="214">
        <v>0.46186342592592594</v>
      </c>
      <c r="I655" s="215" t="s">
        <v>232</v>
      </c>
      <c r="J655" s="354"/>
      <c r="K655" s="216">
        <v>39.08</v>
      </c>
      <c r="L655" s="277">
        <f t="shared" si="155"/>
        <v>39.08</v>
      </c>
      <c r="M655" s="9"/>
      <c r="N655" s="9"/>
      <c r="O655" s="264"/>
      <c r="P655" s="9"/>
      <c r="Q655" s="9"/>
      <c r="R655" s="264"/>
      <c r="S655" s="574"/>
      <c r="T655" s="575"/>
    </row>
    <row r="656" spans="1:20" s="64" customFormat="1" ht="22.5">
      <c r="A656" s="99" t="s">
        <v>252</v>
      </c>
      <c r="B656" s="100"/>
      <c r="C656" s="101" t="s">
        <v>205</v>
      </c>
      <c r="D656" s="203" t="s">
        <v>226</v>
      </c>
      <c r="E656" s="211" t="s">
        <v>73</v>
      </c>
      <c r="F656" s="211">
        <v>271016</v>
      </c>
      <c r="G656" s="217">
        <v>0.12783564814814816</v>
      </c>
      <c r="H656" s="214">
        <v>0.5861689814814816</v>
      </c>
      <c r="I656" s="215" t="s">
        <v>233</v>
      </c>
      <c r="J656" s="354"/>
      <c r="K656" s="216">
        <v>15.15</v>
      </c>
      <c r="L656" s="277">
        <f>K656+J656</f>
        <v>15.15</v>
      </c>
      <c r="M656" s="9"/>
      <c r="N656" s="9"/>
      <c r="O656" s="264"/>
      <c r="P656" s="9"/>
      <c r="Q656" s="9"/>
      <c r="R656" s="264"/>
      <c r="S656" s="574"/>
      <c r="T656" s="575"/>
    </row>
    <row r="657" spans="1:20" s="64" customFormat="1" ht="22.5">
      <c r="A657" s="99" t="s">
        <v>252</v>
      </c>
      <c r="B657" s="100"/>
      <c r="C657" s="101" t="s">
        <v>205</v>
      </c>
      <c r="D657" s="203" t="s">
        <v>226</v>
      </c>
      <c r="E657" s="211" t="s">
        <v>73</v>
      </c>
      <c r="F657" s="211">
        <v>271017</v>
      </c>
      <c r="G657" s="214">
        <v>0.08686342592592593</v>
      </c>
      <c r="H657" s="214">
        <v>0.46186342592592594</v>
      </c>
      <c r="I657" s="215" t="s">
        <v>234</v>
      </c>
      <c r="J657" s="354"/>
      <c r="K657" s="216">
        <v>5.51</v>
      </c>
      <c r="L657" s="277">
        <f>K657+J657</f>
        <v>5.51</v>
      </c>
      <c r="M657" s="9"/>
      <c r="N657" s="9"/>
      <c r="O657" s="264"/>
      <c r="P657" s="9"/>
      <c r="Q657" s="9"/>
      <c r="R657" s="264"/>
      <c r="S657" s="576"/>
      <c r="T657" s="577"/>
    </row>
    <row r="658" spans="1:20" s="64" customFormat="1" ht="22.5">
      <c r="A658" s="99" t="s">
        <v>252</v>
      </c>
      <c r="B658" s="100"/>
      <c r="C658" s="101" t="s">
        <v>205</v>
      </c>
      <c r="D658" s="161" t="s">
        <v>235</v>
      </c>
      <c r="E658" s="219" t="s">
        <v>236</v>
      </c>
      <c r="F658" s="161" t="s">
        <v>237</v>
      </c>
      <c r="G658" s="159">
        <v>38373</v>
      </c>
      <c r="H658" s="159">
        <v>38373</v>
      </c>
      <c r="I658" s="161" t="s">
        <v>238</v>
      </c>
      <c r="J658" s="355">
        <v>33.33</v>
      </c>
      <c r="K658" s="220">
        <v>6.67</v>
      </c>
      <c r="L658" s="278">
        <f aca="true" t="shared" si="156" ref="L658:L665">K658+J658</f>
        <v>40</v>
      </c>
      <c r="M658" s="9"/>
      <c r="N658" s="9"/>
      <c r="O658" s="264"/>
      <c r="P658" s="9"/>
      <c r="Q658" s="9"/>
      <c r="R658" s="264"/>
      <c r="S658" s="542" t="s">
        <v>251</v>
      </c>
      <c r="T658" s="543"/>
    </row>
    <row r="659" spans="1:20" s="64" customFormat="1" ht="22.5">
      <c r="A659" s="99" t="s">
        <v>252</v>
      </c>
      <c r="B659" s="100"/>
      <c r="C659" s="101" t="s">
        <v>205</v>
      </c>
      <c r="D659" s="161" t="s">
        <v>239</v>
      </c>
      <c r="E659" s="151" t="s">
        <v>240</v>
      </c>
      <c r="F659" s="161">
        <v>202</v>
      </c>
      <c r="G659" s="221">
        <v>0.8368634259259259</v>
      </c>
      <c r="H659" s="221">
        <v>0.8368634259259259</v>
      </c>
      <c r="I659" s="161" t="s">
        <v>238</v>
      </c>
      <c r="J659" s="355">
        <v>16.66</v>
      </c>
      <c r="K659" s="220">
        <v>3.34</v>
      </c>
      <c r="L659" s="278">
        <f t="shared" si="156"/>
        <v>20</v>
      </c>
      <c r="M659" s="9"/>
      <c r="N659" s="9"/>
      <c r="O659" s="264"/>
      <c r="P659" s="9"/>
      <c r="Q659" s="9"/>
      <c r="R659" s="264"/>
      <c r="S659" s="542" t="s">
        <v>251</v>
      </c>
      <c r="T659" s="543"/>
    </row>
    <row r="660" spans="1:20" s="64" customFormat="1" ht="22.5">
      <c r="A660" s="99" t="s">
        <v>252</v>
      </c>
      <c r="B660" s="100"/>
      <c r="C660" s="101" t="s">
        <v>205</v>
      </c>
      <c r="D660" s="222" t="s">
        <v>241</v>
      </c>
      <c r="E660" s="223" t="s">
        <v>180</v>
      </c>
      <c r="F660" s="224">
        <v>50271018</v>
      </c>
      <c r="G660" s="225">
        <v>38505</v>
      </c>
      <c r="H660" s="226">
        <v>38517</v>
      </c>
      <c r="I660" s="226" t="s">
        <v>242</v>
      </c>
      <c r="J660" s="227">
        <v>81.9</v>
      </c>
      <c r="K660" s="228">
        <v>16.38</v>
      </c>
      <c r="L660" s="279">
        <f t="shared" si="156"/>
        <v>98.28</v>
      </c>
      <c r="M660" s="227">
        <v>81.9</v>
      </c>
      <c r="N660" s="453">
        <f aca="true" t="shared" si="157" ref="N660:N665">M660*0.2</f>
        <v>16.380000000000003</v>
      </c>
      <c r="O660" s="255">
        <f aca="true" t="shared" si="158" ref="O660:O665">SUM(M660:N660)</f>
        <v>98.28</v>
      </c>
      <c r="P660" s="9">
        <f aca="true" t="shared" si="159" ref="P660:R665">M660*0.65</f>
        <v>53.23500000000001</v>
      </c>
      <c r="Q660" s="454">
        <f t="shared" si="159"/>
        <v>10.647000000000002</v>
      </c>
      <c r="R660" s="264">
        <f t="shared" si="159"/>
        <v>63.882000000000005</v>
      </c>
      <c r="S660" s="542" t="s">
        <v>472</v>
      </c>
      <c r="T660" s="543"/>
    </row>
    <row r="661" spans="1:20" s="64" customFormat="1" ht="22.5">
      <c r="A661" s="99" t="s">
        <v>252</v>
      </c>
      <c r="B661" s="100"/>
      <c r="C661" s="101" t="s">
        <v>205</v>
      </c>
      <c r="D661" s="109" t="s">
        <v>241</v>
      </c>
      <c r="E661" s="211" t="s">
        <v>180</v>
      </c>
      <c r="F661" s="211">
        <v>50271019</v>
      </c>
      <c r="G661" s="229">
        <v>38536</v>
      </c>
      <c r="H661" s="229">
        <v>38545</v>
      </c>
      <c r="I661" s="113" t="s">
        <v>243</v>
      </c>
      <c r="J661" s="230">
        <v>90.28</v>
      </c>
      <c r="K661" s="216">
        <v>18.06</v>
      </c>
      <c r="L661" s="280">
        <f t="shared" si="156"/>
        <v>108.34</v>
      </c>
      <c r="M661" s="9">
        <v>90.28</v>
      </c>
      <c r="N661" s="453">
        <f t="shared" si="157"/>
        <v>18.056</v>
      </c>
      <c r="O661" s="255">
        <f t="shared" si="158"/>
        <v>108.336</v>
      </c>
      <c r="P661" s="9">
        <f t="shared" si="159"/>
        <v>58.682</v>
      </c>
      <c r="Q661" s="454">
        <f t="shared" si="159"/>
        <v>11.736400000000001</v>
      </c>
      <c r="R661" s="264">
        <f t="shared" si="159"/>
        <v>70.4184</v>
      </c>
      <c r="S661" s="542" t="s">
        <v>472</v>
      </c>
      <c r="T661" s="543"/>
    </row>
    <row r="662" spans="1:20" s="64" customFormat="1" ht="11.25">
      <c r="A662" s="99" t="s">
        <v>252</v>
      </c>
      <c r="B662" s="100"/>
      <c r="C662" s="101" t="s">
        <v>205</v>
      </c>
      <c r="D662" s="203" t="s">
        <v>223</v>
      </c>
      <c r="E662" s="211" t="s">
        <v>224</v>
      </c>
      <c r="F662" s="211" t="s">
        <v>244</v>
      </c>
      <c r="G662" s="229">
        <v>38510</v>
      </c>
      <c r="H662" s="229">
        <v>38551</v>
      </c>
      <c r="I662" s="113" t="s">
        <v>245</v>
      </c>
      <c r="J662" s="230">
        <v>408.07</v>
      </c>
      <c r="K662" s="216">
        <v>90.61</v>
      </c>
      <c r="L662" s="280">
        <f t="shared" si="156"/>
        <v>498.68</v>
      </c>
      <c r="M662" s="63">
        <v>408.07</v>
      </c>
      <c r="N662" s="453">
        <f t="shared" si="157"/>
        <v>81.614</v>
      </c>
      <c r="O662" s="255">
        <f t="shared" si="158"/>
        <v>489.68399999999997</v>
      </c>
      <c r="P662" s="63">
        <f t="shared" si="159"/>
        <v>265.2455</v>
      </c>
      <c r="Q662" s="453">
        <f t="shared" si="159"/>
        <v>53.0491</v>
      </c>
      <c r="R662" s="255">
        <f t="shared" si="159"/>
        <v>318.2946</v>
      </c>
      <c r="S662" s="542" t="s">
        <v>466</v>
      </c>
      <c r="T662" s="543"/>
    </row>
    <row r="663" spans="1:20" s="64" customFormat="1" ht="11.25">
      <c r="A663" s="99" t="s">
        <v>252</v>
      </c>
      <c r="B663" s="100"/>
      <c r="C663" s="101" t="s">
        <v>205</v>
      </c>
      <c r="D663" s="203" t="s">
        <v>223</v>
      </c>
      <c r="E663" s="211" t="s">
        <v>224</v>
      </c>
      <c r="F663" s="211" t="s">
        <v>246</v>
      </c>
      <c r="G663" s="229">
        <v>38510</v>
      </c>
      <c r="H663" s="231">
        <v>38545</v>
      </c>
      <c r="I663" s="113" t="s">
        <v>247</v>
      </c>
      <c r="J663" s="230">
        <v>52.08</v>
      </c>
      <c r="K663" s="216">
        <v>10.42</v>
      </c>
      <c r="L663" s="280">
        <f t="shared" si="156"/>
        <v>62.5</v>
      </c>
      <c r="M663" s="63">
        <v>52.08</v>
      </c>
      <c r="N663" s="453">
        <f t="shared" si="157"/>
        <v>10.416</v>
      </c>
      <c r="O663" s="255">
        <f t="shared" si="158"/>
        <v>62.495999999999995</v>
      </c>
      <c r="P663" s="63">
        <f t="shared" si="159"/>
        <v>33.852</v>
      </c>
      <c r="Q663" s="453">
        <f t="shared" si="159"/>
        <v>6.7704</v>
      </c>
      <c r="R663" s="255">
        <f t="shared" si="159"/>
        <v>40.6224</v>
      </c>
      <c r="S663" s="542" t="s">
        <v>466</v>
      </c>
      <c r="T663" s="543"/>
    </row>
    <row r="664" spans="1:20" s="64" customFormat="1" ht="11.25">
      <c r="A664" s="99" t="s">
        <v>252</v>
      </c>
      <c r="B664" s="100"/>
      <c r="C664" s="101" t="s">
        <v>205</v>
      </c>
      <c r="D664" s="203" t="s">
        <v>223</v>
      </c>
      <c r="E664" s="211" t="s">
        <v>224</v>
      </c>
      <c r="F664" s="211">
        <v>5800036393</v>
      </c>
      <c r="G664" s="218">
        <v>38569</v>
      </c>
      <c r="H664" s="229">
        <v>38604</v>
      </c>
      <c r="I664" s="113" t="s">
        <v>248</v>
      </c>
      <c r="J664" s="230">
        <v>295.03</v>
      </c>
      <c r="K664" s="216">
        <v>59.01</v>
      </c>
      <c r="L664" s="280">
        <f t="shared" si="156"/>
        <v>354.03999999999996</v>
      </c>
      <c r="M664" s="63">
        <v>295.03</v>
      </c>
      <c r="N664" s="453">
        <f t="shared" si="157"/>
        <v>59.006</v>
      </c>
      <c r="O664" s="255">
        <f t="shared" si="158"/>
        <v>354.03599999999994</v>
      </c>
      <c r="P664" s="63">
        <f t="shared" si="159"/>
        <v>191.7695</v>
      </c>
      <c r="Q664" s="453">
        <f t="shared" si="159"/>
        <v>38.3539</v>
      </c>
      <c r="R664" s="255">
        <f t="shared" si="159"/>
        <v>230.12339999999998</v>
      </c>
      <c r="S664" s="542" t="s">
        <v>466</v>
      </c>
      <c r="T664" s="543"/>
    </row>
    <row r="665" spans="1:20" s="64" customFormat="1" ht="11.25">
      <c r="A665" s="99" t="s">
        <v>252</v>
      </c>
      <c r="B665" s="100"/>
      <c r="C665" s="101" t="s">
        <v>205</v>
      </c>
      <c r="D665" s="203" t="s">
        <v>223</v>
      </c>
      <c r="E665" s="211" t="s">
        <v>224</v>
      </c>
      <c r="F665" s="211" t="s">
        <v>249</v>
      </c>
      <c r="G665" s="229">
        <v>38569</v>
      </c>
      <c r="H665" s="229">
        <v>38595</v>
      </c>
      <c r="I665" s="113" t="s">
        <v>250</v>
      </c>
      <c r="J665" s="230">
        <v>25.69</v>
      </c>
      <c r="K665" s="216">
        <v>5.14</v>
      </c>
      <c r="L665" s="280">
        <f t="shared" si="156"/>
        <v>30.830000000000002</v>
      </c>
      <c r="M665" s="63">
        <v>25.69</v>
      </c>
      <c r="N665" s="453">
        <f t="shared" si="157"/>
        <v>5.138000000000001</v>
      </c>
      <c r="O665" s="255">
        <f t="shared" si="158"/>
        <v>30.828000000000003</v>
      </c>
      <c r="P665" s="63">
        <f t="shared" si="159"/>
        <v>16.698500000000003</v>
      </c>
      <c r="Q665" s="453">
        <f t="shared" si="159"/>
        <v>3.3397000000000006</v>
      </c>
      <c r="R665" s="255">
        <f t="shared" si="159"/>
        <v>20.038200000000003</v>
      </c>
      <c r="S665" s="542" t="s">
        <v>472</v>
      </c>
      <c r="T665" s="543"/>
    </row>
    <row r="666" spans="1:20" s="382" customFormat="1" ht="11.25">
      <c r="A666" s="379" t="s">
        <v>273</v>
      </c>
      <c r="B666" s="381"/>
      <c r="C666" s="246" t="s">
        <v>479</v>
      </c>
      <c r="D666" s="384"/>
      <c r="E666" s="385"/>
      <c r="F666" s="385"/>
      <c r="G666" s="396"/>
      <c r="H666" s="396"/>
      <c r="I666" s="380"/>
      <c r="J666" s="397"/>
      <c r="K666" s="386"/>
      <c r="L666" s="280">
        <f>K666+J666</f>
        <v>0</v>
      </c>
      <c r="M666" s="236">
        <f>SUM(M571:M665)-M570+SUM(M392:M569)-M391</f>
        <v>-2573.749999999989</v>
      </c>
      <c r="N666" s="236">
        <f>SUM(N571:N665)-N570+SUM(N392:N569)-N391</f>
        <v>-394.2480000000005</v>
      </c>
      <c r="O666" s="255">
        <f aca="true" t="shared" si="160" ref="O666:O691">+N666+M666</f>
        <v>-2967.9979999999896</v>
      </c>
      <c r="P666" s="236">
        <f>SUM(P571:P665)-P570+SUM(P392:P569)-P391</f>
        <v>-1672.9374999999745</v>
      </c>
      <c r="Q666" s="236">
        <f>SUM(Q571:Q665)-Q570+SUM(Q392:Q569)-Q391</f>
        <v>-256.26120000000014</v>
      </c>
      <c r="R666" s="255">
        <f aca="true" t="shared" si="161" ref="R666:R691">+Q666+P666</f>
        <v>-1929.1986999999747</v>
      </c>
      <c r="S666" s="578"/>
      <c r="T666" s="579"/>
    </row>
    <row r="667" spans="1:20" s="401" customFormat="1" ht="22.5" customHeight="1">
      <c r="A667" s="99" t="s">
        <v>273</v>
      </c>
      <c r="B667" s="100"/>
      <c r="C667" s="101" t="s">
        <v>65</v>
      </c>
      <c r="D667" s="402" t="s">
        <v>484</v>
      </c>
      <c r="E667" s="403" t="s">
        <v>485</v>
      </c>
      <c r="F667" s="403">
        <v>286</v>
      </c>
      <c r="G667" s="404">
        <v>38656</v>
      </c>
      <c r="H667" s="404">
        <v>38686</v>
      </c>
      <c r="I667" s="405" t="s">
        <v>82</v>
      </c>
      <c r="J667" s="406">
        <v>390</v>
      </c>
      <c r="K667" s="407">
        <v>78</v>
      </c>
      <c r="L667" s="280">
        <v>468</v>
      </c>
      <c r="M667" s="408">
        <f>187.2/1.2</f>
        <v>156</v>
      </c>
      <c r="N667" s="68">
        <f>+M667*0.2</f>
        <v>31.200000000000003</v>
      </c>
      <c r="O667" s="255">
        <f t="shared" si="160"/>
        <v>187.2</v>
      </c>
      <c r="P667" s="63">
        <f aca="true" t="shared" si="162" ref="P667:P677">M667*0.65</f>
        <v>101.4</v>
      </c>
      <c r="Q667" s="63">
        <f aca="true" t="shared" si="163" ref="Q667:Q677">N667*0.65</f>
        <v>20.28</v>
      </c>
      <c r="R667" s="255">
        <f t="shared" si="161"/>
        <v>121.68</v>
      </c>
      <c r="S667" s="545" t="s">
        <v>316</v>
      </c>
      <c r="T667" s="546"/>
    </row>
    <row r="668" spans="1:20" s="401" customFormat="1" ht="11.25">
      <c r="A668" s="99" t="s">
        <v>273</v>
      </c>
      <c r="B668" s="100"/>
      <c r="C668" s="101" t="s">
        <v>65</v>
      </c>
      <c r="D668" s="402" t="s">
        <v>486</v>
      </c>
      <c r="E668" s="403" t="s">
        <v>487</v>
      </c>
      <c r="F668" s="403">
        <v>416</v>
      </c>
      <c r="G668" s="404">
        <v>38717</v>
      </c>
      <c r="H668" s="404">
        <v>38741</v>
      </c>
      <c r="I668" s="405" t="s">
        <v>78</v>
      </c>
      <c r="J668" s="406">
        <v>289.68</v>
      </c>
      <c r="K668" s="407">
        <v>57.93600000000001</v>
      </c>
      <c r="L668" s="280">
        <v>347.616</v>
      </c>
      <c r="M668" s="408">
        <f>139.0464/1.2</f>
        <v>115.87200000000001</v>
      </c>
      <c r="N668" s="68">
        <f>+M668*0.2</f>
        <v>23.174400000000006</v>
      </c>
      <c r="O668" s="255">
        <f t="shared" si="160"/>
        <v>139.0464</v>
      </c>
      <c r="P668" s="63">
        <f t="shared" si="162"/>
        <v>75.31680000000001</v>
      </c>
      <c r="Q668" s="63">
        <f t="shared" si="163"/>
        <v>15.063360000000005</v>
      </c>
      <c r="R668" s="255">
        <f t="shared" si="161"/>
        <v>90.38016000000002</v>
      </c>
      <c r="S668" s="398"/>
      <c r="T668" s="399"/>
    </row>
    <row r="669" spans="1:20" s="401" customFormat="1" ht="11.25">
      <c r="A669" s="99" t="s">
        <v>273</v>
      </c>
      <c r="B669" s="100"/>
      <c r="C669" s="101" t="s">
        <v>65</v>
      </c>
      <c r="D669" s="402" t="s">
        <v>75</v>
      </c>
      <c r="E669" s="403" t="s">
        <v>76</v>
      </c>
      <c r="F669" s="403" t="s">
        <v>488</v>
      </c>
      <c r="G669" s="404">
        <v>38674</v>
      </c>
      <c r="H669" s="404">
        <v>38741</v>
      </c>
      <c r="I669" s="405" t="s">
        <v>78</v>
      </c>
      <c r="J669" s="406">
        <v>459.42</v>
      </c>
      <c r="K669" s="407"/>
      <c r="L669" s="280">
        <f>+K669+J669</f>
        <v>459.42</v>
      </c>
      <c r="M669" s="408">
        <v>459.42</v>
      </c>
      <c r="N669" s="68"/>
      <c r="O669" s="255">
        <f t="shared" si="160"/>
        <v>459.42</v>
      </c>
      <c r="P669" s="63">
        <f t="shared" si="162"/>
        <v>298.62300000000005</v>
      </c>
      <c r="Q669" s="63">
        <f t="shared" si="163"/>
        <v>0</v>
      </c>
      <c r="R669" s="255">
        <f t="shared" si="161"/>
        <v>298.62300000000005</v>
      </c>
      <c r="S669" s="398"/>
      <c r="T669" s="399"/>
    </row>
    <row r="670" spans="1:20" s="401" customFormat="1" ht="22.5" customHeight="1">
      <c r="A670" s="99" t="s">
        <v>273</v>
      </c>
      <c r="B670" s="100"/>
      <c r="C670" s="101" t="s">
        <v>65</v>
      </c>
      <c r="D670" s="402" t="s">
        <v>72</v>
      </c>
      <c r="E670" s="403" t="s">
        <v>73</v>
      </c>
      <c r="F670" s="403" t="s">
        <v>489</v>
      </c>
      <c r="G670" s="404">
        <v>38743</v>
      </c>
      <c r="H670" s="404">
        <v>38763</v>
      </c>
      <c r="I670" s="405" t="s">
        <v>70</v>
      </c>
      <c r="J670" s="406">
        <v>617.875</v>
      </c>
      <c r="K670" s="407">
        <v>123.575</v>
      </c>
      <c r="L670" s="280">
        <v>741.45</v>
      </c>
      <c r="M670" s="408">
        <f>265.68625/1.2</f>
        <v>221.40520833333332</v>
      </c>
      <c r="N670" s="68">
        <f aca="true" t="shared" si="164" ref="N670:N677">+M670*0.2</f>
        <v>44.28104166666667</v>
      </c>
      <c r="O670" s="255">
        <f t="shared" si="160"/>
        <v>265.68625</v>
      </c>
      <c r="P670" s="63">
        <f t="shared" si="162"/>
        <v>143.91338541666667</v>
      </c>
      <c r="Q670" s="63">
        <f t="shared" si="163"/>
        <v>28.782677083333333</v>
      </c>
      <c r="R670" s="255">
        <f t="shared" si="161"/>
        <v>172.6960625</v>
      </c>
      <c r="S670" s="545" t="s">
        <v>316</v>
      </c>
      <c r="T670" s="546"/>
    </row>
    <row r="671" spans="1:20" s="401" customFormat="1" ht="11.25">
      <c r="A671" s="99" t="s">
        <v>273</v>
      </c>
      <c r="B671" s="100"/>
      <c r="C671" s="101" t="s">
        <v>65</v>
      </c>
      <c r="D671" s="402" t="s">
        <v>486</v>
      </c>
      <c r="E671" s="403" t="s">
        <v>487</v>
      </c>
      <c r="F671" s="403">
        <v>25</v>
      </c>
      <c r="G671" s="404">
        <v>38749</v>
      </c>
      <c r="H671" s="404">
        <v>38775</v>
      </c>
      <c r="I671" s="405" t="s">
        <v>78</v>
      </c>
      <c r="J671" s="406">
        <v>304.13</v>
      </c>
      <c r="K671" s="407">
        <v>60.826</v>
      </c>
      <c r="L671" s="280">
        <v>364.956</v>
      </c>
      <c r="M671" s="408">
        <f>145.9824/1.2</f>
        <v>121.65200000000002</v>
      </c>
      <c r="N671" s="68">
        <f t="shared" si="164"/>
        <v>24.330400000000004</v>
      </c>
      <c r="O671" s="255">
        <f t="shared" si="160"/>
        <v>145.9824</v>
      </c>
      <c r="P671" s="63">
        <f t="shared" si="162"/>
        <v>79.0738</v>
      </c>
      <c r="Q671" s="63">
        <f t="shared" si="163"/>
        <v>15.814760000000003</v>
      </c>
      <c r="R671" s="255">
        <f t="shared" si="161"/>
        <v>94.88856000000001</v>
      </c>
      <c r="S671" s="398"/>
      <c r="T671" s="399"/>
    </row>
    <row r="672" spans="1:20" s="401" customFormat="1" ht="22.5" customHeight="1">
      <c r="A672" s="99" t="s">
        <v>273</v>
      </c>
      <c r="B672" s="100"/>
      <c r="C672" s="101" t="s">
        <v>65</v>
      </c>
      <c r="D672" s="402" t="s">
        <v>484</v>
      </c>
      <c r="E672" s="403" t="s">
        <v>485</v>
      </c>
      <c r="F672" s="403">
        <v>19</v>
      </c>
      <c r="G672" s="404">
        <v>38748</v>
      </c>
      <c r="H672" s="404">
        <v>38776</v>
      </c>
      <c r="I672" s="405" t="s">
        <v>82</v>
      </c>
      <c r="J672" s="406">
        <v>390</v>
      </c>
      <c r="K672" s="407">
        <v>78</v>
      </c>
      <c r="L672" s="280">
        <v>468</v>
      </c>
      <c r="M672" s="408">
        <f>187.2/1.2</f>
        <v>156</v>
      </c>
      <c r="N672" s="68">
        <f t="shared" si="164"/>
        <v>31.200000000000003</v>
      </c>
      <c r="O672" s="255">
        <f t="shared" si="160"/>
        <v>187.2</v>
      </c>
      <c r="P672" s="63">
        <f t="shared" si="162"/>
        <v>101.4</v>
      </c>
      <c r="Q672" s="63">
        <f t="shared" si="163"/>
        <v>20.28</v>
      </c>
      <c r="R672" s="255">
        <f t="shared" si="161"/>
        <v>121.68</v>
      </c>
      <c r="S672" s="545" t="s">
        <v>316</v>
      </c>
      <c r="T672" s="546"/>
    </row>
    <row r="673" spans="1:20" s="401" customFormat="1" ht="11.25">
      <c r="A673" s="99" t="s">
        <v>273</v>
      </c>
      <c r="B673" s="100"/>
      <c r="C673" s="101" t="s">
        <v>65</v>
      </c>
      <c r="D673" s="402" t="s">
        <v>486</v>
      </c>
      <c r="E673" s="403" t="s">
        <v>487</v>
      </c>
      <c r="F673" s="403">
        <v>77</v>
      </c>
      <c r="G673" s="404">
        <v>38777</v>
      </c>
      <c r="H673" s="404">
        <v>38805</v>
      </c>
      <c r="I673" s="405" t="s">
        <v>78</v>
      </c>
      <c r="J673" s="406">
        <v>289.68</v>
      </c>
      <c r="K673" s="407">
        <v>57.93600000000001</v>
      </c>
      <c r="L673" s="280">
        <v>347.616</v>
      </c>
      <c r="M673" s="408">
        <f>139.0464/1.2</f>
        <v>115.87200000000001</v>
      </c>
      <c r="N673" s="68">
        <f t="shared" si="164"/>
        <v>23.174400000000006</v>
      </c>
      <c r="O673" s="255">
        <f t="shared" si="160"/>
        <v>139.0464</v>
      </c>
      <c r="P673" s="63">
        <f t="shared" si="162"/>
        <v>75.31680000000001</v>
      </c>
      <c r="Q673" s="63">
        <f t="shared" si="163"/>
        <v>15.063360000000005</v>
      </c>
      <c r="R673" s="255">
        <f t="shared" si="161"/>
        <v>90.38016000000002</v>
      </c>
      <c r="S673" s="398"/>
      <c r="T673" s="399"/>
    </row>
    <row r="674" spans="1:20" s="401" customFormat="1" ht="24" customHeight="1">
      <c r="A674" s="99" t="s">
        <v>273</v>
      </c>
      <c r="B674" s="100"/>
      <c r="C674" s="101" t="s">
        <v>65</v>
      </c>
      <c r="D674" s="402" t="s">
        <v>72</v>
      </c>
      <c r="E674" s="403" t="s">
        <v>73</v>
      </c>
      <c r="F674" s="403" t="s">
        <v>490</v>
      </c>
      <c r="G674" s="404">
        <v>38800</v>
      </c>
      <c r="H674" s="404">
        <v>38820</v>
      </c>
      <c r="I674" s="405" t="s">
        <v>70</v>
      </c>
      <c r="J674" s="406">
        <v>274.09</v>
      </c>
      <c r="K674" s="407">
        <v>54.818</v>
      </c>
      <c r="L674" s="280">
        <v>328.90799999999996</v>
      </c>
      <c r="M674" s="408">
        <f>117.8587/1.2</f>
        <v>98.21558333333334</v>
      </c>
      <c r="N674" s="68">
        <f t="shared" si="164"/>
        <v>19.64311666666667</v>
      </c>
      <c r="O674" s="255">
        <f t="shared" si="160"/>
        <v>117.85870000000001</v>
      </c>
      <c r="P674" s="63">
        <f t="shared" si="162"/>
        <v>63.84012916666668</v>
      </c>
      <c r="Q674" s="63">
        <f t="shared" si="163"/>
        <v>12.768025833333336</v>
      </c>
      <c r="R674" s="255">
        <f t="shared" si="161"/>
        <v>76.60815500000001</v>
      </c>
      <c r="S674" s="545" t="s">
        <v>316</v>
      </c>
      <c r="T674" s="546"/>
    </row>
    <row r="675" spans="1:20" s="401" customFormat="1" ht="22.5" customHeight="1">
      <c r="A675" s="99" t="s">
        <v>273</v>
      </c>
      <c r="B675" s="100"/>
      <c r="C675" s="101" t="s">
        <v>65</v>
      </c>
      <c r="D675" s="402" t="s">
        <v>484</v>
      </c>
      <c r="E675" s="403" t="s">
        <v>485</v>
      </c>
      <c r="F675" s="403">
        <v>72</v>
      </c>
      <c r="G675" s="404">
        <v>38807</v>
      </c>
      <c r="H675" s="404">
        <v>38841</v>
      </c>
      <c r="I675" s="405" t="s">
        <v>82</v>
      </c>
      <c r="J675" s="406">
        <v>450</v>
      </c>
      <c r="K675" s="407">
        <v>90</v>
      </c>
      <c r="L675" s="280">
        <v>540</v>
      </c>
      <c r="M675" s="408">
        <f>216/1.2</f>
        <v>180</v>
      </c>
      <c r="N675" s="68">
        <f t="shared" si="164"/>
        <v>36</v>
      </c>
      <c r="O675" s="255">
        <f t="shared" si="160"/>
        <v>216</v>
      </c>
      <c r="P675" s="63">
        <f t="shared" si="162"/>
        <v>117</v>
      </c>
      <c r="Q675" s="63">
        <f t="shared" si="163"/>
        <v>23.400000000000002</v>
      </c>
      <c r="R675" s="255">
        <f t="shared" si="161"/>
        <v>140.4</v>
      </c>
      <c r="S675" s="545" t="s">
        <v>316</v>
      </c>
      <c r="T675" s="546"/>
    </row>
    <row r="676" spans="1:20" s="401" customFormat="1" ht="24" customHeight="1">
      <c r="A676" s="99" t="s">
        <v>273</v>
      </c>
      <c r="B676" s="100"/>
      <c r="C676" s="101" t="s">
        <v>65</v>
      </c>
      <c r="D676" s="402" t="s">
        <v>491</v>
      </c>
      <c r="E676" s="403" t="s">
        <v>69</v>
      </c>
      <c r="F676" s="403">
        <v>207751</v>
      </c>
      <c r="G676" s="404">
        <v>38818</v>
      </c>
      <c r="H676" s="404">
        <v>38848</v>
      </c>
      <c r="I676" s="405" t="s">
        <v>70</v>
      </c>
      <c r="J676" s="406">
        <v>57.8</v>
      </c>
      <c r="K676" s="407">
        <v>11.56</v>
      </c>
      <c r="L676" s="280">
        <v>69.36</v>
      </c>
      <c r="M676" s="408">
        <f>27.744/1.2</f>
        <v>23.12</v>
      </c>
      <c r="N676" s="68">
        <f t="shared" si="164"/>
        <v>4.6240000000000006</v>
      </c>
      <c r="O676" s="255">
        <f t="shared" si="160"/>
        <v>27.744</v>
      </c>
      <c r="P676" s="63">
        <f t="shared" si="162"/>
        <v>15.028</v>
      </c>
      <c r="Q676" s="63">
        <f t="shared" si="163"/>
        <v>3.0056000000000003</v>
      </c>
      <c r="R676" s="255">
        <f t="shared" si="161"/>
        <v>18.0336</v>
      </c>
      <c r="S676" s="545" t="s">
        <v>316</v>
      </c>
      <c r="T676" s="546"/>
    </row>
    <row r="677" spans="1:20" s="401" customFormat="1" ht="24" customHeight="1">
      <c r="A677" s="99" t="s">
        <v>273</v>
      </c>
      <c r="B677" s="100"/>
      <c r="C677" s="101" t="s">
        <v>65</v>
      </c>
      <c r="D677" s="402" t="s">
        <v>484</v>
      </c>
      <c r="E677" s="403" t="s">
        <v>485</v>
      </c>
      <c r="F677" s="403">
        <v>102</v>
      </c>
      <c r="G677" s="404">
        <v>38835</v>
      </c>
      <c r="H677" s="404">
        <v>38852</v>
      </c>
      <c r="I677" s="405" t="s">
        <v>82</v>
      </c>
      <c r="J677" s="406">
        <v>450</v>
      </c>
      <c r="K677" s="407">
        <v>90</v>
      </c>
      <c r="L677" s="280">
        <v>540</v>
      </c>
      <c r="M677" s="408">
        <f>216/1.2</f>
        <v>180</v>
      </c>
      <c r="N677" s="68">
        <f t="shared" si="164"/>
        <v>36</v>
      </c>
      <c r="O677" s="255">
        <f t="shared" si="160"/>
        <v>216</v>
      </c>
      <c r="P677" s="63">
        <f t="shared" si="162"/>
        <v>117</v>
      </c>
      <c r="Q677" s="63">
        <f t="shared" si="163"/>
        <v>23.400000000000002</v>
      </c>
      <c r="R677" s="255">
        <f t="shared" si="161"/>
        <v>140.4</v>
      </c>
      <c r="S677" s="545" t="s">
        <v>316</v>
      </c>
      <c r="T677" s="546"/>
    </row>
    <row r="678" spans="1:20" ht="35.25" customHeight="1">
      <c r="A678" s="44" t="s">
        <v>273</v>
      </c>
      <c r="B678" s="8"/>
      <c r="C678" s="9" t="s">
        <v>65</v>
      </c>
      <c r="D678" s="13" t="s">
        <v>580</v>
      </c>
      <c r="E678" s="13" t="s">
        <v>581</v>
      </c>
      <c r="F678" s="9" t="s">
        <v>582</v>
      </c>
      <c r="G678" s="10">
        <v>38868</v>
      </c>
      <c r="H678" s="11">
        <v>38868</v>
      </c>
      <c r="I678" s="16" t="s">
        <v>329</v>
      </c>
      <c r="J678" s="12">
        <v>7700</v>
      </c>
      <c r="K678" s="12">
        <v>1540</v>
      </c>
      <c r="L678" s="263">
        <v>9240</v>
      </c>
      <c r="M678" s="12">
        <v>7700</v>
      </c>
      <c r="N678" s="12">
        <v>1540</v>
      </c>
      <c r="O678" s="263">
        <f t="shared" si="160"/>
        <v>9240</v>
      </c>
      <c r="P678" s="12">
        <f>+M678*0.65</f>
        <v>5005</v>
      </c>
      <c r="Q678" s="12">
        <f>+N678*0.65</f>
        <v>1001</v>
      </c>
      <c r="R678" s="263">
        <f t="shared" si="161"/>
        <v>6006</v>
      </c>
      <c r="S678" s="544" t="s">
        <v>598</v>
      </c>
      <c r="T678" s="544"/>
    </row>
    <row r="679" spans="1:20" s="401" customFormat="1" ht="23.25" customHeight="1">
      <c r="A679" s="99" t="s">
        <v>273</v>
      </c>
      <c r="B679" s="100"/>
      <c r="C679" s="101" t="s">
        <v>122</v>
      </c>
      <c r="D679" s="402" t="s">
        <v>492</v>
      </c>
      <c r="E679" s="403" t="s">
        <v>99</v>
      </c>
      <c r="F679" s="403" t="s">
        <v>493</v>
      </c>
      <c r="G679" s="404">
        <v>38510</v>
      </c>
      <c r="H679" s="404">
        <v>38548</v>
      </c>
      <c r="I679" s="405" t="s">
        <v>70</v>
      </c>
      <c r="J679" s="406">
        <v>354.2</v>
      </c>
      <c r="K679" s="407">
        <v>70.84</v>
      </c>
      <c r="L679" s="280">
        <v>425.04</v>
      </c>
      <c r="M679" s="68">
        <f>85.008/1.2</f>
        <v>70.84</v>
      </c>
      <c r="N679" s="68">
        <f>+M679*0.2</f>
        <v>14.168000000000001</v>
      </c>
      <c r="O679" s="255">
        <f t="shared" si="160"/>
        <v>85.00800000000001</v>
      </c>
      <c r="P679" s="63">
        <f aca="true" t="shared" si="165" ref="P679:P691">M679*0.65</f>
        <v>46.04600000000001</v>
      </c>
      <c r="Q679" s="63">
        <f aca="true" t="shared" si="166" ref="Q679:Q691">N679*0.65</f>
        <v>9.209200000000001</v>
      </c>
      <c r="R679" s="255">
        <f t="shared" si="161"/>
        <v>55.25520000000001</v>
      </c>
      <c r="S679" s="545" t="s">
        <v>316</v>
      </c>
      <c r="T679" s="546"/>
    </row>
    <row r="680" spans="1:20" s="401" customFormat="1" ht="22.5" customHeight="1">
      <c r="A680" s="99" t="s">
        <v>273</v>
      </c>
      <c r="B680" s="100"/>
      <c r="C680" s="101" t="s">
        <v>122</v>
      </c>
      <c r="D680" s="402" t="s">
        <v>494</v>
      </c>
      <c r="E680" s="403" t="s">
        <v>86</v>
      </c>
      <c r="F680" s="403" t="s">
        <v>495</v>
      </c>
      <c r="G680" s="404">
        <v>38657</v>
      </c>
      <c r="H680" s="404">
        <v>38657</v>
      </c>
      <c r="I680" s="405" t="s">
        <v>88</v>
      </c>
      <c r="J680" s="406">
        <v>516.86</v>
      </c>
      <c r="K680" s="407">
        <v>0</v>
      </c>
      <c r="L680" s="280">
        <v>516.86</v>
      </c>
      <c r="M680" s="68">
        <v>103.37200000000001</v>
      </c>
      <c r="N680" s="68"/>
      <c r="O680" s="255">
        <f t="shared" si="160"/>
        <v>103.37200000000001</v>
      </c>
      <c r="P680" s="63">
        <f t="shared" si="165"/>
        <v>67.19180000000001</v>
      </c>
      <c r="Q680" s="63">
        <f t="shared" si="166"/>
        <v>0</v>
      </c>
      <c r="R680" s="255">
        <f t="shared" si="161"/>
        <v>67.19180000000001</v>
      </c>
      <c r="S680" s="545" t="s">
        <v>316</v>
      </c>
      <c r="T680" s="546"/>
    </row>
    <row r="681" spans="1:20" s="401" customFormat="1" ht="22.5">
      <c r="A681" s="99" t="s">
        <v>273</v>
      </c>
      <c r="B681" s="100"/>
      <c r="C681" s="101" t="s">
        <v>122</v>
      </c>
      <c r="D681" s="402" t="s">
        <v>496</v>
      </c>
      <c r="E681" s="403" t="s">
        <v>92</v>
      </c>
      <c r="F681" s="403" t="s">
        <v>497</v>
      </c>
      <c r="G681" s="404">
        <v>38687</v>
      </c>
      <c r="H681" s="404">
        <v>38687</v>
      </c>
      <c r="I681" s="405"/>
      <c r="J681" s="406">
        <v>70</v>
      </c>
      <c r="K681" s="407">
        <v>14</v>
      </c>
      <c r="L681" s="280">
        <v>84</v>
      </c>
      <c r="M681" s="68"/>
      <c r="N681" s="68"/>
      <c r="O681" s="255">
        <f t="shared" si="160"/>
        <v>0</v>
      </c>
      <c r="P681" s="63">
        <f t="shared" si="165"/>
        <v>0</v>
      </c>
      <c r="Q681" s="63">
        <f t="shared" si="166"/>
        <v>0</v>
      </c>
      <c r="R681" s="255">
        <f t="shared" si="161"/>
        <v>0</v>
      </c>
      <c r="S681" s="545" t="s">
        <v>599</v>
      </c>
      <c r="T681" s="546"/>
    </row>
    <row r="682" spans="1:20" s="401" customFormat="1" ht="25.5" customHeight="1">
      <c r="A682" s="99" t="s">
        <v>273</v>
      </c>
      <c r="B682" s="100"/>
      <c r="C682" s="101" t="s">
        <v>122</v>
      </c>
      <c r="D682" s="402" t="s">
        <v>498</v>
      </c>
      <c r="E682" s="403" t="s">
        <v>86</v>
      </c>
      <c r="F682" s="403" t="s">
        <v>87</v>
      </c>
      <c r="G682" s="404">
        <v>38687</v>
      </c>
      <c r="H682" s="404">
        <v>38687</v>
      </c>
      <c r="I682" s="405" t="s">
        <v>88</v>
      </c>
      <c r="J682" s="406">
        <v>516.86</v>
      </c>
      <c r="K682" s="407">
        <v>0</v>
      </c>
      <c r="L682" s="280">
        <v>516.86</v>
      </c>
      <c r="M682" s="68">
        <v>103.37200000000001</v>
      </c>
      <c r="N682" s="68"/>
      <c r="O682" s="255">
        <f t="shared" si="160"/>
        <v>103.37200000000001</v>
      </c>
      <c r="P682" s="63">
        <f t="shared" si="165"/>
        <v>67.19180000000001</v>
      </c>
      <c r="Q682" s="63">
        <f t="shared" si="166"/>
        <v>0</v>
      </c>
      <c r="R682" s="255">
        <f t="shared" si="161"/>
        <v>67.19180000000001</v>
      </c>
      <c r="S682" s="545" t="s">
        <v>316</v>
      </c>
      <c r="T682" s="546"/>
    </row>
    <row r="683" spans="1:20" s="401" customFormat="1" ht="22.5">
      <c r="A683" s="99" t="s">
        <v>273</v>
      </c>
      <c r="B683" s="100"/>
      <c r="C683" s="101" t="s">
        <v>122</v>
      </c>
      <c r="D683" s="402" t="s">
        <v>499</v>
      </c>
      <c r="E683" s="403" t="s">
        <v>73</v>
      </c>
      <c r="F683" s="403" t="s">
        <v>500</v>
      </c>
      <c r="G683" s="404">
        <v>38702</v>
      </c>
      <c r="H683" s="404">
        <v>38722</v>
      </c>
      <c r="I683" s="405" t="s">
        <v>70</v>
      </c>
      <c r="J683" s="406">
        <v>51.08</v>
      </c>
      <c r="K683" s="407">
        <v>10.216000000000001</v>
      </c>
      <c r="L683" s="280">
        <v>61.296</v>
      </c>
      <c r="M683" s="68">
        <f>12.2592/1.2</f>
        <v>10.216000000000001</v>
      </c>
      <c r="N683" s="68">
        <f aca="true" t="shared" si="167" ref="N683:N691">+M683*0.2</f>
        <v>2.0432</v>
      </c>
      <c r="O683" s="255">
        <f t="shared" si="160"/>
        <v>12.259200000000002</v>
      </c>
      <c r="P683" s="63">
        <f t="shared" si="165"/>
        <v>6.6404000000000005</v>
      </c>
      <c r="Q683" s="63">
        <f t="shared" si="166"/>
        <v>1.3280800000000001</v>
      </c>
      <c r="R683" s="255">
        <f t="shared" si="161"/>
        <v>7.9684800000000005</v>
      </c>
      <c r="S683" s="545" t="s">
        <v>316</v>
      </c>
      <c r="T683" s="546"/>
    </row>
    <row r="684" spans="1:20" s="401" customFormat="1" ht="24.75" customHeight="1">
      <c r="A684" s="99" t="s">
        <v>273</v>
      </c>
      <c r="B684" s="100"/>
      <c r="C684" s="101" t="s">
        <v>122</v>
      </c>
      <c r="D684" s="402" t="s">
        <v>501</v>
      </c>
      <c r="E684" s="403" t="s">
        <v>99</v>
      </c>
      <c r="F684" s="403" t="s">
        <v>502</v>
      </c>
      <c r="G684" s="404">
        <v>38692</v>
      </c>
      <c r="H684" s="404">
        <v>38730</v>
      </c>
      <c r="I684" s="405" t="s">
        <v>70</v>
      </c>
      <c r="J684" s="406">
        <v>491.2</v>
      </c>
      <c r="K684" s="407">
        <v>98.24</v>
      </c>
      <c r="L684" s="280">
        <v>589.44</v>
      </c>
      <c r="M684" s="68">
        <f>117.888/1.2</f>
        <v>98.24000000000001</v>
      </c>
      <c r="N684" s="68">
        <f t="shared" si="167"/>
        <v>19.648000000000003</v>
      </c>
      <c r="O684" s="255">
        <f t="shared" si="160"/>
        <v>117.888</v>
      </c>
      <c r="P684" s="63">
        <f t="shared" si="165"/>
        <v>63.85600000000001</v>
      </c>
      <c r="Q684" s="63">
        <f t="shared" si="166"/>
        <v>12.771200000000002</v>
      </c>
      <c r="R684" s="255">
        <f t="shared" si="161"/>
        <v>76.62720000000002</v>
      </c>
      <c r="S684" s="545" t="s">
        <v>316</v>
      </c>
      <c r="T684" s="546"/>
    </row>
    <row r="685" spans="1:20" s="401" customFormat="1" ht="21" customHeight="1">
      <c r="A685" s="99" t="s">
        <v>273</v>
      </c>
      <c r="B685" s="100"/>
      <c r="C685" s="101" t="s">
        <v>122</v>
      </c>
      <c r="D685" s="402" t="s">
        <v>503</v>
      </c>
      <c r="E685" s="403" t="s">
        <v>106</v>
      </c>
      <c r="F685" s="403" t="s">
        <v>504</v>
      </c>
      <c r="G685" s="404">
        <v>38747</v>
      </c>
      <c r="H685" s="404">
        <v>38747</v>
      </c>
      <c r="I685" s="405" t="s">
        <v>88</v>
      </c>
      <c r="J685" s="406">
        <v>516.86</v>
      </c>
      <c r="K685" s="407">
        <v>0</v>
      </c>
      <c r="L685" s="280">
        <v>516.86</v>
      </c>
      <c r="M685" s="68">
        <f>103.372/1.2</f>
        <v>86.14333333333333</v>
      </c>
      <c r="N685" s="68">
        <f t="shared" si="167"/>
        <v>17.228666666666665</v>
      </c>
      <c r="O685" s="255">
        <f t="shared" si="160"/>
        <v>103.372</v>
      </c>
      <c r="P685" s="63">
        <f t="shared" si="165"/>
        <v>55.99316666666667</v>
      </c>
      <c r="Q685" s="63">
        <f t="shared" si="166"/>
        <v>11.198633333333333</v>
      </c>
      <c r="R685" s="255">
        <f t="shared" si="161"/>
        <v>67.1918</v>
      </c>
      <c r="S685" s="545" t="s">
        <v>316</v>
      </c>
      <c r="T685" s="546"/>
    </row>
    <row r="686" spans="1:20" s="401" customFormat="1" ht="21" customHeight="1">
      <c r="A686" s="99" t="s">
        <v>273</v>
      </c>
      <c r="B686" s="100"/>
      <c r="C686" s="101" t="s">
        <v>122</v>
      </c>
      <c r="D686" s="402" t="s">
        <v>505</v>
      </c>
      <c r="E686" s="403" t="s">
        <v>106</v>
      </c>
      <c r="F686" s="403" t="s">
        <v>506</v>
      </c>
      <c r="G686" s="404">
        <v>38776</v>
      </c>
      <c r="H686" s="404">
        <v>38776</v>
      </c>
      <c r="I686" s="405" t="s">
        <v>88</v>
      </c>
      <c r="J686" s="406">
        <v>516.86</v>
      </c>
      <c r="K686" s="407">
        <v>0</v>
      </c>
      <c r="L686" s="280">
        <v>516.86</v>
      </c>
      <c r="M686" s="68">
        <f>103.372/1.2</f>
        <v>86.14333333333333</v>
      </c>
      <c r="N686" s="68">
        <f t="shared" si="167"/>
        <v>17.228666666666665</v>
      </c>
      <c r="O686" s="255">
        <f t="shared" si="160"/>
        <v>103.372</v>
      </c>
      <c r="P686" s="63">
        <f t="shared" si="165"/>
        <v>55.99316666666667</v>
      </c>
      <c r="Q686" s="63">
        <f t="shared" si="166"/>
        <v>11.198633333333333</v>
      </c>
      <c r="R686" s="255">
        <f t="shared" si="161"/>
        <v>67.1918</v>
      </c>
      <c r="S686" s="545" t="s">
        <v>316</v>
      </c>
      <c r="T686" s="546"/>
    </row>
    <row r="687" spans="1:20" s="401" customFormat="1" ht="22.5">
      <c r="A687" s="99" t="s">
        <v>273</v>
      </c>
      <c r="B687" s="100"/>
      <c r="C687" s="101" t="s">
        <v>122</v>
      </c>
      <c r="D687" s="402" t="s">
        <v>507</v>
      </c>
      <c r="E687" s="403" t="s">
        <v>73</v>
      </c>
      <c r="F687" s="403" t="s">
        <v>508</v>
      </c>
      <c r="G687" s="404">
        <v>38765</v>
      </c>
      <c r="H687" s="404">
        <v>38785</v>
      </c>
      <c r="I687" s="405" t="s">
        <v>70</v>
      </c>
      <c r="J687" s="406">
        <v>51.3</v>
      </c>
      <c r="K687" s="407">
        <v>10.26</v>
      </c>
      <c r="L687" s="280">
        <v>61.56</v>
      </c>
      <c r="M687" s="68">
        <f>12.312/1.2</f>
        <v>10.26</v>
      </c>
      <c r="N687" s="68">
        <f t="shared" si="167"/>
        <v>2.052</v>
      </c>
      <c r="O687" s="255">
        <f t="shared" si="160"/>
        <v>12.312</v>
      </c>
      <c r="P687" s="63">
        <f t="shared" si="165"/>
        <v>6.6690000000000005</v>
      </c>
      <c r="Q687" s="63">
        <f t="shared" si="166"/>
        <v>1.3338</v>
      </c>
      <c r="R687" s="255">
        <f t="shared" si="161"/>
        <v>8.0028</v>
      </c>
      <c r="S687" s="545" t="s">
        <v>316</v>
      </c>
      <c r="T687" s="546"/>
    </row>
    <row r="688" spans="1:20" s="401" customFormat="1" ht="21" customHeight="1">
      <c r="A688" s="99" t="s">
        <v>273</v>
      </c>
      <c r="B688" s="100"/>
      <c r="C688" s="101" t="s">
        <v>122</v>
      </c>
      <c r="D688" s="402" t="s">
        <v>509</v>
      </c>
      <c r="E688" s="403" t="s">
        <v>106</v>
      </c>
      <c r="F688" s="403" t="s">
        <v>510</v>
      </c>
      <c r="G688" s="404">
        <v>38807</v>
      </c>
      <c r="H688" s="404">
        <v>38807</v>
      </c>
      <c r="I688" s="405" t="s">
        <v>88</v>
      </c>
      <c r="J688" s="406">
        <v>516.86</v>
      </c>
      <c r="K688" s="407">
        <v>0</v>
      </c>
      <c r="L688" s="280">
        <v>516.86</v>
      </c>
      <c r="M688" s="68">
        <f>103.372/1.2</f>
        <v>86.14333333333333</v>
      </c>
      <c r="N688" s="68">
        <f t="shared" si="167"/>
        <v>17.228666666666665</v>
      </c>
      <c r="O688" s="255">
        <f t="shared" si="160"/>
        <v>103.372</v>
      </c>
      <c r="P688" s="63">
        <f t="shared" si="165"/>
        <v>55.99316666666667</v>
      </c>
      <c r="Q688" s="63">
        <f t="shared" si="166"/>
        <v>11.198633333333333</v>
      </c>
      <c r="R688" s="255">
        <f t="shared" si="161"/>
        <v>67.1918</v>
      </c>
      <c r="S688" s="545" t="s">
        <v>316</v>
      </c>
      <c r="T688" s="546"/>
    </row>
    <row r="689" spans="1:20" s="401" customFormat="1" ht="23.25" customHeight="1">
      <c r="A689" s="99" t="s">
        <v>273</v>
      </c>
      <c r="B689" s="100"/>
      <c r="C689" s="101" t="s">
        <v>122</v>
      </c>
      <c r="D689" s="402" t="s">
        <v>511</v>
      </c>
      <c r="E689" s="403" t="s">
        <v>106</v>
      </c>
      <c r="F689" s="403" t="s">
        <v>512</v>
      </c>
      <c r="G689" s="404">
        <v>38837</v>
      </c>
      <c r="H689" s="404">
        <v>38837</v>
      </c>
      <c r="I689" s="405" t="s">
        <v>88</v>
      </c>
      <c r="J689" s="406">
        <v>516.86</v>
      </c>
      <c r="K689" s="407">
        <v>0</v>
      </c>
      <c r="L689" s="280">
        <v>516.86</v>
      </c>
      <c r="M689" s="68">
        <f>103.372/1.2</f>
        <v>86.14333333333333</v>
      </c>
      <c r="N689" s="68">
        <f t="shared" si="167"/>
        <v>17.228666666666665</v>
      </c>
      <c r="O689" s="255">
        <f t="shared" si="160"/>
        <v>103.372</v>
      </c>
      <c r="P689" s="63">
        <f t="shared" si="165"/>
        <v>55.99316666666667</v>
      </c>
      <c r="Q689" s="63">
        <f t="shared" si="166"/>
        <v>11.198633333333333</v>
      </c>
      <c r="R689" s="255">
        <f t="shared" si="161"/>
        <v>67.1918</v>
      </c>
      <c r="S689" s="545" t="s">
        <v>316</v>
      </c>
      <c r="T689" s="546"/>
    </row>
    <row r="690" spans="1:20" s="401" customFormat="1" ht="22.5">
      <c r="A690" s="99" t="s">
        <v>273</v>
      </c>
      <c r="B690" s="100"/>
      <c r="C690" s="101" t="s">
        <v>122</v>
      </c>
      <c r="D690" s="402" t="s">
        <v>499</v>
      </c>
      <c r="E690" s="403" t="s">
        <v>73</v>
      </c>
      <c r="F690" s="403" t="s">
        <v>513</v>
      </c>
      <c r="G690" s="404">
        <v>38826</v>
      </c>
      <c r="H690" s="404">
        <v>38846</v>
      </c>
      <c r="I690" s="405" t="s">
        <v>70</v>
      </c>
      <c r="J690" s="406">
        <v>48.62</v>
      </c>
      <c r="K690" s="407">
        <v>9.724</v>
      </c>
      <c r="L690" s="280">
        <v>58.343999999999994</v>
      </c>
      <c r="M690" s="68">
        <f>11.6688/1.2</f>
        <v>9.724</v>
      </c>
      <c r="N690" s="68">
        <f t="shared" si="167"/>
        <v>1.9448</v>
      </c>
      <c r="O690" s="255">
        <f t="shared" si="160"/>
        <v>11.668800000000001</v>
      </c>
      <c r="P690" s="63">
        <f t="shared" si="165"/>
        <v>6.320600000000001</v>
      </c>
      <c r="Q690" s="63">
        <f t="shared" si="166"/>
        <v>1.2641200000000001</v>
      </c>
      <c r="R690" s="255">
        <f t="shared" si="161"/>
        <v>7.584720000000001</v>
      </c>
      <c r="S690" s="545" t="s">
        <v>316</v>
      </c>
      <c r="T690" s="546"/>
    </row>
    <row r="691" spans="1:20" s="401" customFormat="1" ht="26.25" customHeight="1">
      <c r="A691" s="99" t="s">
        <v>273</v>
      </c>
      <c r="B691" s="100"/>
      <c r="C691" s="101" t="s">
        <v>122</v>
      </c>
      <c r="D691" s="402" t="s">
        <v>514</v>
      </c>
      <c r="E691" s="403" t="s">
        <v>99</v>
      </c>
      <c r="F691" s="403" t="s">
        <v>515</v>
      </c>
      <c r="G691" s="404">
        <v>38813</v>
      </c>
      <c r="H691" s="404">
        <v>38852</v>
      </c>
      <c r="I691" s="405" t="s">
        <v>70</v>
      </c>
      <c r="J691" s="406">
        <v>366.25</v>
      </c>
      <c r="K691" s="407">
        <v>73.25</v>
      </c>
      <c r="L691" s="280">
        <v>439.5</v>
      </c>
      <c r="M691" s="68">
        <f>87.9/1.2</f>
        <v>73.25000000000001</v>
      </c>
      <c r="N691" s="68">
        <f t="shared" si="167"/>
        <v>14.650000000000004</v>
      </c>
      <c r="O691" s="255">
        <f t="shared" si="160"/>
        <v>87.90000000000002</v>
      </c>
      <c r="P691" s="63">
        <f t="shared" si="165"/>
        <v>47.61250000000001</v>
      </c>
      <c r="Q691" s="63">
        <f t="shared" si="166"/>
        <v>9.522500000000003</v>
      </c>
      <c r="R691" s="255">
        <f t="shared" si="161"/>
        <v>57.13500000000001</v>
      </c>
      <c r="S691" s="545" t="s">
        <v>316</v>
      </c>
      <c r="T691" s="546"/>
    </row>
    <row r="692" spans="1:20" s="401" customFormat="1" ht="23.25" customHeight="1">
      <c r="A692" s="99" t="s">
        <v>273</v>
      </c>
      <c r="B692" s="100"/>
      <c r="C692" s="101" t="s">
        <v>122</v>
      </c>
      <c r="D692" s="402" t="s">
        <v>516</v>
      </c>
      <c r="E692" s="403" t="s">
        <v>517</v>
      </c>
      <c r="F692" s="403" t="s">
        <v>518</v>
      </c>
      <c r="G692" s="404">
        <v>38915</v>
      </c>
      <c r="H692" s="404">
        <v>38854</v>
      </c>
      <c r="I692" s="405"/>
      <c r="J692" s="406">
        <v>108.3</v>
      </c>
      <c r="K692" s="407">
        <v>21.66</v>
      </c>
      <c r="L692" s="280">
        <v>129.96</v>
      </c>
      <c r="M692" s="68"/>
      <c r="N692" s="68"/>
      <c r="O692" s="255"/>
      <c r="P692" s="68"/>
      <c r="Q692" s="68"/>
      <c r="R692" s="255"/>
      <c r="S692" s="545" t="s">
        <v>600</v>
      </c>
      <c r="T692" s="546"/>
    </row>
    <row r="693" spans="1:20" s="401" customFormat="1" ht="23.25" customHeight="1">
      <c r="A693" s="99" t="s">
        <v>273</v>
      </c>
      <c r="B693" s="100"/>
      <c r="C693" s="101" t="s">
        <v>122</v>
      </c>
      <c r="D693" s="402" t="s">
        <v>519</v>
      </c>
      <c r="E693" s="403" t="s">
        <v>106</v>
      </c>
      <c r="F693" s="403" t="s">
        <v>520</v>
      </c>
      <c r="G693" s="404">
        <v>38867</v>
      </c>
      <c r="H693" s="404">
        <v>38867</v>
      </c>
      <c r="I693" s="405" t="s">
        <v>88</v>
      </c>
      <c r="J693" s="406">
        <v>516.86</v>
      </c>
      <c r="K693" s="407">
        <v>0</v>
      </c>
      <c r="L693" s="280">
        <v>516.86</v>
      </c>
      <c r="M693" s="68">
        <f>103.372/1.2</f>
        <v>86.14333333333333</v>
      </c>
      <c r="N693" s="68">
        <f>+M693*0.2</f>
        <v>17.228666666666665</v>
      </c>
      <c r="O693" s="255">
        <f>+N693+M693</f>
        <v>103.372</v>
      </c>
      <c r="P693" s="63">
        <f aca="true" t="shared" si="168" ref="P693:Q695">M693*0.65</f>
        <v>55.99316666666667</v>
      </c>
      <c r="Q693" s="63">
        <f t="shared" si="168"/>
        <v>11.198633333333333</v>
      </c>
      <c r="R693" s="255">
        <f>+Q693+P693</f>
        <v>67.1918</v>
      </c>
      <c r="S693" s="545" t="s">
        <v>316</v>
      </c>
      <c r="T693" s="546"/>
    </row>
    <row r="694" spans="1:20" s="401" customFormat="1" ht="25.5" customHeight="1">
      <c r="A694" s="99" t="s">
        <v>273</v>
      </c>
      <c r="B694" s="100"/>
      <c r="C694" s="101" t="s">
        <v>122</v>
      </c>
      <c r="D694" s="402" t="s">
        <v>521</v>
      </c>
      <c r="E694" s="403" t="s">
        <v>116</v>
      </c>
      <c r="F694" s="403">
        <v>64557</v>
      </c>
      <c r="G694" s="404">
        <v>38686</v>
      </c>
      <c r="H694" s="404"/>
      <c r="I694" s="405" t="s">
        <v>78</v>
      </c>
      <c r="J694" s="406">
        <v>79.16</v>
      </c>
      <c r="K694" s="407">
        <v>15.832</v>
      </c>
      <c r="L694" s="280">
        <v>94.99199999999999</v>
      </c>
      <c r="M694" s="406">
        <v>79.16</v>
      </c>
      <c r="N694" s="407">
        <v>15.832</v>
      </c>
      <c r="O694" s="280">
        <v>94.99199999999999</v>
      </c>
      <c r="P694" s="63">
        <f t="shared" si="168"/>
        <v>51.454</v>
      </c>
      <c r="Q694" s="63">
        <f t="shared" si="168"/>
        <v>10.2908</v>
      </c>
      <c r="R694" s="255">
        <f>+Q694+P694</f>
        <v>61.7448</v>
      </c>
      <c r="S694" s="545" t="s">
        <v>316</v>
      </c>
      <c r="T694" s="546"/>
    </row>
    <row r="695" spans="1:20" s="401" customFormat="1" ht="21.75" customHeight="1">
      <c r="A695" s="99" t="s">
        <v>273</v>
      </c>
      <c r="B695" s="100"/>
      <c r="C695" s="101" t="s">
        <v>122</v>
      </c>
      <c r="D695" s="402" t="s">
        <v>522</v>
      </c>
      <c r="E695" s="403" t="s">
        <v>116</v>
      </c>
      <c r="F695" s="403" t="s">
        <v>523</v>
      </c>
      <c r="G695" s="404">
        <v>38765</v>
      </c>
      <c r="H695" s="404"/>
      <c r="I695" s="405" t="s">
        <v>78</v>
      </c>
      <c r="J695" s="406">
        <v>492.1</v>
      </c>
      <c r="K695" s="407">
        <v>98.42</v>
      </c>
      <c r="L695" s="280">
        <v>590.52</v>
      </c>
      <c r="M695" s="406">
        <v>492.1</v>
      </c>
      <c r="N695" s="407">
        <v>98.42</v>
      </c>
      <c r="O695" s="280">
        <v>590.52</v>
      </c>
      <c r="P695" s="63">
        <f t="shared" si="168"/>
        <v>319.865</v>
      </c>
      <c r="Q695" s="63">
        <f t="shared" si="168"/>
        <v>63.973000000000006</v>
      </c>
      <c r="R695" s="255">
        <f>+Q695+P695</f>
        <v>383.838</v>
      </c>
      <c r="S695" s="545" t="s">
        <v>316</v>
      </c>
      <c r="T695" s="546"/>
    </row>
    <row r="696" spans="1:20" s="401" customFormat="1" ht="11.25">
      <c r="A696" s="99" t="s">
        <v>273</v>
      </c>
      <c r="B696" s="100"/>
      <c r="C696" s="101" t="s">
        <v>122</v>
      </c>
      <c r="D696" s="402" t="s">
        <v>524</v>
      </c>
      <c r="E696" s="403" t="s">
        <v>99</v>
      </c>
      <c r="F696" s="403" t="s">
        <v>525</v>
      </c>
      <c r="G696" s="404">
        <v>38754</v>
      </c>
      <c r="H696" s="404"/>
      <c r="I696" s="405" t="s">
        <v>70</v>
      </c>
      <c r="J696" s="406">
        <v>419.58</v>
      </c>
      <c r="K696" s="407">
        <v>83.916</v>
      </c>
      <c r="L696" s="280">
        <v>503.496</v>
      </c>
      <c r="M696" s="68"/>
      <c r="N696" s="68"/>
      <c r="O696" s="255"/>
      <c r="P696" s="68"/>
      <c r="Q696" s="68"/>
      <c r="R696" s="255"/>
      <c r="S696" s="545" t="s">
        <v>601</v>
      </c>
      <c r="T696" s="546"/>
    </row>
    <row r="697" spans="1:20" s="401" customFormat="1" ht="22.5" customHeight="1">
      <c r="A697" s="99" t="s">
        <v>273</v>
      </c>
      <c r="B697" s="100"/>
      <c r="C697" s="101" t="s">
        <v>152</v>
      </c>
      <c r="D697" s="402" t="s">
        <v>526</v>
      </c>
      <c r="E697" s="403" t="s">
        <v>155</v>
      </c>
      <c r="F697" s="403" t="s">
        <v>527</v>
      </c>
      <c r="G697" s="404">
        <v>38394</v>
      </c>
      <c r="H697" s="404">
        <v>38496</v>
      </c>
      <c r="I697" s="405" t="s">
        <v>157</v>
      </c>
      <c r="J697" s="406">
        <v>100.78</v>
      </c>
      <c r="K697" s="407">
        <v>20.16</v>
      </c>
      <c r="L697" s="280">
        <v>120.94</v>
      </c>
      <c r="M697" s="68">
        <f>21.7692/1.2</f>
        <v>18.141000000000002</v>
      </c>
      <c r="N697" s="68">
        <f>+M697*0.2</f>
        <v>3.6282000000000005</v>
      </c>
      <c r="O697" s="255">
        <f>+N697+M697</f>
        <v>21.7692</v>
      </c>
      <c r="P697" s="63">
        <f>M697*0.65</f>
        <v>11.791650000000002</v>
      </c>
      <c r="Q697" s="63">
        <f>N697*0.65</f>
        <v>2.3583300000000005</v>
      </c>
      <c r="R697" s="255">
        <f>+Q697+P697</f>
        <v>14.149980000000003</v>
      </c>
      <c r="S697" s="545" t="s">
        <v>316</v>
      </c>
      <c r="T697" s="546"/>
    </row>
    <row r="698" spans="1:20" s="401" customFormat="1" ht="22.5" customHeight="1">
      <c r="A698" s="99" t="s">
        <v>273</v>
      </c>
      <c r="B698" s="100"/>
      <c r="C698" s="101" t="s">
        <v>152</v>
      </c>
      <c r="D698" s="402" t="s">
        <v>528</v>
      </c>
      <c r="E698" s="403" t="s">
        <v>172</v>
      </c>
      <c r="F698" s="403">
        <v>876</v>
      </c>
      <c r="G698" s="404">
        <v>38656</v>
      </c>
      <c r="H698" s="404">
        <v>38667</v>
      </c>
      <c r="I698" s="405" t="s">
        <v>173</v>
      </c>
      <c r="J698" s="406">
        <v>136</v>
      </c>
      <c r="K698" s="407">
        <v>27.2</v>
      </c>
      <c r="L698" s="280">
        <v>163.2</v>
      </c>
      <c r="M698" s="68"/>
      <c r="N698" s="68"/>
      <c r="O698" s="255"/>
      <c r="P698" s="68"/>
      <c r="Q698" s="68"/>
      <c r="R698" s="255"/>
      <c r="S698" s="541" t="s">
        <v>467</v>
      </c>
      <c r="T698" s="541"/>
    </row>
    <row r="699" spans="1:20" s="401" customFormat="1" ht="24" customHeight="1">
      <c r="A699" s="99" t="s">
        <v>273</v>
      </c>
      <c r="B699" s="100"/>
      <c r="C699" s="101" t="s">
        <v>152</v>
      </c>
      <c r="D699" s="402" t="s">
        <v>529</v>
      </c>
      <c r="E699" s="403" t="s">
        <v>155</v>
      </c>
      <c r="F699" s="403" t="s">
        <v>527</v>
      </c>
      <c r="G699" s="404">
        <v>38553</v>
      </c>
      <c r="H699" s="404">
        <v>38695</v>
      </c>
      <c r="I699" s="405" t="s">
        <v>157</v>
      </c>
      <c r="J699" s="406">
        <v>1058.74</v>
      </c>
      <c r="K699" s="407">
        <v>211.75</v>
      </c>
      <c r="L699" s="280">
        <v>1270.49</v>
      </c>
      <c r="M699" s="68">
        <f>228.6882/1.2</f>
        <v>190.5735</v>
      </c>
      <c r="N699" s="68">
        <f>+M699*0.2</f>
        <v>38.1147</v>
      </c>
      <c r="O699" s="255">
        <f>+N699+M699</f>
        <v>228.6882</v>
      </c>
      <c r="P699" s="63">
        <f aca="true" t="shared" si="169" ref="P699:Q701">M699*0.65</f>
        <v>123.872775</v>
      </c>
      <c r="Q699" s="63">
        <f t="shared" si="169"/>
        <v>24.774555</v>
      </c>
      <c r="R699" s="255">
        <f>+Q699+P699</f>
        <v>148.64733</v>
      </c>
      <c r="S699" s="545" t="s">
        <v>316</v>
      </c>
      <c r="T699" s="546"/>
    </row>
    <row r="700" spans="1:20" s="401" customFormat="1" ht="11.25">
      <c r="A700" s="99" t="s">
        <v>273</v>
      </c>
      <c r="B700" s="100"/>
      <c r="C700" s="101" t="s">
        <v>152</v>
      </c>
      <c r="D700" s="402" t="s">
        <v>181</v>
      </c>
      <c r="E700" s="403" t="s">
        <v>182</v>
      </c>
      <c r="F700" s="403">
        <v>93376</v>
      </c>
      <c r="G700" s="404">
        <v>38665</v>
      </c>
      <c r="H700" s="404">
        <v>38699</v>
      </c>
      <c r="I700" s="405" t="s">
        <v>183</v>
      </c>
      <c r="J700" s="406">
        <v>119.95</v>
      </c>
      <c r="K700" s="407">
        <v>23.99</v>
      </c>
      <c r="L700" s="280">
        <v>144</v>
      </c>
      <c r="M700" s="68">
        <f>17.28/1.2</f>
        <v>14.400000000000002</v>
      </c>
      <c r="N700" s="68">
        <f>+M700*0.2</f>
        <v>2.880000000000001</v>
      </c>
      <c r="O700" s="255">
        <f>+N700+M700</f>
        <v>17.28</v>
      </c>
      <c r="P700" s="63">
        <f t="shared" si="169"/>
        <v>9.360000000000001</v>
      </c>
      <c r="Q700" s="63">
        <f t="shared" si="169"/>
        <v>1.8720000000000006</v>
      </c>
      <c r="R700" s="255">
        <f>+Q700+P700</f>
        <v>11.232000000000001</v>
      </c>
      <c r="S700" s="398"/>
      <c r="T700" s="399"/>
    </row>
    <row r="701" spans="1:20" s="401" customFormat="1" ht="11.25">
      <c r="A701" s="99" t="s">
        <v>273</v>
      </c>
      <c r="B701" s="100"/>
      <c r="C701" s="101" t="s">
        <v>152</v>
      </c>
      <c r="D701" s="402" t="s">
        <v>181</v>
      </c>
      <c r="E701" s="403" t="s">
        <v>182</v>
      </c>
      <c r="F701" s="403">
        <v>95429</v>
      </c>
      <c r="G701" s="404">
        <v>38665</v>
      </c>
      <c r="H701" s="404">
        <v>38699</v>
      </c>
      <c r="I701" s="405" t="s">
        <v>183</v>
      </c>
      <c r="J701" s="406">
        <v>562.9166666666667</v>
      </c>
      <c r="K701" s="407">
        <v>112.58333333333336</v>
      </c>
      <c r="L701" s="280">
        <v>675.5</v>
      </c>
      <c r="M701" s="68">
        <f>81.06/1.2</f>
        <v>67.55000000000001</v>
      </c>
      <c r="N701" s="68">
        <f>+M701*0.2</f>
        <v>13.510000000000003</v>
      </c>
      <c r="O701" s="255">
        <f>+N701+M701</f>
        <v>81.06000000000002</v>
      </c>
      <c r="P701" s="63">
        <f t="shared" si="169"/>
        <v>43.907500000000006</v>
      </c>
      <c r="Q701" s="63">
        <f t="shared" si="169"/>
        <v>8.781500000000003</v>
      </c>
      <c r="R701" s="255">
        <f>+Q701+P701</f>
        <v>52.68900000000001</v>
      </c>
      <c r="S701" s="398"/>
      <c r="T701" s="399"/>
    </row>
    <row r="702" spans="1:20" s="401" customFormat="1" ht="24" customHeight="1">
      <c r="A702" s="99" t="s">
        <v>273</v>
      </c>
      <c r="B702" s="100"/>
      <c r="C702" s="101" t="s">
        <v>152</v>
      </c>
      <c r="D702" s="402" t="s">
        <v>530</v>
      </c>
      <c r="E702" s="403" t="s">
        <v>172</v>
      </c>
      <c r="F702" s="403">
        <v>939</v>
      </c>
      <c r="G702" s="404">
        <v>38686</v>
      </c>
      <c r="H702" s="404">
        <v>38701</v>
      </c>
      <c r="I702" s="405" t="s">
        <v>173</v>
      </c>
      <c r="J702" s="406">
        <v>136</v>
      </c>
      <c r="K702" s="407">
        <v>27.2</v>
      </c>
      <c r="L702" s="280">
        <v>163.2</v>
      </c>
      <c r="M702" s="68"/>
      <c r="N702" s="68"/>
      <c r="O702" s="255"/>
      <c r="P702" s="68"/>
      <c r="Q702" s="68"/>
      <c r="R702" s="255"/>
      <c r="S702" s="541" t="s">
        <v>467</v>
      </c>
      <c r="T702" s="541"/>
    </row>
    <row r="703" spans="1:20" s="401" customFormat="1" ht="11.25">
      <c r="A703" s="99" t="s">
        <v>273</v>
      </c>
      <c r="B703" s="100"/>
      <c r="C703" s="101" t="s">
        <v>152</v>
      </c>
      <c r="D703" s="402" t="s">
        <v>177</v>
      </c>
      <c r="E703" s="403" t="s">
        <v>178</v>
      </c>
      <c r="F703" s="403">
        <v>45028</v>
      </c>
      <c r="G703" s="404">
        <v>38688</v>
      </c>
      <c r="H703" s="404">
        <v>38708</v>
      </c>
      <c r="I703" s="405" t="s">
        <v>179</v>
      </c>
      <c r="J703" s="406">
        <v>156.71</v>
      </c>
      <c r="K703" s="407">
        <v>31.34</v>
      </c>
      <c r="L703" s="280">
        <v>188.05</v>
      </c>
      <c r="M703" s="68">
        <f>22.566/1.2</f>
        <v>18.805</v>
      </c>
      <c r="N703" s="68">
        <f>+M703*0.2</f>
        <v>3.761</v>
      </c>
      <c r="O703" s="255">
        <f>+N703+M703</f>
        <v>22.566</v>
      </c>
      <c r="P703" s="63">
        <f aca="true" t="shared" si="170" ref="P703:Q705">M703*0.65</f>
        <v>12.22325</v>
      </c>
      <c r="Q703" s="63">
        <f t="shared" si="170"/>
        <v>2.44465</v>
      </c>
      <c r="R703" s="255">
        <f>+Q703+P703</f>
        <v>14.6679</v>
      </c>
      <c r="S703" s="545"/>
      <c r="T703" s="546"/>
    </row>
    <row r="704" spans="1:20" s="401" customFormat="1" ht="22.5" customHeight="1">
      <c r="A704" s="99" t="s">
        <v>273</v>
      </c>
      <c r="B704" s="100"/>
      <c r="C704" s="101" t="s">
        <v>152</v>
      </c>
      <c r="D704" s="402" t="s">
        <v>531</v>
      </c>
      <c r="E704" s="403" t="s">
        <v>155</v>
      </c>
      <c r="F704" s="403" t="s">
        <v>532</v>
      </c>
      <c r="G704" s="404">
        <v>38624</v>
      </c>
      <c r="H704" s="404">
        <v>38709</v>
      </c>
      <c r="I704" s="405" t="s">
        <v>157</v>
      </c>
      <c r="J704" s="406">
        <v>1058.74</v>
      </c>
      <c r="K704" s="407">
        <v>211.75</v>
      </c>
      <c r="L704" s="280">
        <v>1270.49</v>
      </c>
      <c r="M704" s="68">
        <f>228.6882/1.2</f>
        <v>190.5735</v>
      </c>
      <c r="N704" s="68">
        <f>+M704*0.2</f>
        <v>38.1147</v>
      </c>
      <c r="O704" s="255">
        <f>+N704+M704</f>
        <v>228.6882</v>
      </c>
      <c r="P704" s="63">
        <f t="shared" si="170"/>
        <v>123.872775</v>
      </c>
      <c r="Q704" s="63">
        <f t="shared" si="170"/>
        <v>24.774555</v>
      </c>
      <c r="R704" s="255">
        <f>+Q704+P704</f>
        <v>148.64733</v>
      </c>
      <c r="S704" s="545" t="s">
        <v>316</v>
      </c>
      <c r="T704" s="546"/>
    </row>
    <row r="705" spans="1:20" s="401" customFormat="1" ht="22.5" customHeight="1">
      <c r="A705" s="99" t="s">
        <v>273</v>
      </c>
      <c r="B705" s="100"/>
      <c r="C705" s="101" t="s">
        <v>152</v>
      </c>
      <c r="D705" s="402" t="s">
        <v>533</v>
      </c>
      <c r="E705" s="403" t="s">
        <v>155</v>
      </c>
      <c r="F705" s="403" t="s">
        <v>532</v>
      </c>
      <c r="G705" s="404">
        <v>38624</v>
      </c>
      <c r="H705" s="404">
        <v>38709</v>
      </c>
      <c r="I705" s="405" t="s">
        <v>157</v>
      </c>
      <c r="J705" s="406">
        <v>100.78</v>
      </c>
      <c r="K705" s="407">
        <v>20.16</v>
      </c>
      <c r="L705" s="280">
        <v>120.94</v>
      </c>
      <c r="M705" s="68">
        <f>21.7692/1.2</f>
        <v>18.141000000000002</v>
      </c>
      <c r="N705" s="68">
        <f>+M705*0.2</f>
        <v>3.6282000000000005</v>
      </c>
      <c r="O705" s="255">
        <f>+N705+M705</f>
        <v>21.7692</v>
      </c>
      <c r="P705" s="63">
        <f t="shared" si="170"/>
        <v>11.791650000000002</v>
      </c>
      <c r="Q705" s="63">
        <f t="shared" si="170"/>
        <v>2.3583300000000005</v>
      </c>
      <c r="R705" s="255">
        <f>+Q705+P705</f>
        <v>14.149980000000003</v>
      </c>
      <c r="S705" s="545" t="s">
        <v>316</v>
      </c>
      <c r="T705" s="546"/>
    </row>
    <row r="706" spans="1:20" s="401" customFormat="1" ht="24" customHeight="1">
      <c r="A706" s="99" t="s">
        <v>273</v>
      </c>
      <c r="B706" s="100"/>
      <c r="C706" s="101" t="s">
        <v>152</v>
      </c>
      <c r="D706" s="402" t="s">
        <v>534</v>
      </c>
      <c r="E706" s="403" t="s">
        <v>172</v>
      </c>
      <c r="F706" s="403">
        <v>1015</v>
      </c>
      <c r="G706" s="404">
        <v>38709</v>
      </c>
      <c r="H706" s="404">
        <v>38726</v>
      </c>
      <c r="I706" s="405" t="s">
        <v>173</v>
      </c>
      <c r="J706" s="406">
        <v>136</v>
      </c>
      <c r="K706" s="407">
        <v>27.2</v>
      </c>
      <c r="L706" s="280">
        <v>163.2</v>
      </c>
      <c r="M706" s="68"/>
      <c r="N706" s="68"/>
      <c r="O706" s="255"/>
      <c r="P706" s="68"/>
      <c r="Q706" s="68"/>
      <c r="R706" s="255"/>
      <c r="S706" s="541" t="s">
        <v>467</v>
      </c>
      <c r="T706" s="541"/>
    </row>
    <row r="707" spans="1:20" s="401" customFormat="1" ht="23.25" customHeight="1">
      <c r="A707" s="99" t="s">
        <v>273</v>
      </c>
      <c r="B707" s="100"/>
      <c r="C707" s="101" t="s">
        <v>152</v>
      </c>
      <c r="D707" s="402" t="s">
        <v>535</v>
      </c>
      <c r="E707" s="403" t="s">
        <v>536</v>
      </c>
      <c r="F707" s="403">
        <v>6</v>
      </c>
      <c r="G707" s="404">
        <v>38747</v>
      </c>
      <c r="H707" s="404">
        <v>38747</v>
      </c>
      <c r="I707" s="405" t="s">
        <v>173</v>
      </c>
      <c r="J707" s="406">
        <v>140</v>
      </c>
      <c r="K707" s="407">
        <v>28</v>
      </c>
      <c r="L707" s="280">
        <v>168</v>
      </c>
      <c r="M707" s="68"/>
      <c r="N707" s="68"/>
      <c r="O707" s="255"/>
      <c r="P707" s="68"/>
      <c r="Q707" s="68"/>
      <c r="R707" s="255"/>
      <c r="S707" s="541" t="s">
        <v>467</v>
      </c>
      <c r="T707" s="541"/>
    </row>
    <row r="708" spans="1:20" s="401" customFormat="1" ht="11.25">
      <c r="A708" s="99" t="s">
        <v>273</v>
      </c>
      <c r="B708" s="100"/>
      <c r="C708" s="101" t="s">
        <v>152</v>
      </c>
      <c r="D708" s="402" t="s">
        <v>181</v>
      </c>
      <c r="E708" s="403" t="s">
        <v>182</v>
      </c>
      <c r="F708" s="403">
        <v>58807</v>
      </c>
      <c r="G708" s="404">
        <v>38727</v>
      </c>
      <c r="H708" s="404">
        <v>38761</v>
      </c>
      <c r="I708" s="405" t="s">
        <v>183</v>
      </c>
      <c r="J708" s="406">
        <v>80.83333333333334</v>
      </c>
      <c r="K708" s="407">
        <v>16.166666666666668</v>
      </c>
      <c r="L708" s="280">
        <v>97</v>
      </c>
      <c r="M708" s="68">
        <f>11.64/1.2</f>
        <v>9.700000000000001</v>
      </c>
      <c r="N708" s="68">
        <f>+M708*0.2</f>
        <v>1.9400000000000004</v>
      </c>
      <c r="O708" s="255">
        <f>+N708+M708</f>
        <v>11.64</v>
      </c>
      <c r="P708" s="63">
        <f aca="true" t="shared" si="171" ref="P708:Q710">M708*0.65</f>
        <v>6.305000000000001</v>
      </c>
      <c r="Q708" s="63">
        <f t="shared" si="171"/>
        <v>1.2610000000000003</v>
      </c>
      <c r="R708" s="255">
        <f>+Q708+P708</f>
        <v>7.566000000000001</v>
      </c>
      <c r="S708" s="398"/>
      <c r="T708" s="399"/>
    </row>
    <row r="709" spans="1:20" s="401" customFormat="1" ht="24" customHeight="1">
      <c r="A709" s="99" t="s">
        <v>273</v>
      </c>
      <c r="B709" s="100"/>
      <c r="C709" s="101" t="s">
        <v>152</v>
      </c>
      <c r="D709" s="402" t="s">
        <v>181</v>
      </c>
      <c r="E709" s="403" t="s">
        <v>182</v>
      </c>
      <c r="F709" s="403">
        <v>59764</v>
      </c>
      <c r="G709" s="404">
        <v>38727</v>
      </c>
      <c r="H709" s="404">
        <v>38761</v>
      </c>
      <c r="I709" s="405" t="s">
        <v>183</v>
      </c>
      <c r="J709" s="406">
        <v>592.5</v>
      </c>
      <c r="K709" s="407">
        <v>118.5</v>
      </c>
      <c r="L709" s="280">
        <v>711</v>
      </c>
      <c r="M709" s="68">
        <f>85.32/1.2</f>
        <v>71.1</v>
      </c>
      <c r="N709" s="68">
        <f>+M709*0.2</f>
        <v>14.219999999999999</v>
      </c>
      <c r="O709" s="255">
        <f>+N709+M709</f>
        <v>85.32</v>
      </c>
      <c r="P709" s="63">
        <f t="shared" si="171"/>
        <v>46.214999999999996</v>
      </c>
      <c r="Q709" s="63">
        <f t="shared" si="171"/>
        <v>9.243</v>
      </c>
      <c r="R709" s="255">
        <f>+Q709+P709</f>
        <v>55.458</v>
      </c>
      <c r="S709" s="545" t="s">
        <v>316</v>
      </c>
      <c r="T709" s="546"/>
    </row>
    <row r="710" spans="1:20" s="401" customFormat="1" ht="11.25">
      <c r="A710" s="99" t="s">
        <v>273</v>
      </c>
      <c r="B710" s="100"/>
      <c r="C710" s="101" t="s">
        <v>152</v>
      </c>
      <c r="D710" s="402" t="s">
        <v>177</v>
      </c>
      <c r="E710" s="403" t="s">
        <v>180</v>
      </c>
      <c r="F710" s="403">
        <v>45029</v>
      </c>
      <c r="G710" s="404">
        <v>38750</v>
      </c>
      <c r="H710" s="404">
        <v>38770</v>
      </c>
      <c r="I710" s="405" t="s">
        <v>179</v>
      </c>
      <c r="J710" s="406">
        <v>198.01666666666668</v>
      </c>
      <c r="K710" s="407">
        <v>39.60333333333334</v>
      </c>
      <c r="L710" s="280">
        <v>237.62</v>
      </c>
      <c r="M710" s="68">
        <f>28.5144/1.2</f>
        <v>23.762</v>
      </c>
      <c r="N710" s="68">
        <f>+M710*0.2</f>
        <v>4.752400000000001</v>
      </c>
      <c r="O710" s="255">
        <f>+N710+M710</f>
        <v>28.514400000000002</v>
      </c>
      <c r="P710" s="63">
        <f t="shared" si="171"/>
        <v>15.445300000000001</v>
      </c>
      <c r="Q710" s="63">
        <f t="shared" si="171"/>
        <v>3.0890600000000004</v>
      </c>
      <c r="R710" s="255">
        <f>+Q710+P710</f>
        <v>18.534360000000003</v>
      </c>
      <c r="S710" s="545"/>
      <c r="T710" s="546"/>
    </row>
    <row r="711" spans="1:20" s="401" customFormat="1" ht="24" customHeight="1">
      <c r="A711" s="99" t="s">
        <v>273</v>
      </c>
      <c r="B711" s="100"/>
      <c r="C711" s="101" t="s">
        <v>152</v>
      </c>
      <c r="D711" s="402" t="s">
        <v>537</v>
      </c>
      <c r="E711" s="403" t="s">
        <v>536</v>
      </c>
      <c r="F711" s="403">
        <v>39</v>
      </c>
      <c r="G711" s="404">
        <v>38772</v>
      </c>
      <c r="H711" s="404">
        <v>38772</v>
      </c>
      <c r="I711" s="405" t="s">
        <v>173</v>
      </c>
      <c r="J711" s="406">
        <v>140</v>
      </c>
      <c r="K711" s="407">
        <v>28</v>
      </c>
      <c r="L711" s="280">
        <v>168</v>
      </c>
      <c r="M711" s="68"/>
      <c r="N711" s="68"/>
      <c r="O711" s="255"/>
      <c r="P711" s="68"/>
      <c r="Q711" s="68"/>
      <c r="R711" s="255"/>
      <c r="S711" s="541" t="s">
        <v>467</v>
      </c>
      <c r="T711" s="541"/>
    </row>
    <row r="712" spans="1:20" s="401" customFormat="1" ht="11.25">
      <c r="A712" s="99" t="s">
        <v>273</v>
      </c>
      <c r="B712" s="100"/>
      <c r="C712" s="101" t="s">
        <v>152</v>
      </c>
      <c r="D712" s="402" t="s">
        <v>538</v>
      </c>
      <c r="E712" s="403" t="s">
        <v>155</v>
      </c>
      <c r="F712" s="403" t="s">
        <v>539</v>
      </c>
      <c r="G712" s="404">
        <v>38624</v>
      </c>
      <c r="H712" s="404">
        <v>38784</v>
      </c>
      <c r="I712" s="405" t="s">
        <v>157</v>
      </c>
      <c r="J712" s="406">
        <v>1058.74</v>
      </c>
      <c r="K712" s="407">
        <v>211.75</v>
      </c>
      <c r="L712" s="280">
        <v>1270.49</v>
      </c>
      <c r="M712" s="68">
        <f>228.6882/1.2</f>
        <v>190.5735</v>
      </c>
      <c r="N712" s="68">
        <f>+M712*0.2</f>
        <v>38.1147</v>
      </c>
      <c r="O712" s="255">
        <f>+N712+M712</f>
        <v>228.6882</v>
      </c>
      <c r="P712" s="63">
        <f>M712*0.65</f>
        <v>123.872775</v>
      </c>
      <c r="Q712" s="63">
        <f>N712*0.65</f>
        <v>24.774555</v>
      </c>
      <c r="R712" s="255">
        <f>+Q712+P712</f>
        <v>148.64733</v>
      </c>
      <c r="S712" s="545"/>
      <c r="T712" s="546"/>
    </row>
    <row r="713" spans="1:20" s="401" customFormat="1" ht="11.25">
      <c r="A713" s="99" t="s">
        <v>273</v>
      </c>
      <c r="B713" s="100"/>
      <c r="C713" s="101" t="s">
        <v>152</v>
      </c>
      <c r="D713" s="402" t="s">
        <v>540</v>
      </c>
      <c r="E713" s="403" t="s">
        <v>155</v>
      </c>
      <c r="F713" s="403" t="s">
        <v>539</v>
      </c>
      <c r="G713" s="404">
        <v>38624</v>
      </c>
      <c r="H713" s="404">
        <v>38784</v>
      </c>
      <c r="I713" s="405" t="s">
        <v>157</v>
      </c>
      <c r="J713" s="406">
        <v>100.78</v>
      </c>
      <c r="K713" s="407">
        <v>20.16</v>
      </c>
      <c r="L713" s="280">
        <v>120.94</v>
      </c>
      <c r="M713" s="68">
        <f>21.7692/1.2</f>
        <v>18.141000000000002</v>
      </c>
      <c r="N713" s="68">
        <f>+M713*0.2</f>
        <v>3.6282000000000005</v>
      </c>
      <c r="O713" s="255">
        <f>+N713+M713</f>
        <v>21.7692</v>
      </c>
      <c r="P713" s="63">
        <f>M713*0.65</f>
        <v>11.791650000000002</v>
      </c>
      <c r="Q713" s="63">
        <f>N713*0.65</f>
        <v>2.3583300000000005</v>
      </c>
      <c r="R713" s="255">
        <f>+Q713+P713</f>
        <v>14.149980000000003</v>
      </c>
      <c r="S713" s="545"/>
      <c r="T713" s="546"/>
    </row>
    <row r="714" spans="1:20" s="401" customFormat="1" ht="25.5" customHeight="1">
      <c r="A714" s="99" t="s">
        <v>273</v>
      </c>
      <c r="B714" s="100"/>
      <c r="C714" s="101" t="s">
        <v>152</v>
      </c>
      <c r="D714" s="402" t="s">
        <v>541</v>
      </c>
      <c r="E714" s="403" t="s">
        <v>536</v>
      </c>
      <c r="F714" s="403">
        <v>67</v>
      </c>
      <c r="G714" s="404">
        <v>38800</v>
      </c>
      <c r="H714" s="404">
        <v>38804</v>
      </c>
      <c r="I714" s="405" t="s">
        <v>173</v>
      </c>
      <c r="J714" s="406">
        <v>140</v>
      </c>
      <c r="K714" s="407">
        <v>28</v>
      </c>
      <c r="L714" s="280">
        <v>168</v>
      </c>
      <c r="M714" s="68"/>
      <c r="N714" s="68"/>
      <c r="O714" s="255"/>
      <c r="P714" s="68"/>
      <c r="Q714" s="68"/>
      <c r="R714" s="255"/>
      <c r="S714" s="541" t="s">
        <v>467</v>
      </c>
      <c r="T714" s="541"/>
    </row>
    <row r="715" spans="1:20" s="401" customFormat="1" ht="11.25">
      <c r="A715" s="99" t="s">
        <v>273</v>
      </c>
      <c r="B715" s="100"/>
      <c r="C715" s="101" t="s">
        <v>152</v>
      </c>
      <c r="D715" s="402" t="s">
        <v>542</v>
      </c>
      <c r="E715" s="403" t="s">
        <v>155</v>
      </c>
      <c r="F715" s="403" t="s">
        <v>543</v>
      </c>
      <c r="G715" s="404">
        <v>38719</v>
      </c>
      <c r="H715" s="404">
        <v>38813</v>
      </c>
      <c r="I715" s="405" t="s">
        <v>157</v>
      </c>
      <c r="J715" s="406">
        <v>1058.74</v>
      </c>
      <c r="K715" s="407">
        <v>211.75</v>
      </c>
      <c r="L715" s="280">
        <v>1270.49</v>
      </c>
      <c r="M715" s="68">
        <f>228.6882/1.2</f>
        <v>190.5735</v>
      </c>
      <c r="N715" s="68">
        <f aca="true" t="shared" si="172" ref="N715:N723">+M715*0.2</f>
        <v>38.1147</v>
      </c>
      <c r="O715" s="255">
        <f aca="true" t="shared" si="173" ref="O715:O723">+N715+M715</f>
        <v>228.6882</v>
      </c>
      <c r="P715" s="63">
        <f aca="true" t="shared" si="174" ref="P715:P723">M715*0.65</f>
        <v>123.872775</v>
      </c>
      <c r="Q715" s="63">
        <f aca="true" t="shared" si="175" ref="Q715:Q723">N715*0.65</f>
        <v>24.774555</v>
      </c>
      <c r="R715" s="255">
        <f aca="true" t="shared" si="176" ref="R715:R723">+Q715+P715</f>
        <v>148.64733</v>
      </c>
      <c r="S715" s="545"/>
      <c r="T715" s="546"/>
    </row>
    <row r="716" spans="1:20" s="401" customFormat="1" ht="11.25">
      <c r="A716" s="99" t="s">
        <v>273</v>
      </c>
      <c r="B716" s="100"/>
      <c r="C716" s="101" t="s">
        <v>152</v>
      </c>
      <c r="D716" s="402" t="s">
        <v>544</v>
      </c>
      <c r="E716" s="403" t="s">
        <v>155</v>
      </c>
      <c r="F716" s="403" t="s">
        <v>543</v>
      </c>
      <c r="G716" s="404">
        <v>38719</v>
      </c>
      <c r="H716" s="404">
        <v>38813</v>
      </c>
      <c r="I716" s="405" t="s">
        <v>157</v>
      </c>
      <c r="J716" s="406">
        <v>119.68</v>
      </c>
      <c r="K716" s="407">
        <v>23.94</v>
      </c>
      <c r="L716" s="280">
        <v>143.62</v>
      </c>
      <c r="M716" s="68">
        <f>25.8516/1.2</f>
        <v>21.543000000000003</v>
      </c>
      <c r="N716" s="68">
        <f t="shared" si="172"/>
        <v>4.308600000000001</v>
      </c>
      <c r="O716" s="255">
        <f t="shared" si="173"/>
        <v>25.851600000000005</v>
      </c>
      <c r="P716" s="63">
        <f t="shared" si="174"/>
        <v>14.002950000000002</v>
      </c>
      <c r="Q716" s="63">
        <f t="shared" si="175"/>
        <v>2.800590000000001</v>
      </c>
      <c r="R716" s="255">
        <f t="shared" si="176"/>
        <v>16.80354</v>
      </c>
      <c r="S716" s="545"/>
      <c r="T716" s="546"/>
    </row>
    <row r="717" spans="1:20" s="401" customFormat="1" ht="11.25">
      <c r="A717" s="99" t="s">
        <v>273</v>
      </c>
      <c r="B717" s="100"/>
      <c r="C717" s="101" t="s">
        <v>152</v>
      </c>
      <c r="D717" s="402" t="s">
        <v>545</v>
      </c>
      <c r="E717" s="403" t="s">
        <v>155</v>
      </c>
      <c r="F717" s="403" t="s">
        <v>546</v>
      </c>
      <c r="G717" s="404">
        <v>38719</v>
      </c>
      <c r="H717" s="404">
        <v>38814</v>
      </c>
      <c r="I717" s="405" t="s">
        <v>183</v>
      </c>
      <c r="J717" s="406">
        <v>1058.74</v>
      </c>
      <c r="K717" s="407">
        <v>211.75</v>
      </c>
      <c r="L717" s="280">
        <v>1270.49</v>
      </c>
      <c r="M717" s="68">
        <f>228.6882/1.2</f>
        <v>190.5735</v>
      </c>
      <c r="N717" s="68">
        <f t="shared" si="172"/>
        <v>38.1147</v>
      </c>
      <c r="O717" s="255">
        <f t="shared" si="173"/>
        <v>228.6882</v>
      </c>
      <c r="P717" s="63">
        <f t="shared" si="174"/>
        <v>123.872775</v>
      </c>
      <c r="Q717" s="63">
        <f t="shared" si="175"/>
        <v>24.774555</v>
      </c>
      <c r="R717" s="255">
        <f t="shared" si="176"/>
        <v>148.64733</v>
      </c>
      <c r="S717" s="398"/>
      <c r="T717" s="399"/>
    </row>
    <row r="718" spans="1:20" s="401" customFormat="1" ht="11.25">
      <c r="A718" s="99" t="s">
        <v>273</v>
      </c>
      <c r="B718" s="100"/>
      <c r="C718" s="101" t="s">
        <v>152</v>
      </c>
      <c r="D718" s="402" t="s">
        <v>547</v>
      </c>
      <c r="E718" s="403" t="s">
        <v>155</v>
      </c>
      <c r="F718" s="403" t="s">
        <v>546</v>
      </c>
      <c r="G718" s="404">
        <v>38719</v>
      </c>
      <c r="H718" s="404">
        <v>38814</v>
      </c>
      <c r="I718" s="405" t="s">
        <v>183</v>
      </c>
      <c r="J718" s="406">
        <v>100.78</v>
      </c>
      <c r="K718" s="407">
        <v>20.16</v>
      </c>
      <c r="L718" s="280">
        <v>120.94</v>
      </c>
      <c r="M718" s="68">
        <f>21.7692/1.2</f>
        <v>18.141000000000002</v>
      </c>
      <c r="N718" s="68">
        <f t="shared" si="172"/>
        <v>3.6282000000000005</v>
      </c>
      <c r="O718" s="255">
        <f t="shared" si="173"/>
        <v>21.7692</v>
      </c>
      <c r="P718" s="63">
        <f t="shared" si="174"/>
        <v>11.791650000000002</v>
      </c>
      <c r="Q718" s="63">
        <f t="shared" si="175"/>
        <v>2.3583300000000005</v>
      </c>
      <c r="R718" s="255">
        <f t="shared" si="176"/>
        <v>14.149980000000003</v>
      </c>
      <c r="S718" s="398"/>
      <c r="T718" s="399"/>
    </row>
    <row r="719" spans="1:20" s="401" customFormat="1" ht="11.25">
      <c r="A719" s="99" t="s">
        <v>273</v>
      </c>
      <c r="B719" s="100"/>
      <c r="C719" s="101" t="s">
        <v>152</v>
      </c>
      <c r="D719" s="402" t="s">
        <v>181</v>
      </c>
      <c r="E719" s="403" t="s">
        <v>182</v>
      </c>
      <c r="F719" s="403">
        <v>87162</v>
      </c>
      <c r="G719" s="404">
        <v>38784</v>
      </c>
      <c r="H719" s="404">
        <v>38814</v>
      </c>
      <c r="I719" s="405" t="s">
        <v>183</v>
      </c>
      <c r="J719" s="406">
        <v>85.41666666666667</v>
      </c>
      <c r="K719" s="407">
        <v>17.083333333333336</v>
      </c>
      <c r="L719" s="280">
        <v>102.5</v>
      </c>
      <c r="M719" s="68">
        <f>12.3/1.2</f>
        <v>10.250000000000002</v>
      </c>
      <c r="N719" s="68">
        <f t="shared" si="172"/>
        <v>2.0500000000000003</v>
      </c>
      <c r="O719" s="255">
        <f t="shared" si="173"/>
        <v>12.300000000000002</v>
      </c>
      <c r="P719" s="63">
        <f t="shared" si="174"/>
        <v>6.662500000000001</v>
      </c>
      <c r="Q719" s="63">
        <f t="shared" si="175"/>
        <v>1.3325000000000002</v>
      </c>
      <c r="R719" s="255">
        <f t="shared" si="176"/>
        <v>7.995000000000002</v>
      </c>
      <c r="S719" s="398"/>
      <c r="T719" s="399"/>
    </row>
    <row r="720" spans="1:20" s="401" customFormat="1" ht="11.25">
      <c r="A720" s="99" t="s">
        <v>273</v>
      </c>
      <c r="B720" s="100"/>
      <c r="C720" s="101" t="s">
        <v>152</v>
      </c>
      <c r="D720" s="402" t="s">
        <v>181</v>
      </c>
      <c r="E720" s="403" t="s">
        <v>182</v>
      </c>
      <c r="F720" s="403">
        <v>86898</v>
      </c>
      <c r="G720" s="404">
        <v>38784</v>
      </c>
      <c r="H720" s="404">
        <v>38814</v>
      </c>
      <c r="I720" s="405" t="s">
        <v>183</v>
      </c>
      <c r="J720" s="406">
        <v>560.8333333333334</v>
      </c>
      <c r="K720" s="407">
        <v>112.16666666666669</v>
      </c>
      <c r="L720" s="280">
        <v>673</v>
      </c>
      <c r="M720" s="68">
        <f>80.76/1.2</f>
        <v>67.30000000000001</v>
      </c>
      <c r="N720" s="68">
        <f t="shared" si="172"/>
        <v>13.460000000000003</v>
      </c>
      <c r="O720" s="255">
        <f t="shared" si="173"/>
        <v>80.76000000000002</v>
      </c>
      <c r="P720" s="63">
        <f t="shared" si="174"/>
        <v>43.74500000000001</v>
      </c>
      <c r="Q720" s="63">
        <f t="shared" si="175"/>
        <v>8.749000000000002</v>
      </c>
      <c r="R720" s="255">
        <f t="shared" si="176"/>
        <v>52.494000000000014</v>
      </c>
      <c r="S720" s="398"/>
      <c r="T720" s="399"/>
    </row>
    <row r="721" spans="1:20" s="401" customFormat="1" ht="22.5" customHeight="1">
      <c r="A721" s="99" t="s">
        <v>273</v>
      </c>
      <c r="B721" s="100"/>
      <c r="C721" s="101" t="s">
        <v>152</v>
      </c>
      <c r="D721" s="402" t="s">
        <v>177</v>
      </c>
      <c r="E721" s="403" t="s">
        <v>178</v>
      </c>
      <c r="F721" s="403">
        <v>45021</v>
      </c>
      <c r="G721" s="404">
        <v>38800</v>
      </c>
      <c r="H721" s="404">
        <v>38820</v>
      </c>
      <c r="I721" s="405" t="s">
        <v>179</v>
      </c>
      <c r="J721" s="406">
        <v>246.43333333333337</v>
      </c>
      <c r="K721" s="407">
        <v>49.286666666666676</v>
      </c>
      <c r="L721" s="280">
        <v>295.72</v>
      </c>
      <c r="M721" s="68">
        <f>35.4864/1.2</f>
        <v>29.572000000000003</v>
      </c>
      <c r="N721" s="68">
        <f t="shared" si="172"/>
        <v>5.9144000000000005</v>
      </c>
      <c r="O721" s="255">
        <f t="shared" si="173"/>
        <v>35.4864</v>
      </c>
      <c r="P721" s="63">
        <f t="shared" si="174"/>
        <v>19.2218</v>
      </c>
      <c r="Q721" s="63">
        <f t="shared" si="175"/>
        <v>3.8443600000000004</v>
      </c>
      <c r="R721" s="255">
        <f t="shared" si="176"/>
        <v>23.066160000000004</v>
      </c>
      <c r="S721" s="545" t="s">
        <v>316</v>
      </c>
      <c r="T721" s="546"/>
    </row>
    <row r="722" spans="1:20" s="401" customFormat="1" ht="11.25">
      <c r="A722" s="99" t="s">
        <v>273</v>
      </c>
      <c r="B722" s="100"/>
      <c r="C722" s="101" t="s">
        <v>152</v>
      </c>
      <c r="D722" s="402" t="s">
        <v>548</v>
      </c>
      <c r="E722" s="403" t="s">
        <v>155</v>
      </c>
      <c r="F722" s="403" t="s">
        <v>549</v>
      </c>
      <c r="G722" s="404">
        <v>38757</v>
      </c>
      <c r="H722" s="404">
        <v>38827</v>
      </c>
      <c r="I722" s="405" t="s">
        <v>183</v>
      </c>
      <c r="J722" s="406">
        <v>1058.74</v>
      </c>
      <c r="K722" s="407">
        <v>211.75</v>
      </c>
      <c r="L722" s="280">
        <v>1270.49</v>
      </c>
      <c r="M722" s="68">
        <f>228.6882/1.2</f>
        <v>190.5735</v>
      </c>
      <c r="N722" s="68">
        <f t="shared" si="172"/>
        <v>38.1147</v>
      </c>
      <c r="O722" s="255">
        <f t="shared" si="173"/>
        <v>228.6882</v>
      </c>
      <c r="P722" s="63">
        <f t="shared" si="174"/>
        <v>123.872775</v>
      </c>
      <c r="Q722" s="63">
        <f t="shared" si="175"/>
        <v>24.774555</v>
      </c>
      <c r="R722" s="255">
        <f t="shared" si="176"/>
        <v>148.64733</v>
      </c>
      <c r="S722" s="398"/>
      <c r="T722" s="399"/>
    </row>
    <row r="723" spans="1:20" s="401" customFormat="1" ht="11.25">
      <c r="A723" s="99" t="s">
        <v>273</v>
      </c>
      <c r="B723" s="100"/>
      <c r="C723" s="101" t="s">
        <v>152</v>
      </c>
      <c r="D723" s="402" t="s">
        <v>550</v>
      </c>
      <c r="E723" s="403" t="s">
        <v>155</v>
      </c>
      <c r="F723" s="403" t="s">
        <v>549</v>
      </c>
      <c r="G723" s="404">
        <v>38757</v>
      </c>
      <c r="H723" s="404">
        <v>38827</v>
      </c>
      <c r="I723" s="405" t="s">
        <v>183</v>
      </c>
      <c r="J723" s="406">
        <v>100.78</v>
      </c>
      <c r="K723" s="407">
        <v>20.16</v>
      </c>
      <c r="L723" s="280">
        <v>120.94</v>
      </c>
      <c r="M723" s="68">
        <f>21.7692/1.2</f>
        <v>18.141000000000002</v>
      </c>
      <c r="N723" s="68">
        <f t="shared" si="172"/>
        <v>3.6282000000000005</v>
      </c>
      <c r="O723" s="255">
        <f t="shared" si="173"/>
        <v>21.7692</v>
      </c>
      <c r="P723" s="63">
        <f t="shared" si="174"/>
        <v>11.791650000000002</v>
      </c>
      <c r="Q723" s="63">
        <f t="shared" si="175"/>
        <v>2.3583300000000005</v>
      </c>
      <c r="R723" s="255">
        <f t="shared" si="176"/>
        <v>14.149980000000003</v>
      </c>
      <c r="S723" s="398"/>
      <c r="T723" s="399"/>
    </row>
    <row r="724" spans="1:20" s="401" customFormat="1" ht="22.5" customHeight="1">
      <c r="A724" s="99" t="s">
        <v>273</v>
      </c>
      <c r="B724" s="100"/>
      <c r="C724" s="101" t="s">
        <v>152</v>
      </c>
      <c r="D724" s="402" t="s">
        <v>551</v>
      </c>
      <c r="E724" s="403" t="s">
        <v>536</v>
      </c>
      <c r="F724" s="403">
        <v>110</v>
      </c>
      <c r="G724" s="404">
        <v>38828</v>
      </c>
      <c r="H724" s="404">
        <v>38828</v>
      </c>
      <c r="I724" s="405" t="s">
        <v>173</v>
      </c>
      <c r="J724" s="406">
        <v>140</v>
      </c>
      <c r="K724" s="407">
        <v>28</v>
      </c>
      <c r="L724" s="280">
        <v>168</v>
      </c>
      <c r="M724" s="68"/>
      <c r="N724" s="68"/>
      <c r="O724" s="255"/>
      <c r="P724" s="68"/>
      <c r="Q724" s="68"/>
      <c r="R724" s="255"/>
      <c r="S724" s="541" t="s">
        <v>467</v>
      </c>
      <c r="T724" s="541"/>
    </row>
    <row r="725" spans="1:20" s="401" customFormat="1" ht="11.25">
      <c r="A725" s="99" t="s">
        <v>273</v>
      </c>
      <c r="B725" s="100"/>
      <c r="C725" s="101" t="s">
        <v>152</v>
      </c>
      <c r="D725" s="402" t="s">
        <v>552</v>
      </c>
      <c r="E725" s="403" t="s">
        <v>155</v>
      </c>
      <c r="F725" s="403" t="s">
        <v>553</v>
      </c>
      <c r="G725" s="404">
        <v>38757</v>
      </c>
      <c r="H725" s="404">
        <v>38841</v>
      </c>
      <c r="I725" s="405" t="s">
        <v>157</v>
      </c>
      <c r="J725" s="406">
        <v>1058.74</v>
      </c>
      <c r="K725" s="407">
        <v>211.75</v>
      </c>
      <c r="L725" s="280">
        <v>1270.49</v>
      </c>
      <c r="M725" s="68">
        <f>228.6882/1.2</f>
        <v>190.5735</v>
      </c>
      <c r="N725" s="68">
        <f>+M725*0.2</f>
        <v>38.1147</v>
      </c>
      <c r="O725" s="255">
        <f>+N725+M725</f>
        <v>228.6882</v>
      </c>
      <c r="P725" s="63">
        <f>M725*0.65</f>
        <v>123.872775</v>
      </c>
      <c r="Q725" s="63">
        <f>N725*0.65</f>
        <v>24.774555</v>
      </c>
      <c r="R725" s="255">
        <f>+Q725+P725</f>
        <v>148.64733</v>
      </c>
      <c r="S725" s="545"/>
      <c r="T725" s="546"/>
    </row>
    <row r="726" spans="1:20" s="401" customFormat="1" ht="11.25">
      <c r="A726" s="99" t="s">
        <v>273</v>
      </c>
      <c r="B726" s="100"/>
      <c r="C726" s="101" t="s">
        <v>152</v>
      </c>
      <c r="D726" s="402" t="s">
        <v>554</v>
      </c>
      <c r="E726" s="403" t="s">
        <v>155</v>
      </c>
      <c r="F726" s="403" t="s">
        <v>553</v>
      </c>
      <c r="G726" s="404">
        <v>38757</v>
      </c>
      <c r="H726" s="404">
        <v>38841</v>
      </c>
      <c r="I726" s="405" t="s">
        <v>157</v>
      </c>
      <c r="J726" s="406">
        <v>100.78</v>
      </c>
      <c r="K726" s="407">
        <v>20.16</v>
      </c>
      <c r="L726" s="280">
        <v>120.94</v>
      </c>
      <c r="M726" s="68">
        <f>21.7692/1.2</f>
        <v>18.141000000000002</v>
      </c>
      <c r="N726" s="68">
        <f>+M726*0.2</f>
        <v>3.6282000000000005</v>
      </c>
      <c r="O726" s="255">
        <f>+N726+M726</f>
        <v>21.7692</v>
      </c>
      <c r="P726" s="63">
        <f>M726*0.65</f>
        <v>11.791650000000002</v>
      </c>
      <c r="Q726" s="63">
        <f>N726*0.65</f>
        <v>2.3583300000000005</v>
      </c>
      <c r="R726" s="255">
        <f>+Q726+P726</f>
        <v>14.149980000000003</v>
      </c>
      <c r="S726" s="545"/>
      <c r="T726" s="546"/>
    </row>
    <row r="727" spans="1:20" s="401" customFormat="1" ht="21.75" customHeight="1">
      <c r="A727" s="99" t="s">
        <v>273</v>
      </c>
      <c r="B727" s="100"/>
      <c r="C727" s="101" t="s">
        <v>152</v>
      </c>
      <c r="D727" s="402" t="s">
        <v>555</v>
      </c>
      <c r="E727" s="403" t="s">
        <v>536</v>
      </c>
      <c r="F727" s="403">
        <v>149</v>
      </c>
      <c r="G727" s="404">
        <v>38859</v>
      </c>
      <c r="H727" s="404">
        <v>38864</v>
      </c>
      <c r="I727" s="405" t="s">
        <v>173</v>
      </c>
      <c r="J727" s="406">
        <v>140</v>
      </c>
      <c r="K727" s="407">
        <v>28</v>
      </c>
      <c r="L727" s="280">
        <v>168</v>
      </c>
      <c r="M727" s="68"/>
      <c r="N727" s="68"/>
      <c r="O727" s="255"/>
      <c r="P727" s="68"/>
      <c r="Q727" s="68"/>
      <c r="R727" s="255"/>
      <c r="S727" s="541" t="s">
        <v>467</v>
      </c>
      <c r="T727" s="541"/>
    </row>
    <row r="728" spans="1:20" s="401" customFormat="1" ht="25.5" customHeight="1">
      <c r="A728" s="99" t="s">
        <v>273</v>
      </c>
      <c r="B728" s="100"/>
      <c r="C728" s="101" t="s">
        <v>184</v>
      </c>
      <c r="D728" s="402" t="s">
        <v>556</v>
      </c>
      <c r="E728" s="403" t="s">
        <v>99</v>
      </c>
      <c r="F728" s="403" t="s">
        <v>557</v>
      </c>
      <c r="G728" s="404">
        <v>38631</v>
      </c>
      <c r="H728" s="404">
        <v>38670</v>
      </c>
      <c r="I728" s="405" t="s">
        <v>70</v>
      </c>
      <c r="J728" s="406">
        <v>177.08</v>
      </c>
      <c r="K728" s="407">
        <v>35.416000000000004</v>
      </c>
      <c r="L728" s="280">
        <v>212.496</v>
      </c>
      <c r="M728" s="68">
        <f>63.7488/1.2</f>
        <v>53.124</v>
      </c>
      <c r="N728" s="68">
        <f>+M728*0.2</f>
        <v>10.6248</v>
      </c>
      <c r="O728" s="255">
        <f>+N728+M728</f>
        <v>63.7488</v>
      </c>
      <c r="P728" s="63">
        <f>M728*0.65</f>
        <v>34.5306</v>
      </c>
      <c r="Q728" s="63">
        <f>N728*0.65</f>
        <v>6.9061200000000005</v>
      </c>
      <c r="R728" s="255">
        <f>+Q728+P728</f>
        <v>41.43672</v>
      </c>
      <c r="S728" s="545" t="s">
        <v>316</v>
      </c>
      <c r="T728" s="546"/>
    </row>
    <row r="729" spans="1:20" s="401" customFormat="1" ht="22.5" customHeight="1">
      <c r="A729" s="99" t="s">
        <v>273</v>
      </c>
      <c r="B729" s="100"/>
      <c r="C729" s="101" t="s">
        <v>184</v>
      </c>
      <c r="D729" s="402" t="s">
        <v>558</v>
      </c>
      <c r="E729" s="403" t="s">
        <v>189</v>
      </c>
      <c r="F729" s="403">
        <v>7120372301</v>
      </c>
      <c r="G729" s="404">
        <v>38643</v>
      </c>
      <c r="H729" s="404">
        <v>38673</v>
      </c>
      <c r="I729" s="405" t="s">
        <v>70</v>
      </c>
      <c r="J729" s="406">
        <v>171.39</v>
      </c>
      <c r="K729" s="407">
        <v>34.278</v>
      </c>
      <c r="L729" s="280">
        <v>205.66799999999998</v>
      </c>
      <c r="M729" s="68">
        <f>61.7004/1.2</f>
        <v>51.417</v>
      </c>
      <c r="N729" s="68">
        <f>+M729*0.2</f>
        <v>10.2834</v>
      </c>
      <c r="O729" s="255">
        <f>+N729+M729</f>
        <v>61.7004</v>
      </c>
      <c r="P729" s="63">
        <f>M729*0.65</f>
        <v>33.42105</v>
      </c>
      <c r="Q729" s="63">
        <f>N729*0.65</f>
        <v>6.68421</v>
      </c>
      <c r="R729" s="255">
        <f>+Q729+P729</f>
        <v>40.10526</v>
      </c>
      <c r="S729" s="545" t="s">
        <v>316</v>
      </c>
      <c r="T729" s="546"/>
    </row>
    <row r="730" spans="1:20" s="401" customFormat="1" ht="27" customHeight="1">
      <c r="A730" s="99" t="s">
        <v>273</v>
      </c>
      <c r="B730" s="100"/>
      <c r="C730" s="101" t="s">
        <v>184</v>
      </c>
      <c r="D730" s="402" t="s">
        <v>494</v>
      </c>
      <c r="E730" s="403"/>
      <c r="F730" s="403"/>
      <c r="G730" s="404">
        <v>38657</v>
      </c>
      <c r="H730" s="404"/>
      <c r="I730" s="405" t="s">
        <v>88</v>
      </c>
      <c r="J730" s="406">
        <v>551.81</v>
      </c>
      <c r="K730" s="407">
        <v>0</v>
      </c>
      <c r="L730" s="280">
        <v>551.81</v>
      </c>
      <c r="M730" s="68"/>
      <c r="N730" s="68"/>
      <c r="O730" s="255"/>
      <c r="P730" s="68"/>
      <c r="Q730" s="68"/>
      <c r="R730" s="255"/>
      <c r="S730" s="545" t="s">
        <v>599</v>
      </c>
      <c r="T730" s="546"/>
    </row>
    <row r="731" spans="1:20" s="401" customFormat="1" ht="11.25">
      <c r="A731" s="99" t="s">
        <v>273</v>
      </c>
      <c r="B731" s="100"/>
      <c r="C731" s="101" t="s">
        <v>184</v>
      </c>
      <c r="D731" s="402" t="s">
        <v>128</v>
      </c>
      <c r="E731" s="403" t="s">
        <v>197</v>
      </c>
      <c r="F731" s="403" t="s">
        <v>559</v>
      </c>
      <c r="G731" s="404">
        <v>38665</v>
      </c>
      <c r="H731" s="404">
        <v>38687</v>
      </c>
      <c r="I731" s="405" t="s">
        <v>196</v>
      </c>
      <c r="J731" s="406">
        <v>7.61</v>
      </c>
      <c r="K731" s="407">
        <v>1.5220000000000002</v>
      </c>
      <c r="L731" s="280">
        <v>9.132000000000001</v>
      </c>
      <c r="M731" s="68">
        <f>2.7396/1.2</f>
        <v>2.283</v>
      </c>
      <c r="N731" s="68">
        <f>+M731*0.2</f>
        <v>0.4566</v>
      </c>
      <c r="O731" s="255">
        <f>+N731+M731</f>
        <v>2.7396</v>
      </c>
      <c r="P731" s="63">
        <f aca="true" t="shared" si="177" ref="P731:Q734">M731*0.65</f>
        <v>1.48395</v>
      </c>
      <c r="Q731" s="63">
        <f t="shared" si="177"/>
        <v>0.29679</v>
      </c>
      <c r="R731" s="255">
        <f>+Q731+P731</f>
        <v>1.7807400000000002</v>
      </c>
      <c r="S731" s="398"/>
      <c r="T731" s="399"/>
    </row>
    <row r="732" spans="1:20" s="401" customFormat="1" ht="23.25" customHeight="1">
      <c r="A732" s="99" t="s">
        <v>273</v>
      </c>
      <c r="B732" s="100"/>
      <c r="C732" s="101" t="s">
        <v>184</v>
      </c>
      <c r="D732" s="402" t="s">
        <v>556</v>
      </c>
      <c r="E732" s="403" t="s">
        <v>99</v>
      </c>
      <c r="F732" s="403" t="s">
        <v>560</v>
      </c>
      <c r="G732" s="404">
        <v>38665</v>
      </c>
      <c r="H732" s="404">
        <v>38699</v>
      </c>
      <c r="I732" s="405" t="s">
        <v>70</v>
      </c>
      <c r="J732" s="406">
        <v>39.58</v>
      </c>
      <c r="K732" s="407">
        <v>7.916</v>
      </c>
      <c r="L732" s="280">
        <v>47.495999999999995</v>
      </c>
      <c r="M732" s="68">
        <f>14.2488/1.2</f>
        <v>11.874</v>
      </c>
      <c r="N732" s="68">
        <f>+M732*0.2</f>
        <v>2.3748</v>
      </c>
      <c r="O732" s="255">
        <f>+N732+M732</f>
        <v>14.248800000000001</v>
      </c>
      <c r="P732" s="63">
        <f t="shared" si="177"/>
        <v>7.718100000000001</v>
      </c>
      <c r="Q732" s="63">
        <f t="shared" si="177"/>
        <v>1.54362</v>
      </c>
      <c r="R732" s="255">
        <f>+Q732+P732</f>
        <v>9.26172</v>
      </c>
      <c r="S732" s="545" t="s">
        <v>316</v>
      </c>
      <c r="T732" s="546"/>
    </row>
    <row r="733" spans="1:20" s="401" customFormat="1" ht="22.5">
      <c r="A733" s="99" t="s">
        <v>273</v>
      </c>
      <c r="B733" s="100"/>
      <c r="C733" s="101" t="s">
        <v>184</v>
      </c>
      <c r="D733" s="402" t="s">
        <v>561</v>
      </c>
      <c r="E733" s="403" t="s">
        <v>73</v>
      </c>
      <c r="F733" s="403" t="s">
        <v>562</v>
      </c>
      <c r="G733" s="404">
        <v>38666</v>
      </c>
      <c r="H733" s="404">
        <v>38686</v>
      </c>
      <c r="I733" s="405" t="s">
        <v>196</v>
      </c>
      <c r="J733" s="406">
        <v>53.5</v>
      </c>
      <c r="K733" s="407">
        <v>10.7</v>
      </c>
      <c r="L733" s="280">
        <v>64.2</v>
      </c>
      <c r="M733" s="68">
        <f>12.84/1.2</f>
        <v>10.700000000000001</v>
      </c>
      <c r="N733" s="68">
        <f>+M733*0.2</f>
        <v>2.14</v>
      </c>
      <c r="O733" s="255">
        <f>+N733+M733</f>
        <v>12.840000000000002</v>
      </c>
      <c r="P733" s="63">
        <f t="shared" si="177"/>
        <v>6.955000000000001</v>
      </c>
      <c r="Q733" s="63">
        <f t="shared" si="177"/>
        <v>1.3910000000000002</v>
      </c>
      <c r="R733" s="255">
        <f>+Q733+P733</f>
        <v>8.346000000000002</v>
      </c>
      <c r="S733" s="545" t="s">
        <v>316</v>
      </c>
      <c r="T733" s="546"/>
    </row>
    <row r="734" spans="1:20" s="401" customFormat="1" ht="23.25" customHeight="1">
      <c r="A734" s="99" t="s">
        <v>273</v>
      </c>
      <c r="B734" s="100"/>
      <c r="C734" s="101" t="s">
        <v>184</v>
      </c>
      <c r="D734" s="402" t="s">
        <v>558</v>
      </c>
      <c r="E734" s="403" t="s">
        <v>189</v>
      </c>
      <c r="F734" s="403">
        <v>7121526401</v>
      </c>
      <c r="G734" s="404">
        <v>38673</v>
      </c>
      <c r="H734" s="404">
        <v>38703</v>
      </c>
      <c r="I734" s="405" t="s">
        <v>70</v>
      </c>
      <c r="J734" s="406">
        <v>173.03</v>
      </c>
      <c r="K734" s="407">
        <v>34.606</v>
      </c>
      <c r="L734" s="280">
        <v>207.636</v>
      </c>
      <c r="M734" s="68">
        <f>62.2908/1.2</f>
        <v>51.909</v>
      </c>
      <c r="N734" s="68">
        <f>+M734*0.2</f>
        <v>10.3818</v>
      </c>
      <c r="O734" s="255">
        <f>+N734+M734</f>
        <v>62.2908</v>
      </c>
      <c r="P734" s="63">
        <f t="shared" si="177"/>
        <v>33.74085</v>
      </c>
      <c r="Q734" s="63">
        <f t="shared" si="177"/>
        <v>6.74817</v>
      </c>
      <c r="R734" s="255">
        <f>+Q734+P734</f>
        <v>40.489020000000004</v>
      </c>
      <c r="S734" s="545" t="s">
        <v>316</v>
      </c>
      <c r="T734" s="546"/>
    </row>
    <row r="735" spans="1:20" s="401" customFormat="1" ht="24" customHeight="1">
      <c r="A735" s="99" t="s">
        <v>273</v>
      </c>
      <c r="B735" s="100"/>
      <c r="C735" s="101" t="s">
        <v>184</v>
      </c>
      <c r="D735" s="402" t="s">
        <v>563</v>
      </c>
      <c r="E735" s="403"/>
      <c r="F735" s="403">
        <v>11</v>
      </c>
      <c r="G735" s="404">
        <v>38687</v>
      </c>
      <c r="H735" s="404"/>
      <c r="I735" s="405" t="s">
        <v>88</v>
      </c>
      <c r="J735" s="406">
        <v>551.81</v>
      </c>
      <c r="K735" s="407">
        <v>0</v>
      </c>
      <c r="L735" s="280">
        <v>551.81</v>
      </c>
      <c r="M735" s="68"/>
      <c r="N735" s="68"/>
      <c r="O735" s="255"/>
      <c r="P735" s="68"/>
      <c r="Q735" s="68"/>
      <c r="R735" s="255"/>
      <c r="S735" s="545" t="s">
        <v>599</v>
      </c>
      <c r="T735" s="546"/>
    </row>
    <row r="736" spans="1:20" s="401" customFormat="1" ht="20.25" customHeight="1">
      <c r="A736" s="99" t="s">
        <v>273</v>
      </c>
      <c r="B736" s="100"/>
      <c r="C736" s="101" t="s">
        <v>184</v>
      </c>
      <c r="D736" s="402" t="s">
        <v>558</v>
      </c>
      <c r="E736" s="403" t="s">
        <v>189</v>
      </c>
      <c r="F736" s="403">
        <v>7122694056</v>
      </c>
      <c r="G736" s="404">
        <v>38704</v>
      </c>
      <c r="H736" s="404">
        <v>38734</v>
      </c>
      <c r="I736" s="405" t="s">
        <v>70</v>
      </c>
      <c r="J736" s="406">
        <v>232.17</v>
      </c>
      <c r="K736" s="407">
        <v>46.434</v>
      </c>
      <c r="L736" s="280">
        <v>278.604</v>
      </c>
      <c r="M736" s="68">
        <f>83.5812/1.2</f>
        <v>69.651</v>
      </c>
      <c r="N736" s="68">
        <f>+M736*0.2</f>
        <v>13.9302</v>
      </c>
      <c r="O736" s="255">
        <f aca="true" t="shared" si="178" ref="O736:O748">+N736+M736</f>
        <v>83.5812</v>
      </c>
      <c r="P736" s="63">
        <f aca="true" t="shared" si="179" ref="P736:P748">M736*0.65</f>
        <v>45.27315</v>
      </c>
      <c r="Q736" s="63">
        <f aca="true" t="shared" si="180" ref="Q736:Q748">N736*0.65</f>
        <v>9.05463</v>
      </c>
      <c r="R736" s="255">
        <f aca="true" t="shared" si="181" ref="R736:R748">+Q736+P736</f>
        <v>54.327780000000004</v>
      </c>
      <c r="S736" s="545" t="s">
        <v>316</v>
      </c>
      <c r="T736" s="546"/>
    </row>
    <row r="737" spans="1:20" s="401" customFormat="1" ht="11.25">
      <c r="A737" s="99" t="s">
        <v>273</v>
      </c>
      <c r="B737" s="100"/>
      <c r="C737" s="101" t="s">
        <v>184</v>
      </c>
      <c r="D737" s="402" t="s">
        <v>128</v>
      </c>
      <c r="E737" s="403" t="s">
        <v>197</v>
      </c>
      <c r="F737" s="403" t="s">
        <v>564</v>
      </c>
      <c r="G737" s="404">
        <v>38714</v>
      </c>
      <c r="H737" s="404">
        <v>38736</v>
      </c>
      <c r="I737" s="405" t="s">
        <v>196</v>
      </c>
      <c r="J737" s="406">
        <v>8.31</v>
      </c>
      <c r="K737" s="407">
        <v>1.6620000000000001</v>
      </c>
      <c r="L737" s="280">
        <v>9.972000000000001</v>
      </c>
      <c r="M737" s="68">
        <f>1.9944/1.2</f>
        <v>1.662</v>
      </c>
      <c r="N737" s="68">
        <f>+M737*0.2</f>
        <v>0.33240000000000003</v>
      </c>
      <c r="O737" s="255">
        <f t="shared" si="178"/>
        <v>1.9944</v>
      </c>
      <c r="P737" s="63">
        <f t="shared" si="179"/>
        <v>1.0803</v>
      </c>
      <c r="Q737" s="63">
        <f t="shared" si="180"/>
        <v>0.21606000000000003</v>
      </c>
      <c r="R737" s="255">
        <f t="shared" si="181"/>
        <v>1.29636</v>
      </c>
      <c r="S737" s="398"/>
      <c r="T737" s="399"/>
    </row>
    <row r="738" spans="1:20" s="401" customFormat="1" ht="22.5" customHeight="1">
      <c r="A738" s="99" t="s">
        <v>273</v>
      </c>
      <c r="B738" s="100"/>
      <c r="C738" s="101" t="s">
        <v>184</v>
      </c>
      <c r="D738" s="402" t="s">
        <v>565</v>
      </c>
      <c r="E738" s="403"/>
      <c r="F738" s="403">
        <v>1</v>
      </c>
      <c r="G738" s="404">
        <v>38718</v>
      </c>
      <c r="H738" s="404">
        <v>38728</v>
      </c>
      <c r="I738" s="405" t="s">
        <v>88</v>
      </c>
      <c r="J738" s="406">
        <v>551.82</v>
      </c>
      <c r="K738" s="407">
        <v>0</v>
      </c>
      <c r="L738" s="280">
        <v>551.82</v>
      </c>
      <c r="M738" s="68">
        <v>110.36400000000002</v>
      </c>
      <c r="N738" s="68"/>
      <c r="O738" s="255">
        <f t="shared" si="178"/>
        <v>110.36400000000002</v>
      </c>
      <c r="P738" s="63">
        <f t="shared" si="179"/>
        <v>71.73660000000001</v>
      </c>
      <c r="Q738" s="63">
        <f t="shared" si="180"/>
        <v>0</v>
      </c>
      <c r="R738" s="255">
        <f t="shared" si="181"/>
        <v>71.73660000000001</v>
      </c>
      <c r="S738" s="545" t="s">
        <v>603</v>
      </c>
      <c r="T738" s="546"/>
    </row>
    <row r="739" spans="1:20" s="401" customFormat="1" ht="26.25" customHeight="1">
      <c r="A739" s="99" t="s">
        <v>273</v>
      </c>
      <c r="B739" s="100"/>
      <c r="C739" s="101" t="s">
        <v>184</v>
      </c>
      <c r="D739" s="402" t="s">
        <v>501</v>
      </c>
      <c r="E739" s="403" t="s">
        <v>99</v>
      </c>
      <c r="F739" s="403" t="s">
        <v>566</v>
      </c>
      <c r="G739" s="404">
        <v>38723</v>
      </c>
      <c r="H739" s="404">
        <v>38730</v>
      </c>
      <c r="I739" s="405" t="s">
        <v>70</v>
      </c>
      <c r="J739" s="406">
        <v>216.665</v>
      </c>
      <c r="K739" s="407">
        <v>43.333</v>
      </c>
      <c r="L739" s="280">
        <v>259.998</v>
      </c>
      <c r="M739" s="68">
        <f>77.9994/1.2</f>
        <v>64.9995</v>
      </c>
      <c r="N739" s="68">
        <f aca="true" t="shared" si="182" ref="N739:N748">+M739*0.2</f>
        <v>12.9999</v>
      </c>
      <c r="O739" s="255">
        <f t="shared" si="178"/>
        <v>77.9994</v>
      </c>
      <c r="P739" s="63">
        <f t="shared" si="179"/>
        <v>42.249675</v>
      </c>
      <c r="Q739" s="63">
        <f t="shared" si="180"/>
        <v>8.449935</v>
      </c>
      <c r="R739" s="255">
        <f t="shared" si="181"/>
        <v>50.69961000000001</v>
      </c>
      <c r="S739" s="545" t="s">
        <v>316</v>
      </c>
      <c r="T739" s="546"/>
    </row>
    <row r="740" spans="1:20" s="401" customFormat="1" ht="24" customHeight="1">
      <c r="A740" s="99" t="s">
        <v>273</v>
      </c>
      <c r="B740" s="100"/>
      <c r="C740" s="101" t="s">
        <v>184</v>
      </c>
      <c r="D740" s="402" t="s">
        <v>501</v>
      </c>
      <c r="E740" s="403" t="s">
        <v>99</v>
      </c>
      <c r="F740" s="403" t="s">
        <v>567</v>
      </c>
      <c r="G740" s="404">
        <v>38727</v>
      </c>
      <c r="H740" s="404">
        <v>38761</v>
      </c>
      <c r="I740" s="405" t="s">
        <v>70</v>
      </c>
      <c r="J740" s="406">
        <v>45.83</v>
      </c>
      <c r="K740" s="407">
        <v>9.166</v>
      </c>
      <c r="L740" s="280">
        <v>54.995999999999995</v>
      </c>
      <c r="M740" s="68">
        <f>16.4988/1.2</f>
        <v>13.749</v>
      </c>
      <c r="N740" s="68">
        <f t="shared" si="182"/>
        <v>2.7498000000000005</v>
      </c>
      <c r="O740" s="255">
        <f t="shared" si="178"/>
        <v>16.498800000000003</v>
      </c>
      <c r="P740" s="63">
        <f t="shared" si="179"/>
        <v>8.936850000000002</v>
      </c>
      <c r="Q740" s="63">
        <f t="shared" si="180"/>
        <v>1.7873700000000003</v>
      </c>
      <c r="R740" s="255">
        <f t="shared" si="181"/>
        <v>10.724220000000003</v>
      </c>
      <c r="S740" s="545" t="s">
        <v>316</v>
      </c>
      <c r="T740" s="546"/>
    </row>
    <row r="741" spans="1:20" s="401" customFormat="1" ht="22.5">
      <c r="A741" s="99" t="s">
        <v>273</v>
      </c>
      <c r="B741" s="100"/>
      <c r="C741" s="101" t="s">
        <v>184</v>
      </c>
      <c r="D741" s="402" t="s">
        <v>561</v>
      </c>
      <c r="E741" s="403" t="s">
        <v>73</v>
      </c>
      <c r="F741" s="403" t="s">
        <v>568</v>
      </c>
      <c r="G741" s="404">
        <v>38733</v>
      </c>
      <c r="H741" s="404">
        <v>38754</v>
      </c>
      <c r="I741" s="405" t="s">
        <v>196</v>
      </c>
      <c r="J741" s="406">
        <v>57.37</v>
      </c>
      <c r="K741" s="407">
        <v>11.474</v>
      </c>
      <c r="L741" s="280">
        <v>68.844</v>
      </c>
      <c r="M741" s="68">
        <f>13.7688/1.2</f>
        <v>11.474</v>
      </c>
      <c r="N741" s="68">
        <f t="shared" si="182"/>
        <v>2.2948</v>
      </c>
      <c r="O741" s="255">
        <f t="shared" si="178"/>
        <v>13.7688</v>
      </c>
      <c r="P741" s="63">
        <f t="shared" si="179"/>
        <v>7.4581</v>
      </c>
      <c r="Q741" s="63">
        <f t="shared" si="180"/>
        <v>1.49162</v>
      </c>
      <c r="R741" s="255">
        <f t="shared" si="181"/>
        <v>8.94972</v>
      </c>
      <c r="S741" s="545" t="s">
        <v>316</v>
      </c>
      <c r="T741" s="546"/>
    </row>
    <row r="742" spans="1:20" s="401" customFormat="1" ht="19.5" customHeight="1">
      <c r="A742" s="99" t="s">
        <v>273</v>
      </c>
      <c r="B742" s="100"/>
      <c r="C742" s="101" t="s">
        <v>184</v>
      </c>
      <c r="D742" s="402" t="s">
        <v>558</v>
      </c>
      <c r="E742" s="403" t="s">
        <v>189</v>
      </c>
      <c r="F742" s="403">
        <v>8100009427</v>
      </c>
      <c r="G742" s="404">
        <v>38735</v>
      </c>
      <c r="H742" s="404">
        <v>38765</v>
      </c>
      <c r="I742" s="405" t="s">
        <v>70</v>
      </c>
      <c r="J742" s="406">
        <v>202.77</v>
      </c>
      <c r="K742" s="407">
        <v>40.554</v>
      </c>
      <c r="L742" s="280">
        <v>243.324</v>
      </c>
      <c r="M742" s="68">
        <f>72.9972/1.2</f>
        <v>60.83100000000001</v>
      </c>
      <c r="N742" s="68">
        <f t="shared" si="182"/>
        <v>12.166200000000003</v>
      </c>
      <c r="O742" s="255">
        <f t="shared" si="178"/>
        <v>72.99720000000002</v>
      </c>
      <c r="P742" s="63">
        <f t="shared" si="179"/>
        <v>39.54015000000001</v>
      </c>
      <c r="Q742" s="63">
        <f t="shared" si="180"/>
        <v>7.908030000000003</v>
      </c>
      <c r="R742" s="255">
        <f t="shared" si="181"/>
        <v>47.448180000000015</v>
      </c>
      <c r="S742" s="545" t="s">
        <v>316</v>
      </c>
      <c r="T742" s="546"/>
    </row>
    <row r="743" spans="1:20" s="401" customFormat="1" ht="21" customHeight="1">
      <c r="A743" s="99" t="s">
        <v>273</v>
      </c>
      <c r="B743" s="100"/>
      <c r="C743" s="101" t="s">
        <v>184</v>
      </c>
      <c r="D743" s="402" t="s">
        <v>128</v>
      </c>
      <c r="E743" s="403" t="s">
        <v>197</v>
      </c>
      <c r="F743" s="403" t="s">
        <v>569</v>
      </c>
      <c r="G743" s="404">
        <v>38750</v>
      </c>
      <c r="H743" s="404">
        <v>38772</v>
      </c>
      <c r="I743" s="405" t="s">
        <v>196</v>
      </c>
      <c r="J743" s="406">
        <v>7.86</v>
      </c>
      <c r="K743" s="407">
        <v>1.572</v>
      </c>
      <c r="L743" s="280">
        <v>9.432</v>
      </c>
      <c r="M743" s="68">
        <f>1.8864/1.2</f>
        <v>1.572</v>
      </c>
      <c r="N743" s="68">
        <f t="shared" si="182"/>
        <v>0.3144</v>
      </c>
      <c r="O743" s="255">
        <f t="shared" si="178"/>
        <v>1.8864</v>
      </c>
      <c r="P743" s="63">
        <f t="shared" si="179"/>
        <v>1.0218</v>
      </c>
      <c r="Q743" s="63">
        <f t="shared" si="180"/>
        <v>0.20436</v>
      </c>
      <c r="R743" s="255">
        <f t="shared" si="181"/>
        <v>1.2261600000000001</v>
      </c>
      <c r="S743" s="545" t="s">
        <v>316</v>
      </c>
      <c r="T743" s="546"/>
    </row>
    <row r="744" spans="1:20" s="401" customFormat="1" ht="26.25" customHeight="1">
      <c r="A744" s="99" t="s">
        <v>273</v>
      </c>
      <c r="B744" s="100"/>
      <c r="C744" s="101" t="s">
        <v>184</v>
      </c>
      <c r="D744" s="402" t="s">
        <v>524</v>
      </c>
      <c r="E744" s="403" t="s">
        <v>99</v>
      </c>
      <c r="F744" s="403" t="s">
        <v>570</v>
      </c>
      <c r="G744" s="404">
        <v>38754</v>
      </c>
      <c r="H744" s="404">
        <v>38789</v>
      </c>
      <c r="I744" s="405" t="s">
        <v>70</v>
      </c>
      <c r="J744" s="406">
        <v>172.92</v>
      </c>
      <c r="K744" s="407">
        <v>34.583999999999996</v>
      </c>
      <c r="L744" s="280">
        <v>207.504</v>
      </c>
      <c r="M744" s="68">
        <f>62.2512/1.2</f>
        <v>51.876</v>
      </c>
      <c r="N744" s="68">
        <f t="shared" si="182"/>
        <v>10.3752</v>
      </c>
      <c r="O744" s="255">
        <f t="shared" si="178"/>
        <v>62.2512</v>
      </c>
      <c r="P744" s="63">
        <f t="shared" si="179"/>
        <v>33.7194</v>
      </c>
      <c r="Q744" s="63">
        <f t="shared" si="180"/>
        <v>6.74388</v>
      </c>
      <c r="R744" s="255">
        <f t="shared" si="181"/>
        <v>40.46328</v>
      </c>
      <c r="S744" s="545" t="s">
        <v>316</v>
      </c>
      <c r="T744" s="546"/>
    </row>
    <row r="745" spans="1:20" s="401" customFormat="1" ht="23.25" customHeight="1">
      <c r="A745" s="99" t="s">
        <v>273</v>
      </c>
      <c r="B745" s="100"/>
      <c r="C745" s="101" t="s">
        <v>184</v>
      </c>
      <c r="D745" s="402" t="s">
        <v>558</v>
      </c>
      <c r="E745" s="403" t="s">
        <v>189</v>
      </c>
      <c r="F745" s="403">
        <v>8101150715</v>
      </c>
      <c r="G745" s="404">
        <v>38766</v>
      </c>
      <c r="H745" s="404">
        <v>38796</v>
      </c>
      <c r="I745" s="405" t="s">
        <v>70</v>
      </c>
      <c r="J745" s="406">
        <v>180.16</v>
      </c>
      <c r="K745" s="407">
        <v>36.032000000000004</v>
      </c>
      <c r="L745" s="280">
        <v>216.192</v>
      </c>
      <c r="M745" s="68">
        <f>64.8576/1.2</f>
        <v>54.04800000000001</v>
      </c>
      <c r="N745" s="68">
        <f t="shared" si="182"/>
        <v>10.809600000000003</v>
      </c>
      <c r="O745" s="255">
        <f t="shared" si="178"/>
        <v>64.85760000000002</v>
      </c>
      <c r="P745" s="63">
        <f t="shared" si="179"/>
        <v>35.13120000000001</v>
      </c>
      <c r="Q745" s="63">
        <f t="shared" si="180"/>
        <v>7.026240000000002</v>
      </c>
      <c r="R745" s="255">
        <f t="shared" si="181"/>
        <v>42.15744000000001</v>
      </c>
      <c r="S745" s="545" t="s">
        <v>316</v>
      </c>
      <c r="T745" s="546"/>
    </row>
    <row r="746" spans="1:20" s="401" customFormat="1" ht="22.5">
      <c r="A746" s="99" t="s">
        <v>273</v>
      </c>
      <c r="B746" s="100"/>
      <c r="C746" s="101" t="s">
        <v>184</v>
      </c>
      <c r="D746" s="402" t="s">
        <v>561</v>
      </c>
      <c r="E746" s="403" t="s">
        <v>73</v>
      </c>
      <c r="F746" s="403" t="s">
        <v>571</v>
      </c>
      <c r="G746" s="404">
        <v>38786</v>
      </c>
      <c r="H746" s="404">
        <v>38806</v>
      </c>
      <c r="I746" s="405" t="s">
        <v>196</v>
      </c>
      <c r="J746" s="406">
        <v>49.2</v>
      </c>
      <c r="K746" s="407">
        <v>9.84</v>
      </c>
      <c r="L746" s="280">
        <v>59.04</v>
      </c>
      <c r="M746" s="68">
        <f>11.808/1.2</f>
        <v>9.84</v>
      </c>
      <c r="N746" s="68">
        <f t="shared" si="182"/>
        <v>1.968</v>
      </c>
      <c r="O746" s="255">
        <f t="shared" si="178"/>
        <v>11.808</v>
      </c>
      <c r="P746" s="63">
        <f t="shared" si="179"/>
        <v>6.396</v>
      </c>
      <c r="Q746" s="63">
        <f t="shared" si="180"/>
        <v>1.2792000000000001</v>
      </c>
      <c r="R746" s="255">
        <f t="shared" si="181"/>
        <v>7.6752</v>
      </c>
      <c r="S746" s="545" t="s">
        <v>316</v>
      </c>
      <c r="T746" s="546"/>
    </row>
    <row r="747" spans="1:20" s="401" customFormat="1" ht="21" customHeight="1">
      <c r="A747" s="99" t="s">
        <v>273</v>
      </c>
      <c r="B747" s="100"/>
      <c r="C747" s="101" t="s">
        <v>184</v>
      </c>
      <c r="D747" s="402" t="s">
        <v>128</v>
      </c>
      <c r="E747" s="403" t="s">
        <v>197</v>
      </c>
      <c r="F747" s="403" t="s">
        <v>572</v>
      </c>
      <c r="G747" s="404">
        <v>38790</v>
      </c>
      <c r="H747" s="404">
        <v>38812</v>
      </c>
      <c r="I747" s="405" t="s">
        <v>196</v>
      </c>
      <c r="J747" s="406">
        <v>312.84</v>
      </c>
      <c r="K747" s="407">
        <v>62.568</v>
      </c>
      <c r="L747" s="280">
        <v>375.40799999999996</v>
      </c>
      <c r="M747" s="68">
        <f>75.0816/1.2</f>
        <v>62.568</v>
      </c>
      <c r="N747" s="68">
        <f t="shared" si="182"/>
        <v>12.5136</v>
      </c>
      <c r="O747" s="255">
        <f t="shared" si="178"/>
        <v>75.0816</v>
      </c>
      <c r="P747" s="63">
        <f t="shared" si="179"/>
        <v>40.6692</v>
      </c>
      <c r="Q747" s="63">
        <f t="shared" si="180"/>
        <v>8.133840000000001</v>
      </c>
      <c r="R747" s="255">
        <f t="shared" si="181"/>
        <v>48.803039999999996</v>
      </c>
      <c r="S747" s="545" t="s">
        <v>316</v>
      </c>
      <c r="T747" s="546"/>
    </row>
    <row r="748" spans="1:20" s="401" customFormat="1" ht="21" customHeight="1">
      <c r="A748" s="99" t="s">
        <v>273</v>
      </c>
      <c r="B748" s="100"/>
      <c r="C748" s="101" t="s">
        <v>184</v>
      </c>
      <c r="D748" s="402" t="s">
        <v>558</v>
      </c>
      <c r="E748" s="403" t="s">
        <v>189</v>
      </c>
      <c r="F748" s="403">
        <v>8102385269</v>
      </c>
      <c r="G748" s="404">
        <v>38795</v>
      </c>
      <c r="H748" s="404">
        <v>38825</v>
      </c>
      <c r="I748" s="405" t="s">
        <v>70</v>
      </c>
      <c r="J748" s="406">
        <v>175.4</v>
      </c>
      <c r="K748" s="407">
        <v>35.08</v>
      </c>
      <c r="L748" s="280">
        <v>210.48</v>
      </c>
      <c r="M748" s="68">
        <f>63.144/1.2</f>
        <v>52.62</v>
      </c>
      <c r="N748" s="68">
        <f t="shared" si="182"/>
        <v>10.524000000000001</v>
      </c>
      <c r="O748" s="255">
        <f t="shared" si="178"/>
        <v>63.144</v>
      </c>
      <c r="P748" s="63">
        <f t="shared" si="179"/>
        <v>34.203</v>
      </c>
      <c r="Q748" s="63">
        <f t="shared" si="180"/>
        <v>6.840600000000001</v>
      </c>
      <c r="R748" s="255">
        <f t="shared" si="181"/>
        <v>41.043600000000005</v>
      </c>
      <c r="S748" s="545" t="s">
        <v>316</v>
      </c>
      <c r="T748" s="546"/>
    </row>
    <row r="749" spans="1:20" s="401" customFormat="1" ht="11.25" customHeight="1">
      <c r="A749" s="99" t="s">
        <v>273</v>
      </c>
      <c r="B749" s="100"/>
      <c r="C749" s="101" t="s">
        <v>184</v>
      </c>
      <c r="D749" s="402" t="s">
        <v>573</v>
      </c>
      <c r="E749" s="403"/>
      <c r="F749" s="403">
        <v>4</v>
      </c>
      <c r="G749" s="404">
        <v>38808</v>
      </c>
      <c r="H749" s="404"/>
      <c r="I749" s="405" t="s">
        <v>88</v>
      </c>
      <c r="J749" s="406">
        <v>551.81</v>
      </c>
      <c r="K749" s="407">
        <v>0</v>
      </c>
      <c r="L749" s="280">
        <v>551.81</v>
      </c>
      <c r="M749" s="68"/>
      <c r="N749" s="68"/>
      <c r="O749" s="255"/>
      <c r="P749" s="68"/>
      <c r="Q749" s="68"/>
      <c r="R749" s="255"/>
      <c r="S749" s="587" t="s">
        <v>599</v>
      </c>
      <c r="T749" s="588"/>
    </row>
    <row r="750" spans="1:20" s="401" customFormat="1" ht="11.25">
      <c r="A750" s="99" t="s">
        <v>273</v>
      </c>
      <c r="B750" s="100"/>
      <c r="C750" s="101" t="s">
        <v>184</v>
      </c>
      <c r="D750" s="402" t="s">
        <v>574</v>
      </c>
      <c r="E750" s="403"/>
      <c r="F750" s="403">
        <v>5</v>
      </c>
      <c r="G750" s="404">
        <v>38808</v>
      </c>
      <c r="H750" s="404"/>
      <c r="I750" s="405" t="s">
        <v>88</v>
      </c>
      <c r="J750" s="406">
        <v>551.81</v>
      </c>
      <c r="K750" s="407">
        <v>0</v>
      </c>
      <c r="L750" s="280">
        <v>551.81</v>
      </c>
      <c r="M750" s="68"/>
      <c r="N750" s="68"/>
      <c r="O750" s="255"/>
      <c r="P750" s="68"/>
      <c r="Q750" s="68"/>
      <c r="R750" s="255"/>
      <c r="S750" s="589"/>
      <c r="T750" s="590"/>
    </row>
    <row r="751" spans="1:20" s="401" customFormat="1" ht="22.5">
      <c r="A751" s="99" t="s">
        <v>273</v>
      </c>
      <c r="B751" s="100"/>
      <c r="C751" s="101" t="s">
        <v>184</v>
      </c>
      <c r="D751" s="402" t="s">
        <v>561</v>
      </c>
      <c r="E751" s="403" t="s">
        <v>73</v>
      </c>
      <c r="F751" s="403" t="s">
        <v>575</v>
      </c>
      <c r="G751" s="404">
        <v>38811</v>
      </c>
      <c r="H751" s="404">
        <v>38831</v>
      </c>
      <c r="I751" s="405" t="s">
        <v>196</v>
      </c>
      <c r="J751" s="406">
        <v>968.93</v>
      </c>
      <c r="K751" s="407">
        <v>193.786</v>
      </c>
      <c r="L751" s="280">
        <v>1162.716</v>
      </c>
      <c r="M751" s="68">
        <f>232.5432/1.2</f>
        <v>193.78600000000003</v>
      </c>
      <c r="N751" s="68">
        <f>+M751*0.2</f>
        <v>38.75720000000001</v>
      </c>
      <c r="O751" s="255">
        <f>+N751+M751</f>
        <v>232.54320000000004</v>
      </c>
      <c r="P751" s="63">
        <f aca="true" t="shared" si="183" ref="P751:Q753">M751*0.65</f>
        <v>125.96090000000002</v>
      </c>
      <c r="Q751" s="63">
        <f t="shared" si="183"/>
        <v>25.192180000000008</v>
      </c>
      <c r="R751" s="255">
        <f>+Q751+P751</f>
        <v>151.15308000000005</v>
      </c>
      <c r="S751" s="398"/>
      <c r="T751" s="399"/>
    </row>
    <row r="752" spans="1:20" s="401" customFormat="1" ht="21" customHeight="1">
      <c r="A752" s="99" t="s">
        <v>273</v>
      </c>
      <c r="B752" s="100"/>
      <c r="C752" s="101" t="s">
        <v>184</v>
      </c>
      <c r="D752" s="402" t="s">
        <v>514</v>
      </c>
      <c r="E752" s="403" t="s">
        <v>99</v>
      </c>
      <c r="F752" s="403" t="s">
        <v>576</v>
      </c>
      <c r="G752" s="404">
        <v>38813</v>
      </c>
      <c r="H752" s="404">
        <v>38852</v>
      </c>
      <c r="I752" s="405" t="s">
        <v>70</v>
      </c>
      <c r="J752" s="406">
        <v>177.5</v>
      </c>
      <c r="K752" s="407">
        <v>35.5</v>
      </c>
      <c r="L752" s="280">
        <v>213</v>
      </c>
      <c r="M752" s="68">
        <f>63.9/1.2</f>
        <v>53.25</v>
      </c>
      <c r="N752" s="68">
        <f>+M752*0.2</f>
        <v>10.65</v>
      </c>
      <c r="O752" s="255">
        <f>+N752+M752</f>
        <v>63.9</v>
      </c>
      <c r="P752" s="63">
        <f t="shared" si="183"/>
        <v>34.612500000000004</v>
      </c>
      <c r="Q752" s="63">
        <f t="shared" si="183"/>
        <v>6.9225</v>
      </c>
      <c r="R752" s="255">
        <f>+Q752+P752</f>
        <v>41.535000000000004</v>
      </c>
      <c r="S752" s="545" t="s">
        <v>316</v>
      </c>
      <c r="T752" s="546"/>
    </row>
    <row r="753" spans="1:20" s="401" customFormat="1" ht="21" customHeight="1">
      <c r="A753" s="99" t="s">
        <v>273</v>
      </c>
      <c r="B753" s="100"/>
      <c r="C753" s="101" t="s">
        <v>184</v>
      </c>
      <c r="D753" s="402" t="s">
        <v>558</v>
      </c>
      <c r="E753" s="403" t="s">
        <v>189</v>
      </c>
      <c r="F753" s="403">
        <v>8103530478</v>
      </c>
      <c r="G753" s="404">
        <v>38824</v>
      </c>
      <c r="H753" s="404">
        <v>38854</v>
      </c>
      <c r="I753" s="405" t="s">
        <v>70</v>
      </c>
      <c r="J753" s="406">
        <v>245.79</v>
      </c>
      <c r="K753" s="407">
        <v>49.158</v>
      </c>
      <c r="L753" s="280">
        <v>294.948</v>
      </c>
      <c r="M753" s="68">
        <f>88.4844/1.2</f>
        <v>73.737</v>
      </c>
      <c r="N753" s="68">
        <f>+M753*0.2</f>
        <v>14.747399999999999</v>
      </c>
      <c r="O753" s="255">
        <f>+N753+M753</f>
        <v>88.4844</v>
      </c>
      <c r="P753" s="63">
        <f t="shared" si="183"/>
        <v>47.92905</v>
      </c>
      <c r="Q753" s="63">
        <f t="shared" si="183"/>
        <v>9.58581</v>
      </c>
      <c r="R753" s="255">
        <f>+Q753+P753</f>
        <v>57.51486</v>
      </c>
      <c r="S753" s="545" t="s">
        <v>316</v>
      </c>
      <c r="T753" s="546"/>
    </row>
    <row r="754" spans="1:20" s="401" customFormat="1" ht="22.5">
      <c r="A754" s="99" t="s">
        <v>273</v>
      </c>
      <c r="B754" s="100"/>
      <c r="C754" s="101" t="s">
        <v>184</v>
      </c>
      <c r="D754" s="402" t="s">
        <v>561</v>
      </c>
      <c r="E754" s="403" t="s">
        <v>73</v>
      </c>
      <c r="F754" s="403" t="s">
        <v>577</v>
      </c>
      <c r="G754" s="404">
        <v>38855</v>
      </c>
      <c r="H754" s="404">
        <v>38875</v>
      </c>
      <c r="I754" s="405" t="s">
        <v>196</v>
      </c>
      <c r="J754" s="406">
        <v>51.82</v>
      </c>
      <c r="K754" s="407">
        <v>10.364</v>
      </c>
      <c r="L754" s="280">
        <v>62.184</v>
      </c>
      <c r="M754" s="68"/>
      <c r="N754" s="68"/>
      <c r="O754" s="255"/>
      <c r="P754" s="68"/>
      <c r="Q754" s="68"/>
      <c r="R754" s="255"/>
      <c r="S754" s="545" t="s">
        <v>459</v>
      </c>
      <c r="T754" s="546"/>
    </row>
    <row r="755" spans="1:20" s="401" customFormat="1" ht="21" customHeight="1">
      <c r="A755" s="99" t="s">
        <v>273</v>
      </c>
      <c r="B755" s="100"/>
      <c r="C755" s="101" t="s">
        <v>184</v>
      </c>
      <c r="D755" s="402" t="s">
        <v>578</v>
      </c>
      <c r="E755" s="403"/>
      <c r="F755" s="403">
        <v>2</v>
      </c>
      <c r="G755" s="404" t="s">
        <v>579</v>
      </c>
      <c r="H755" s="404"/>
      <c r="I755" s="405" t="s">
        <v>88</v>
      </c>
      <c r="J755" s="406">
        <v>551.81</v>
      </c>
      <c r="K755" s="407">
        <v>0</v>
      </c>
      <c r="L755" s="280">
        <v>551.81</v>
      </c>
      <c r="M755" s="68"/>
      <c r="N755" s="68"/>
      <c r="O755" s="255"/>
      <c r="P755" s="68"/>
      <c r="Q755" s="68"/>
      <c r="R755" s="255"/>
      <c r="S755" s="545" t="s">
        <v>599</v>
      </c>
      <c r="T755" s="546"/>
    </row>
    <row r="756" spans="1:20" ht="22.5">
      <c r="A756" s="44" t="s">
        <v>273</v>
      </c>
      <c r="B756" s="8"/>
      <c r="C756" s="9" t="s">
        <v>184</v>
      </c>
      <c r="D756" s="13" t="s">
        <v>583</v>
      </c>
      <c r="E756" s="13" t="s">
        <v>584</v>
      </c>
      <c r="F756" s="9">
        <v>797</v>
      </c>
      <c r="G756" s="10">
        <v>38701</v>
      </c>
      <c r="H756" s="11">
        <v>38709</v>
      </c>
      <c r="I756" s="16" t="s">
        <v>329</v>
      </c>
      <c r="J756" s="12">
        <v>3898</v>
      </c>
      <c r="K756" s="12">
        <v>779.6</v>
      </c>
      <c r="L756" s="263">
        <v>4677.6</v>
      </c>
      <c r="M756" s="12">
        <v>3898</v>
      </c>
      <c r="N756" s="12">
        <f>+M756*0.2</f>
        <v>779.6</v>
      </c>
      <c r="O756" s="263">
        <f>+N756+M756</f>
        <v>4677.6</v>
      </c>
      <c r="P756" s="68">
        <f>M756*0.65</f>
        <v>2533.7000000000003</v>
      </c>
      <c r="Q756" s="68">
        <f>N756*0.65</f>
        <v>506.74</v>
      </c>
      <c r="R756" s="255">
        <f>O756*0.65</f>
        <v>3040.4400000000005</v>
      </c>
      <c r="S756" s="544" t="s">
        <v>602</v>
      </c>
      <c r="T756" s="544"/>
    </row>
    <row r="757" spans="1:20" s="401" customFormat="1" ht="19.5" customHeight="1">
      <c r="A757" s="99" t="s">
        <v>273</v>
      </c>
      <c r="B757" s="100"/>
      <c r="C757" s="101" t="s">
        <v>123</v>
      </c>
      <c r="D757" s="402"/>
      <c r="E757" s="403"/>
      <c r="F757" s="403"/>
      <c r="G757" s="404"/>
      <c r="H757" s="404"/>
      <c r="I757" s="405"/>
      <c r="J757" s="406">
        <v>1972.58</v>
      </c>
      <c r="K757" s="407">
        <v>104.6</v>
      </c>
      <c r="L757" s="280">
        <f>+K757+J757</f>
        <v>2077.18</v>
      </c>
      <c r="M757" s="68"/>
      <c r="N757" s="68"/>
      <c r="O757" s="255"/>
      <c r="P757" s="68"/>
      <c r="Q757" s="68"/>
      <c r="R757" s="255"/>
      <c r="S757" s="545" t="s">
        <v>594</v>
      </c>
      <c r="T757" s="546"/>
    </row>
    <row r="758" spans="1:20" s="401" customFormat="1" ht="19.5" customHeight="1">
      <c r="A758" s="99" t="s">
        <v>635</v>
      </c>
      <c r="B758" s="100"/>
      <c r="C758" s="101" t="s">
        <v>123</v>
      </c>
      <c r="D758" s="402" t="s">
        <v>636</v>
      </c>
      <c r="E758" s="403" t="s">
        <v>637</v>
      </c>
      <c r="F758" s="403"/>
      <c r="G758" s="404"/>
      <c r="H758" s="404">
        <v>38659</v>
      </c>
      <c r="I758" s="405" t="s">
        <v>125</v>
      </c>
      <c r="J758" s="406">
        <v>912.83</v>
      </c>
      <c r="K758" s="407"/>
      <c r="L758" s="280">
        <v>912.83</v>
      </c>
      <c r="M758" s="68">
        <v>182.56600000000003</v>
      </c>
      <c r="N758" s="68">
        <v>0</v>
      </c>
      <c r="O758" s="255">
        <v>182.56600000000003</v>
      </c>
      <c r="P758" s="68">
        <f aca="true" t="shared" si="184" ref="P758:P789">M758*0.65</f>
        <v>118.66790000000002</v>
      </c>
      <c r="Q758" s="68">
        <f aca="true" t="shared" si="185" ref="Q758:Q789">N758*0.65</f>
        <v>0</v>
      </c>
      <c r="R758" s="255">
        <f aca="true" t="shared" si="186" ref="R758:R789">O758*0.65</f>
        <v>118.66790000000002</v>
      </c>
      <c r="S758" s="448"/>
      <c r="T758" s="449"/>
    </row>
    <row r="759" spans="1:20" s="401" customFormat="1" ht="19.5" customHeight="1">
      <c r="A759" s="99" t="s">
        <v>635</v>
      </c>
      <c r="B759" s="100"/>
      <c r="C759" s="101" t="s">
        <v>123</v>
      </c>
      <c r="D759" s="402" t="s">
        <v>638</v>
      </c>
      <c r="E759" s="403" t="s">
        <v>135</v>
      </c>
      <c r="F759" s="403"/>
      <c r="G759" s="404"/>
      <c r="H759" s="404">
        <v>38658</v>
      </c>
      <c r="I759" s="405" t="s">
        <v>125</v>
      </c>
      <c r="J759" s="406">
        <v>116.5</v>
      </c>
      <c r="K759" s="407"/>
      <c r="L759" s="280">
        <v>116.5</v>
      </c>
      <c r="M759" s="68">
        <v>23.3</v>
      </c>
      <c r="N759" s="68">
        <v>0</v>
      </c>
      <c r="O759" s="255">
        <v>23.3</v>
      </c>
      <c r="P759" s="68">
        <f t="shared" si="184"/>
        <v>15.145000000000001</v>
      </c>
      <c r="Q759" s="68">
        <f t="shared" si="185"/>
        <v>0</v>
      </c>
      <c r="R759" s="255">
        <f t="shared" si="186"/>
        <v>15.145000000000001</v>
      </c>
      <c r="S759" s="448"/>
      <c r="T759" s="449"/>
    </row>
    <row r="760" spans="1:20" s="401" customFormat="1" ht="19.5" customHeight="1">
      <c r="A760" s="99" t="s">
        <v>635</v>
      </c>
      <c r="B760" s="100"/>
      <c r="C760" s="101" t="s">
        <v>123</v>
      </c>
      <c r="D760" s="402" t="s">
        <v>636</v>
      </c>
      <c r="E760" s="403" t="s">
        <v>637</v>
      </c>
      <c r="F760" s="403"/>
      <c r="G760" s="404"/>
      <c r="H760" s="404">
        <v>38687</v>
      </c>
      <c r="I760" s="405" t="s">
        <v>125</v>
      </c>
      <c r="J760" s="406">
        <v>912.83</v>
      </c>
      <c r="K760" s="407"/>
      <c r="L760" s="280">
        <v>912.83</v>
      </c>
      <c r="M760" s="68">
        <v>182.56600000000003</v>
      </c>
      <c r="N760" s="68">
        <v>0</v>
      </c>
      <c r="O760" s="255">
        <v>182.56600000000003</v>
      </c>
      <c r="P760" s="68">
        <f t="shared" si="184"/>
        <v>118.66790000000002</v>
      </c>
      <c r="Q760" s="68">
        <f t="shared" si="185"/>
        <v>0</v>
      </c>
      <c r="R760" s="255">
        <f t="shared" si="186"/>
        <v>118.66790000000002</v>
      </c>
      <c r="S760" s="448"/>
      <c r="T760" s="449"/>
    </row>
    <row r="761" spans="1:20" s="401" customFormat="1" ht="19.5" customHeight="1">
      <c r="A761" s="99" t="s">
        <v>635</v>
      </c>
      <c r="B761" s="100"/>
      <c r="C761" s="101" t="s">
        <v>123</v>
      </c>
      <c r="D761" s="402" t="s">
        <v>638</v>
      </c>
      <c r="E761" s="403" t="s">
        <v>135</v>
      </c>
      <c r="F761" s="403"/>
      <c r="G761" s="404"/>
      <c r="H761" s="404">
        <v>38658</v>
      </c>
      <c r="I761" s="405" t="s">
        <v>125</v>
      </c>
      <c r="J761" s="406">
        <v>116.5</v>
      </c>
      <c r="K761" s="407"/>
      <c r="L761" s="280">
        <v>116.5</v>
      </c>
      <c r="M761" s="68">
        <v>23.3</v>
      </c>
      <c r="N761" s="68">
        <v>0</v>
      </c>
      <c r="O761" s="255">
        <v>23.3</v>
      </c>
      <c r="P761" s="68">
        <f t="shared" si="184"/>
        <v>15.145000000000001</v>
      </c>
      <c r="Q761" s="68">
        <f t="shared" si="185"/>
        <v>0</v>
      </c>
      <c r="R761" s="255">
        <f t="shared" si="186"/>
        <v>15.145000000000001</v>
      </c>
      <c r="S761" s="448"/>
      <c r="T761" s="449"/>
    </row>
    <row r="762" spans="1:20" s="401" customFormat="1" ht="19.5" customHeight="1">
      <c r="A762" s="99" t="s">
        <v>635</v>
      </c>
      <c r="B762" s="100"/>
      <c r="C762" s="101" t="s">
        <v>123</v>
      </c>
      <c r="D762" s="402" t="s">
        <v>131</v>
      </c>
      <c r="E762" s="403" t="s">
        <v>99</v>
      </c>
      <c r="F762" s="403" t="s">
        <v>639</v>
      </c>
      <c r="G762" s="404">
        <v>38665</v>
      </c>
      <c r="H762" s="404">
        <v>0.5500578703703703</v>
      </c>
      <c r="I762" s="405" t="s">
        <v>640</v>
      </c>
      <c r="J762" s="406">
        <v>645.48</v>
      </c>
      <c r="K762" s="407">
        <v>123.52</v>
      </c>
      <c r="L762" s="280">
        <v>769</v>
      </c>
      <c r="M762" s="68">
        <v>129.096</v>
      </c>
      <c r="N762" s="68">
        <v>24.704</v>
      </c>
      <c r="O762" s="255">
        <v>153.8</v>
      </c>
      <c r="P762" s="68">
        <f t="shared" si="184"/>
        <v>83.9124</v>
      </c>
      <c r="Q762" s="68">
        <f t="shared" si="185"/>
        <v>16.0576</v>
      </c>
      <c r="R762" s="255">
        <f t="shared" si="186"/>
        <v>99.97000000000001</v>
      </c>
      <c r="S762" s="545" t="s">
        <v>733</v>
      </c>
      <c r="T762" s="546"/>
    </row>
    <row r="763" spans="1:20" s="401" customFormat="1" ht="19.5" customHeight="1">
      <c r="A763" s="99" t="s">
        <v>635</v>
      </c>
      <c r="B763" s="100"/>
      <c r="C763" s="101" t="s">
        <v>123</v>
      </c>
      <c r="D763" s="402" t="s">
        <v>641</v>
      </c>
      <c r="E763" s="403" t="s">
        <v>73</v>
      </c>
      <c r="F763" s="403">
        <v>14239</v>
      </c>
      <c r="G763" s="404">
        <v>38674</v>
      </c>
      <c r="H763" s="404">
        <v>38695</v>
      </c>
      <c r="I763" s="405" t="s">
        <v>640</v>
      </c>
      <c r="J763" s="406">
        <v>56.63</v>
      </c>
      <c r="K763" s="407">
        <v>11.326</v>
      </c>
      <c r="L763" s="280">
        <v>67.956</v>
      </c>
      <c r="M763" s="68">
        <v>11.326</v>
      </c>
      <c r="N763" s="68">
        <v>2.2652</v>
      </c>
      <c r="O763" s="255">
        <v>13.5912</v>
      </c>
      <c r="P763" s="68">
        <f t="shared" si="184"/>
        <v>7.3619</v>
      </c>
      <c r="Q763" s="68">
        <f t="shared" si="185"/>
        <v>1.47238</v>
      </c>
      <c r="R763" s="255">
        <f t="shared" si="186"/>
        <v>8.834280000000001</v>
      </c>
      <c r="S763" s="545" t="s">
        <v>733</v>
      </c>
      <c r="T763" s="546"/>
    </row>
    <row r="764" spans="1:20" s="401" customFormat="1" ht="19.5" customHeight="1">
      <c r="A764" s="99" t="s">
        <v>635</v>
      </c>
      <c r="B764" s="100"/>
      <c r="C764" s="101" t="s">
        <v>123</v>
      </c>
      <c r="D764" s="402" t="s">
        <v>642</v>
      </c>
      <c r="E764" s="403" t="s">
        <v>642</v>
      </c>
      <c r="F764" s="403">
        <v>175769</v>
      </c>
      <c r="G764" s="404">
        <v>0.05005787037037037</v>
      </c>
      <c r="H764" s="404">
        <v>38702</v>
      </c>
      <c r="I764" s="405" t="s">
        <v>640</v>
      </c>
      <c r="J764" s="406">
        <v>75.9</v>
      </c>
      <c r="K764" s="407">
        <v>15.1</v>
      </c>
      <c r="L764" s="280">
        <v>91</v>
      </c>
      <c r="M764" s="68">
        <v>15.18</v>
      </c>
      <c r="N764" s="68">
        <v>3.02</v>
      </c>
      <c r="O764" s="255">
        <v>18.2</v>
      </c>
      <c r="P764" s="68">
        <f t="shared" si="184"/>
        <v>9.867</v>
      </c>
      <c r="Q764" s="68">
        <f t="shared" si="185"/>
        <v>1.963</v>
      </c>
      <c r="R764" s="255">
        <f t="shared" si="186"/>
        <v>11.83</v>
      </c>
      <c r="S764" s="545" t="s">
        <v>733</v>
      </c>
      <c r="T764" s="546"/>
    </row>
    <row r="765" spans="1:20" s="401" customFormat="1" ht="19.5" customHeight="1">
      <c r="A765" s="99" t="s">
        <v>635</v>
      </c>
      <c r="B765" s="100"/>
      <c r="C765" s="101" t="s">
        <v>123</v>
      </c>
      <c r="D765" s="402" t="s">
        <v>636</v>
      </c>
      <c r="E765" s="403" t="s">
        <v>637</v>
      </c>
      <c r="F765" s="403"/>
      <c r="G765" s="404"/>
      <c r="H765" s="404">
        <v>38720</v>
      </c>
      <c r="I765" s="405" t="s">
        <v>125</v>
      </c>
      <c r="J765" s="406">
        <v>912.83</v>
      </c>
      <c r="K765" s="407"/>
      <c r="L765" s="280">
        <v>912.83</v>
      </c>
      <c r="M765" s="68">
        <v>182.56600000000003</v>
      </c>
      <c r="N765" s="68">
        <v>0</v>
      </c>
      <c r="O765" s="255">
        <v>182.56600000000003</v>
      </c>
      <c r="P765" s="68">
        <f t="shared" si="184"/>
        <v>118.66790000000002</v>
      </c>
      <c r="Q765" s="68">
        <f t="shared" si="185"/>
        <v>0</v>
      </c>
      <c r="R765" s="255">
        <f t="shared" si="186"/>
        <v>118.66790000000002</v>
      </c>
      <c r="S765" s="448"/>
      <c r="T765" s="449"/>
    </row>
    <row r="766" spans="1:20" s="401" customFormat="1" ht="19.5" customHeight="1">
      <c r="A766" s="99" t="s">
        <v>635</v>
      </c>
      <c r="B766" s="100"/>
      <c r="C766" s="101" t="s">
        <v>123</v>
      </c>
      <c r="D766" s="402" t="s">
        <v>638</v>
      </c>
      <c r="E766" s="403" t="s">
        <v>135</v>
      </c>
      <c r="F766" s="403"/>
      <c r="G766" s="404"/>
      <c r="H766" s="404">
        <v>38719</v>
      </c>
      <c r="I766" s="405" t="s">
        <v>125</v>
      </c>
      <c r="J766" s="406">
        <v>116.5</v>
      </c>
      <c r="K766" s="407"/>
      <c r="L766" s="280">
        <v>116.5</v>
      </c>
      <c r="M766" s="68">
        <v>23.3</v>
      </c>
      <c r="N766" s="68">
        <v>0</v>
      </c>
      <c r="O766" s="255">
        <v>23.3</v>
      </c>
      <c r="P766" s="68">
        <f t="shared" si="184"/>
        <v>15.145000000000001</v>
      </c>
      <c r="Q766" s="68">
        <f t="shared" si="185"/>
        <v>0</v>
      </c>
      <c r="R766" s="255">
        <f t="shared" si="186"/>
        <v>15.145000000000001</v>
      </c>
      <c r="S766" s="448"/>
      <c r="T766" s="449"/>
    </row>
    <row r="767" spans="1:20" s="401" customFormat="1" ht="19.5" customHeight="1">
      <c r="A767" s="99" t="s">
        <v>635</v>
      </c>
      <c r="B767" s="100"/>
      <c r="C767" s="101" t="s">
        <v>123</v>
      </c>
      <c r="D767" s="402" t="s">
        <v>636</v>
      </c>
      <c r="E767" s="403" t="s">
        <v>637</v>
      </c>
      <c r="F767" s="403"/>
      <c r="G767" s="404"/>
      <c r="H767" s="404">
        <v>38750</v>
      </c>
      <c r="I767" s="405" t="s">
        <v>125</v>
      </c>
      <c r="J767" s="406">
        <v>912.83</v>
      </c>
      <c r="K767" s="407"/>
      <c r="L767" s="280">
        <v>912.83</v>
      </c>
      <c r="M767" s="68">
        <v>182.56600000000003</v>
      </c>
      <c r="N767" s="68">
        <v>0</v>
      </c>
      <c r="O767" s="255">
        <v>182.56600000000003</v>
      </c>
      <c r="P767" s="68">
        <f t="shared" si="184"/>
        <v>118.66790000000002</v>
      </c>
      <c r="Q767" s="68">
        <f t="shared" si="185"/>
        <v>0</v>
      </c>
      <c r="R767" s="255">
        <f t="shared" si="186"/>
        <v>118.66790000000002</v>
      </c>
      <c r="S767" s="448"/>
      <c r="T767" s="449"/>
    </row>
    <row r="768" spans="1:20" s="401" customFormat="1" ht="19.5" customHeight="1">
      <c r="A768" s="99" t="s">
        <v>635</v>
      </c>
      <c r="B768" s="100"/>
      <c r="C768" s="101" t="s">
        <v>123</v>
      </c>
      <c r="D768" s="402" t="s">
        <v>638</v>
      </c>
      <c r="E768" s="403" t="s">
        <v>135</v>
      </c>
      <c r="F768" s="403"/>
      <c r="G768" s="404"/>
      <c r="H768" s="404">
        <v>38719</v>
      </c>
      <c r="I768" s="405" t="s">
        <v>125</v>
      </c>
      <c r="J768" s="406">
        <v>116.5</v>
      </c>
      <c r="K768" s="407"/>
      <c r="L768" s="280">
        <v>116.5</v>
      </c>
      <c r="M768" s="68">
        <v>23.3</v>
      </c>
      <c r="N768" s="68">
        <v>0</v>
      </c>
      <c r="O768" s="255">
        <v>23.3</v>
      </c>
      <c r="P768" s="68">
        <f t="shared" si="184"/>
        <v>15.145000000000001</v>
      </c>
      <c r="Q768" s="68">
        <f t="shared" si="185"/>
        <v>0</v>
      </c>
      <c r="R768" s="255">
        <f t="shared" si="186"/>
        <v>15.145000000000001</v>
      </c>
      <c r="S768" s="448"/>
      <c r="T768" s="449"/>
    </row>
    <row r="769" spans="1:20" s="401" customFormat="1" ht="19.5" customHeight="1">
      <c r="A769" s="99" t="s">
        <v>635</v>
      </c>
      <c r="B769" s="100"/>
      <c r="C769" s="101" t="s">
        <v>123</v>
      </c>
      <c r="D769" s="402" t="s">
        <v>641</v>
      </c>
      <c r="E769" s="403" t="s">
        <v>73</v>
      </c>
      <c r="F769" s="403">
        <v>1014231</v>
      </c>
      <c r="G769" s="404">
        <v>38737</v>
      </c>
      <c r="H769" s="404">
        <v>38757</v>
      </c>
      <c r="I769" s="405" t="s">
        <v>640</v>
      </c>
      <c r="J769" s="406">
        <v>59.44</v>
      </c>
      <c r="K769" s="407">
        <v>11.888</v>
      </c>
      <c r="L769" s="280">
        <v>71.328</v>
      </c>
      <c r="M769" s="68">
        <v>11.888</v>
      </c>
      <c r="N769" s="68">
        <v>2.3776</v>
      </c>
      <c r="O769" s="255">
        <v>14.2656</v>
      </c>
      <c r="P769" s="68">
        <f t="shared" si="184"/>
        <v>7.7272</v>
      </c>
      <c r="Q769" s="68">
        <f t="shared" si="185"/>
        <v>1.5454400000000001</v>
      </c>
      <c r="R769" s="255">
        <f t="shared" si="186"/>
        <v>9.272639999999999</v>
      </c>
      <c r="S769" s="545" t="s">
        <v>733</v>
      </c>
      <c r="T769" s="546"/>
    </row>
    <row r="770" spans="1:20" s="401" customFormat="1" ht="19.5" customHeight="1">
      <c r="A770" s="99" t="s">
        <v>635</v>
      </c>
      <c r="B770" s="100"/>
      <c r="C770" s="101" t="s">
        <v>123</v>
      </c>
      <c r="D770" s="402" t="s">
        <v>131</v>
      </c>
      <c r="E770" s="403" t="s">
        <v>99</v>
      </c>
      <c r="F770" s="403" t="s">
        <v>643</v>
      </c>
      <c r="G770" s="404">
        <v>38727</v>
      </c>
      <c r="H770" s="404">
        <v>42413</v>
      </c>
      <c r="I770" s="405" t="s">
        <v>640</v>
      </c>
      <c r="J770" s="406">
        <v>620.51</v>
      </c>
      <c r="K770" s="407">
        <v>118.99</v>
      </c>
      <c r="L770" s="280">
        <v>739.5</v>
      </c>
      <c r="M770" s="68">
        <v>124.102</v>
      </c>
      <c r="N770" s="68">
        <v>23.798000000000002</v>
      </c>
      <c r="O770" s="255">
        <v>147.9</v>
      </c>
      <c r="P770" s="68">
        <f t="shared" si="184"/>
        <v>80.6663</v>
      </c>
      <c r="Q770" s="68">
        <f t="shared" si="185"/>
        <v>15.468700000000002</v>
      </c>
      <c r="R770" s="255">
        <f t="shared" si="186"/>
        <v>96.135</v>
      </c>
      <c r="S770" s="545" t="s">
        <v>733</v>
      </c>
      <c r="T770" s="546"/>
    </row>
    <row r="771" spans="1:20" s="401" customFormat="1" ht="19.5" customHeight="1">
      <c r="A771" s="99" t="s">
        <v>635</v>
      </c>
      <c r="B771" s="100"/>
      <c r="C771" s="101" t="s">
        <v>123</v>
      </c>
      <c r="D771" s="402" t="s">
        <v>636</v>
      </c>
      <c r="E771" s="403" t="s">
        <v>637</v>
      </c>
      <c r="F771" s="403"/>
      <c r="G771" s="404"/>
      <c r="H771" s="404">
        <v>38779</v>
      </c>
      <c r="I771" s="405" t="s">
        <v>125</v>
      </c>
      <c r="J771" s="406">
        <v>912.83</v>
      </c>
      <c r="K771" s="407"/>
      <c r="L771" s="280">
        <v>912.83</v>
      </c>
      <c r="M771" s="68">
        <v>182.56600000000003</v>
      </c>
      <c r="N771" s="68">
        <v>0</v>
      </c>
      <c r="O771" s="255">
        <v>182.56600000000003</v>
      </c>
      <c r="P771" s="68">
        <f t="shared" si="184"/>
        <v>118.66790000000002</v>
      </c>
      <c r="Q771" s="68">
        <f t="shared" si="185"/>
        <v>0</v>
      </c>
      <c r="R771" s="255">
        <f t="shared" si="186"/>
        <v>118.66790000000002</v>
      </c>
      <c r="S771" s="448"/>
      <c r="T771" s="449"/>
    </row>
    <row r="772" spans="1:20" s="401" customFormat="1" ht="19.5" customHeight="1">
      <c r="A772" s="99" t="s">
        <v>635</v>
      </c>
      <c r="B772" s="100"/>
      <c r="C772" s="101" t="s">
        <v>123</v>
      </c>
      <c r="D772" s="402" t="s">
        <v>638</v>
      </c>
      <c r="E772" s="403" t="s">
        <v>135</v>
      </c>
      <c r="F772" s="403"/>
      <c r="G772" s="404"/>
      <c r="H772" s="404">
        <v>38778</v>
      </c>
      <c r="I772" s="405" t="s">
        <v>125</v>
      </c>
      <c r="J772" s="406">
        <v>116.5</v>
      </c>
      <c r="K772" s="407"/>
      <c r="L772" s="280">
        <v>116.5</v>
      </c>
      <c r="M772" s="68">
        <v>23.3</v>
      </c>
      <c r="N772" s="68">
        <v>0</v>
      </c>
      <c r="O772" s="255">
        <v>23.3</v>
      </c>
      <c r="P772" s="68">
        <f t="shared" si="184"/>
        <v>15.145000000000001</v>
      </c>
      <c r="Q772" s="68">
        <f t="shared" si="185"/>
        <v>0</v>
      </c>
      <c r="R772" s="255">
        <f t="shared" si="186"/>
        <v>15.145000000000001</v>
      </c>
      <c r="S772" s="448"/>
      <c r="T772" s="449"/>
    </row>
    <row r="773" spans="1:20" s="401" customFormat="1" ht="19.5" customHeight="1">
      <c r="A773" s="99" t="s">
        <v>635</v>
      </c>
      <c r="B773" s="100"/>
      <c r="C773" s="101" t="s">
        <v>123</v>
      </c>
      <c r="D773" s="402" t="s">
        <v>636</v>
      </c>
      <c r="E773" s="403" t="s">
        <v>637</v>
      </c>
      <c r="F773" s="403"/>
      <c r="G773" s="404"/>
      <c r="H773" s="404">
        <v>38810</v>
      </c>
      <c r="I773" s="405" t="s">
        <v>125</v>
      </c>
      <c r="J773" s="406">
        <v>912.83</v>
      </c>
      <c r="K773" s="407"/>
      <c r="L773" s="280">
        <v>912.83</v>
      </c>
      <c r="M773" s="68">
        <v>182.56600000000003</v>
      </c>
      <c r="N773" s="68">
        <v>0</v>
      </c>
      <c r="O773" s="255">
        <v>182.56600000000003</v>
      </c>
      <c r="P773" s="68">
        <f t="shared" si="184"/>
        <v>118.66790000000002</v>
      </c>
      <c r="Q773" s="68">
        <f t="shared" si="185"/>
        <v>0</v>
      </c>
      <c r="R773" s="255">
        <f t="shared" si="186"/>
        <v>118.66790000000002</v>
      </c>
      <c r="S773" s="448"/>
      <c r="T773" s="449"/>
    </row>
    <row r="774" spans="1:20" s="401" customFormat="1" ht="19.5" customHeight="1">
      <c r="A774" s="99" t="s">
        <v>635</v>
      </c>
      <c r="B774" s="100"/>
      <c r="C774" s="101" t="s">
        <v>123</v>
      </c>
      <c r="D774" s="402" t="s">
        <v>638</v>
      </c>
      <c r="E774" s="403" t="s">
        <v>135</v>
      </c>
      <c r="F774" s="403"/>
      <c r="G774" s="404"/>
      <c r="H774" s="404">
        <v>38778</v>
      </c>
      <c r="I774" s="405" t="s">
        <v>125</v>
      </c>
      <c r="J774" s="406">
        <v>116.5</v>
      </c>
      <c r="K774" s="407"/>
      <c r="L774" s="280">
        <v>116.5</v>
      </c>
      <c r="M774" s="68">
        <v>23.3</v>
      </c>
      <c r="N774" s="68">
        <v>0</v>
      </c>
      <c r="O774" s="255">
        <v>23.3</v>
      </c>
      <c r="P774" s="68">
        <f t="shared" si="184"/>
        <v>15.145000000000001</v>
      </c>
      <c r="Q774" s="68">
        <f t="shared" si="185"/>
        <v>0</v>
      </c>
      <c r="R774" s="255">
        <f t="shared" si="186"/>
        <v>15.145000000000001</v>
      </c>
      <c r="S774" s="448"/>
      <c r="T774" s="449"/>
    </row>
    <row r="775" spans="1:20" s="401" customFormat="1" ht="19.5" customHeight="1">
      <c r="A775" s="99" t="s">
        <v>635</v>
      </c>
      <c r="B775" s="100"/>
      <c r="C775" s="101" t="s">
        <v>123</v>
      </c>
      <c r="D775" s="402" t="s">
        <v>642</v>
      </c>
      <c r="E775" s="403" t="s">
        <v>642</v>
      </c>
      <c r="F775" s="403">
        <v>73677</v>
      </c>
      <c r="G775" s="404">
        <v>38808</v>
      </c>
      <c r="H775" s="404">
        <v>38835</v>
      </c>
      <c r="I775" s="405" t="s">
        <v>640</v>
      </c>
      <c r="J775" s="406">
        <v>71.69</v>
      </c>
      <c r="K775" s="407">
        <v>15.31</v>
      </c>
      <c r="L775" s="280">
        <v>87</v>
      </c>
      <c r="M775" s="68">
        <v>14.338000000000001</v>
      </c>
      <c r="N775" s="68">
        <v>3.0620000000000003</v>
      </c>
      <c r="O775" s="255">
        <v>17.4</v>
      </c>
      <c r="P775" s="68">
        <f t="shared" si="184"/>
        <v>9.319700000000001</v>
      </c>
      <c r="Q775" s="68">
        <f t="shared" si="185"/>
        <v>1.9903000000000002</v>
      </c>
      <c r="R775" s="255">
        <f t="shared" si="186"/>
        <v>11.309999999999999</v>
      </c>
      <c r="S775" s="545" t="s">
        <v>733</v>
      </c>
      <c r="T775" s="546"/>
    </row>
    <row r="776" spans="1:20" s="401" customFormat="1" ht="19.5" customHeight="1">
      <c r="A776" s="99" t="s">
        <v>635</v>
      </c>
      <c r="B776" s="100"/>
      <c r="C776" s="101" t="s">
        <v>123</v>
      </c>
      <c r="D776" s="402" t="s">
        <v>641</v>
      </c>
      <c r="E776" s="403" t="s">
        <v>73</v>
      </c>
      <c r="F776" s="403">
        <v>1014232</v>
      </c>
      <c r="G776" s="404">
        <v>38800</v>
      </c>
      <c r="H776" s="404">
        <v>38820</v>
      </c>
      <c r="I776" s="405" t="s">
        <v>640</v>
      </c>
      <c r="J776" s="406">
        <v>371.5</v>
      </c>
      <c r="K776" s="407">
        <v>74.3</v>
      </c>
      <c r="L776" s="280">
        <v>445.8</v>
      </c>
      <c r="M776" s="68">
        <v>74.3</v>
      </c>
      <c r="N776" s="68">
        <v>14.86</v>
      </c>
      <c r="O776" s="255">
        <v>89.16</v>
      </c>
      <c r="P776" s="68">
        <f t="shared" si="184"/>
        <v>48.295</v>
      </c>
      <c r="Q776" s="68">
        <f t="shared" si="185"/>
        <v>9.659</v>
      </c>
      <c r="R776" s="255">
        <f t="shared" si="186"/>
        <v>57.954</v>
      </c>
      <c r="S776" s="545" t="s">
        <v>733</v>
      </c>
      <c r="T776" s="546"/>
    </row>
    <row r="777" spans="1:20" s="401" customFormat="1" ht="19.5" customHeight="1">
      <c r="A777" s="99" t="s">
        <v>635</v>
      </c>
      <c r="B777" s="100"/>
      <c r="C777" s="101" t="s">
        <v>123</v>
      </c>
      <c r="D777" s="402" t="s">
        <v>131</v>
      </c>
      <c r="E777" s="403" t="s">
        <v>99</v>
      </c>
      <c r="F777" s="403" t="s">
        <v>644</v>
      </c>
      <c r="G777" s="404">
        <v>38784</v>
      </c>
      <c r="H777" s="404">
        <v>38856</v>
      </c>
      <c r="I777" s="405" t="s">
        <v>274</v>
      </c>
      <c r="J777" s="406">
        <v>755.94</v>
      </c>
      <c r="K777" s="407">
        <v>152.56</v>
      </c>
      <c r="L777" s="280">
        <v>908.5</v>
      </c>
      <c r="M777" s="68">
        <v>151.18800000000002</v>
      </c>
      <c r="N777" s="68">
        <v>30.512</v>
      </c>
      <c r="O777" s="255">
        <v>181.7</v>
      </c>
      <c r="P777" s="68">
        <f t="shared" si="184"/>
        <v>98.27220000000001</v>
      </c>
      <c r="Q777" s="68">
        <f t="shared" si="185"/>
        <v>19.832800000000002</v>
      </c>
      <c r="R777" s="255">
        <f t="shared" si="186"/>
        <v>118.10499999999999</v>
      </c>
      <c r="S777" s="448"/>
      <c r="T777" s="449"/>
    </row>
    <row r="778" spans="1:20" s="401" customFormat="1" ht="19.5" customHeight="1">
      <c r="A778" s="99" t="s">
        <v>635</v>
      </c>
      <c r="B778" s="100"/>
      <c r="C778" s="101" t="s">
        <v>123</v>
      </c>
      <c r="D778" s="402" t="s">
        <v>636</v>
      </c>
      <c r="E778" s="403" t="s">
        <v>637</v>
      </c>
      <c r="F778" s="403"/>
      <c r="G778" s="404"/>
      <c r="H778" s="404">
        <v>38840</v>
      </c>
      <c r="I778" s="405" t="s">
        <v>125</v>
      </c>
      <c r="J778" s="406">
        <v>912.83</v>
      </c>
      <c r="K778" s="407"/>
      <c r="L778" s="280">
        <v>912.83</v>
      </c>
      <c r="M778" s="68">
        <v>182.56600000000003</v>
      </c>
      <c r="N778" s="68">
        <v>0</v>
      </c>
      <c r="O778" s="255">
        <v>182.56600000000003</v>
      </c>
      <c r="P778" s="68">
        <f t="shared" si="184"/>
        <v>118.66790000000002</v>
      </c>
      <c r="Q778" s="68">
        <f t="shared" si="185"/>
        <v>0</v>
      </c>
      <c r="R778" s="255">
        <f t="shared" si="186"/>
        <v>118.66790000000002</v>
      </c>
      <c r="S778" s="448"/>
      <c r="T778" s="449"/>
    </row>
    <row r="779" spans="1:20" s="401" customFormat="1" ht="19.5" customHeight="1">
      <c r="A779" s="99" t="s">
        <v>635</v>
      </c>
      <c r="B779" s="100"/>
      <c r="C779" s="101" t="s">
        <v>123</v>
      </c>
      <c r="D779" s="402" t="s">
        <v>638</v>
      </c>
      <c r="E779" s="403" t="s">
        <v>135</v>
      </c>
      <c r="F779" s="403"/>
      <c r="G779" s="404"/>
      <c r="H779" s="404">
        <v>38840</v>
      </c>
      <c r="I779" s="405" t="s">
        <v>125</v>
      </c>
      <c r="J779" s="406">
        <v>116.5</v>
      </c>
      <c r="K779" s="407"/>
      <c r="L779" s="280">
        <v>116.5</v>
      </c>
      <c r="M779" s="68">
        <v>23.3</v>
      </c>
      <c r="N779" s="68">
        <v>0</v>
      </c>
      <c r="O779" s="255">
        <v>23.3</v>
      </c>
      <c r="P779" s="68">
        <f t="shared" si="184"/>
        <v>15.145000000000001</v>
      </c>
      <c r="Q779" s="68">
        <f t="shared" si="185"/>
        <v>0</v>
      </c>
      <c r="R779" s="255">
        <f t="shared" si="186"/>
        <v>15.145000000000001</v>
      </c>
      <c r="S779" s="448"/>
      <c r="T779" s="449"/>
    </row>
    <row r="780" spans="1:20" s="401" customFormat="1" ht="19.5" customHeight="1">
      <c r="A780" s="99" t="s">
        <v>635</v>
      </c>
      <c r="B780" s="100"/>
      <c r="C780" s="9" t="s">
        <v>65</v>
      </c>
      <c r="D780" s="402" t="s">
        <v>484</v>
      </c>
      <c r="E780" s="403" t="s">
        <v>485</v>
      </c>
      <c r="F780" s="403">
        <v>211</v>
      </c>
      <c r="G780" s="404">
        <v>38960</v>
      </c>
      <c r="H780" s="404">
        <v>39008</v>
      </c>
      <c r="I780" s="405" t="s">
        <v>82</v>
      </c>
      <c r="J780" s="406">
        <v>450</v>
      </c>
      <c r="K780" s="407">
        <v>90</v>
      </c>
      <c r="L780" s="280">
        <v>540</v>
      </c>
      <c r="M780" s="68">
        <v>90</v>
      </c>
      <c r="N780" s="68">
        <v>18</v>
      </c>
      <c r="O780" s="255">
        <v>108</v>
      </c>
      <c r="P780" s="68">
        <f t="shared" si="184"/>
        <v>58.5</v>
      </c>
      <c r="Q780" s="68">
        <f t="shared" si="185"/>
        <v>11.700000000000001</v>
      </c>
      <c r="R780" s="255">
        <f t="shared" si="186"/>
        <v>70.2</v>
      </c>
      <c r="S780" s="448"/>
      <c r="T780" s="449"/>
    </row>
    <row r="781" spans="1:20" s="401" customFormat="1" ht="19.5" customHeight="1">
      <c r="A781" s="99" t="s">
        <v>635</v>
      </c>
      <c r="B781" s="100"/>
      <c r="C781" s="9" t="s">
        <v>65</v>
      </c>
      <c r="D781" s="402" t="s">
        <v>484</v>
      </c>
      <c r="E781" s="403" t="s">
        <v>485</v>
      </c>
      <c r="F781" s="403">
        <v>183</v>
      </c>
      <c r="G781" s="404">
        <v>38926</v>
      </c>
      <c r="H781" s="404">
        <v>39008</v>
      </c>
      <c r="I781" s="405" t="s">
        <v>82</v>
      </c>
      <c r="J781" s="406">
        <v>450</v>
      </c>
      <c r="K781" s="407">
        <v>90</v>
      </c>
      <c r="L781" s="280">
        <v>540</v>
      </c>
      <c r="M781" s="68">
        <v>112.5</v>
      </c>
      <c r="N781" s="68">
        <v>22.5</v>
      </c>
      <c r="O781" s="255">
        <v>135</v>
      </c>
      <c r="P781" s="68">
        <f t="shared" si="184"/>
        <v>73.125</v>
      </c>
      <c r="Q781" s="68">
        <f t="shared" si="185"/>
        <v>14.625</v>
      </c>
      <c r="R781" s="255">
        <f t="shared" si="186"/>
        <v>87.75</v>
      </c>
      <c r="S781" s="448"/>
      <c r="T781" s="449"/>
    </row>
    <row r="782" spans="1:20" s="401" customFormat="1" ht="19.5" customHeight="1">
      <c r="A782" s="99" t="s">
        <v>635</v>
      </c>
      <c r="B782" s="100"/>
      <c r="C782" s="9" t="s">
        <v>65</v>
      </c>
      <c r="D782" s="402" t="s">
        <v>75</v>
      </c>
      <c r="E782" s="403" t="s">
        <v>76</v>
      </c>
      <c r="F782" s="403" t="s">
        <v>645</v>
      </c>
      <c r="G782" s="404">
        <v>38856</v>
      </c>
      <c r="H782" s="404">
        <v>38898</v>
      </c>
      <c r="I782" s="405" t="s">
        <v>78</v>
      </c>
      <c r="J782" s="406">
        <v>594</v>
      </c>
      <c r="K782" s="407">
        <v>0</v>
      </c>
      <c r="L782" s="280">
        <v>594</v>
      </c>
      <c r="M782" s="68">
        <v>594</v>
      </c>
      <c r="N782" s="68">
        <v>0</v>
      </c>
      <c r="O782" s="255">
        <v>594</v>
      </c>
      <c r="P782" s="68">
        <f t="shared" si="184"/>
        <v>386.1</v>
      </c>
      <c r="Q782" s="68">
        <f t="shared" si="185"/>
        <v>0</v>
      </c>
      <c r="R782" s="255">
        <f t="shared" si="186"/>
        <v>386.1</v>
      </c>
      <c r="S782" s="448"/>
      <c r="T782" s="449"/>
    </row>
    <row r="783" spans="1:20" s="401" customFormat="1" ht="19.5" customHeight="1">
      <c r="A783" s="99" t="s">
        <v>635</v>
      </c>
      <c r="B783" s="100"/>
      <c r="C783" s="9" t="s">
        <v>65</v>
      </c>
      <c r="D783" s="402" t="s">
        <v>491</v>
      </c>
      <c r="E783" s="403" t="s">
        <v>69</v>
      </c>
      <c r="F783" s="403">
        <v>326248</v>
      </c>
      <c r="G783" s="404">
        <v>38879</v>
      </c>
      <c r="H783" s="404">
        <v>38909</v>
      </c>
      <c r="I783" s="405" t="s">
        <v>70</v>
      </c>
      <c r="J783" s="406">
        <v>61.97</v>
      </c>
      <c r="K783" s="407">
        <v>12.394</v>
      </c>
      <c r="L783" s="280">
        <v>74.364</v>
      </c>
      <c r="M783" s="68">
        <v>15.4925</v>
      </c>
      <c r="N783" s="68">
        <v>3.0985</v>
      </c>
      <c r="O783" s="255">
        <v>18.591</v>
      </c>
      <c r="P783" s="68">
        <f t="shared" si="184"/>
        <v>10.070125</v>
      </c>
      <c r="Q783" s="68">
        <f t="shared" si="185"/>
        <v>2.014025</v>
      </c>
      <c r="R783" s="255">
        <f t="shared" si="186"/>
        <v>12.084150000000001</v>
      </c>
      <c r="S783" s="448"/>
      <c r="T783" s="449"/>
    </row>
    <row r="784" spans="1:20" s="401" customFormat="1" ht="19.5" customHeight="1">
      <c r="A784" s="99" t="s">
        <v>635</v>
      </c>
      <c r="B784" s="100"/>
      <c r="C784" s="9" t="s">
        <v>65</v>
      </c>
      <c r="D784" s="402" t="s">
        <v>491</v>
      </c>
      <c r="E784" s="403" t="s">
        <v>69</v>
      </c>
      <c r="F784" s="403">
        <v>386583</v>
      </c>
      <c r="G784" s="404">
        <v>38909</v>
      </c>
      <c r="H784" s="404">
        <v>38940</v>
      </c>
      <c r="I784" s="405" t="s">
        <v>70</v>
      </c>
      <c r="J784" s="406">
        <v>75.9</v>
      </c>
      <c r="K784" s="407">
        <v>15.18</v>
      </c>
      <c r="L784" s="280">
        <v>91.08</v>
      </c>
      <c r="M784" s="68">
        <v>18.975</v>
      </c>
      <c r="N784" s="68">
        <v>3.795</v>
      </c>
      <c r="O784" s="255">
        <v>22.77</v>
      </c>
      <c r="P784" s="68">
        <f t="shared" si="184"/>
        <v>12.333750000000002</v>
      </c>
      <c r="Q784" s="68">
        <f t="shared" si="185"/>
        <v>2.46675</v>
      </c>
      <c r="R784" s="255">
        <f t="shared" si="186"/>
        <v>14.8005</v>
      </c>
      <c r="S784" s="448"/>
      <c r="T784" s="449"/>
    </row>
    <row r="785" spans="1:20" s="401" customFormat="1" ht="19.5" customHeight="1">
      <c r="A785" s="99" t="s">
        <v>635</v>
      </c>
      <c r="B785" s="100"/>
      <c r="C785" s="9" t="s">
        <v>65</v>
      </c>
      <c r="D785" s="402" t="s">
        <v>491</v>
      </c>
      <c r="E785" s="403" t="s">
        <v>69</v>
      </c>
      <c r="F785" s="403">
        <v>442421</v>
      </c>
      <c r="G785" s="404">
        <v>38939</v>
      </c>
      <c r="H785" s="404">
        <v>38971</v>
      </c>
      <c r="I785" s="405" t="s">
        <v>70</v>
      </c>
      <c r="J785" s="406">
        <v>55.16</v>
      </c>
      <c r="K785" s="407">
        <v>11.032</v>
      </c>
      <c r="L785" s="280">
        <v>66.192</v>
      </c>
      <c r="M785" s="68">
        <v>11.032</v>
      </c>
      <c r="N785" s="68">
        <v>2.2064</v>
      </c>
      <c r="O785" s="255">
        <v>13.2384</v>
      </c>
      <c r="P785" s="68">
        <f t="shared" si="184"/>
        <v>7.1708</v>
      </c>
      <c r="Q785" s="68">
        <f t="shared" si="185"/>
        <v>1.43416</v>
      </c>
      <c r="R785" s="255">
        <f t="shared" si="186"/>
        <v>8.60496</v>
      </c>
      <c r="S785" s="448"/>
      <c r="T785" s="449"/>
    </row>
    <row r="786" spans="1:20" s="401" customFormat="1" ht="19.5" customHeight="1">
      <c r="A786" s="99" t="s">
        <v>635</v>
      </c>
      <c r="B786" s="100"/>
      <c r="C786" s="9" t="s">
        <v>65</v>
      </c>
      <c r="D786" s="402" t="s">
        <v>491</v>
      </c>
      <c r="E786" s="403" t="s">
        <v>69</v>
      </c>
      <c r="F786" s="403">
        <v>494399</v>
      </c>
      <c r="G786" s="404">
        <v>38969</v>
      </c>
      <c r="H786" s="404">
        <v>38999</v>
      </c>
      <c r="I786" s="405" t="s">
        <v>70</v>
      </c>
      <c r="J786" s="406">
        <v>46.44</v>
      </c>
      <c r="K786" s="407">
        <v>9.288</v>
      </c>
      <c r="L786" s="280">
        <v>55.727999999999994</v>
      </c>
      <c r="M786" s="68">
        <v>11.61</v>
      </c>
      <c r="N786" s="68">
        <v>2.322</v>
      </c>
      <c r="O786" s="255">
        <v>13.931999999999999</v>
      </c>
      <c r="P786" s="68">
        <f t="shared" si="184"/>
        <v>7.5465</v>
      </c>
      <c r="Q786" s="68">
        <f t="shared" si="185"/>
        <v>1.5093</v>
      </c>
      <c r="R786" s="255">
        <f t="shared" si="186"/>
        <v>9.0558</v>
      </c>
      <c r="S786" s="448"/>
      <c r="T786" s="449"/>
    </row>
    <row r="787" spans="1:20" s="401" customFormat="1" ht="19.5" customHeight="1">
      <c r="A787" s="99" t="s">
        <v>635</v>
      </c>
      <c r="B787" s="100"/>
      <c r="C787" s="9" t="s">
        <v>65</v>
      </c>
      <c r="D787" s="402" t="s">
        <v>72</v>
      </c>
      <c r="E787" s="403" t="s">
        <v>73</v>
      </c>
      <c r="F787" s="403" t="s">
        <v>646</v>
      </c>
      <c r="G787" s="404">
        <v>38917</v>
      </c>
      <c r="H787" s="404">
        <v>38937</v>
      </c>
      <c r="I787" s="405" t="s">
        <v>70</v>
      </c>
      <c r="J787" s="406">
        <v>470.47</v>
      </c>
      <c r="K787" s="407">
        <v>94.09400000000001</v>
      </c>
      <c r="L787" s="280">
        <v>564.5640000000001</v>
      </c>
      <c r="M787" s="68">
        <v>117.6175</v>
      </c>
      <c r="N787" s="68">
        <v>14.1141</v>
      </c>
      <c r="O787" s="255">
        <v>131.73160000000001</v>
      </c>
      <c r="P787" s="68">
        <f t="shared" si="184"/>
        <v>76.45137500000001</v>
      </c>
      <c r="Q787" s="68">
        <f t="shared" si="185"/>
        <v>9.174165</v>
      </c>
      <c r="R787" s="255">
        <f t="shared" si="186"/>
        <v>85.62554000000002</v>
      </c>
      <c r="S787" s="448"/>
      <c r="T787" s="449"/>
    </row>
    <row r="788" spans="1:20" s="401" customFormat="1" ht="19.5" customHeight="1">
      <c r="A788" s="99" t="s">
        <v>635</v>
      </c>
      <c r="B788" s="100"/>
      <c r="C788" s="9" t="s">
        <v>65</v>
      </c>
      <c r="D788" s="402" t="s">
        <v>72</v>
      </c>
      <c r="E788" s="403" t="s">
        <v>73</v>
      </c>
      <c r="F788" s="403" t="s">
        <v>647</v>
      </c>
      <c r="G788" s="404">
        <v>38978</v>
      </c>
      <c r="H788" s="404">
        <v>38999</v>
      </c>
      <c r="I788" s="405" t="s">
        <v>70</v>
      </c>
      <c r="J788" s="406">
        <v>379.066</v>
      </c>
      <c r="K788" s="407">
        <v>75.8132</v>
      </c>
      <c r="L788" s="280">
        <v>454.87919999999997</v>
      </c>
      <c r="M788" s="68">
        <v>94.7665</v>
      </c>
      <c r="N788" s="68">
        <v>11.371979999999999</v>
      </c>
      <c r="O788" s="255">
        <v>106.13847999999999</v>
      </c>
      <c r="P788" s="68">
        <f t="shared" si="184"/>
        <v>61.598225</v>
      </c>
      <c r="Q788" s="68">
        <f t="shared" si="185"/>
        <v>7.391787</v>
      </c>
      <c r="R788" s="255">
        <f t="shared" si="186"/>
        <v>68.990012</v>
      </c>
      <c r="S788" s="448"/>
      <c r="T788" s="449"/>
    </row>
    <row r="789" spans="1:20" s="401" customFormat="1" ht="19.5" customHeight="1">
      <c r="A789" s="99" t="s">
        <v>635</v>
      </c>
      <c r="B789" s="100"/>
      <c r="C789" s="9" t="s">
        <v>65</v>
      </c>
      <c r="D789" s="402" t="s">
        <v>648</v>
      </c>
      <c r="E789" s="403" t="s">
        <v>312</v>
      </c>
      <c r="F789" s="403"/>
      <c r="G789" s="404"/>
      <c r="H789" s="404">
        <v>38909</v>
      </c>
      <c r="I789" s="405" t="s">
        <v>78</v>
      </c>
      <c r="J789" s="406">
        <v>27504.88</v>
      </c>
      <c r="K789" s="407">
        <v>0</v>
      </c>
      <c r="L789" s="280">
        <v>27504.88</v>
      </c>
      <c r="M789" s="68">
        <v>6876.22</v>
      </c>
      <c r="N789" s="68">
        <v>0</v>
      </c>
      <c r="O789" s="255">
        <v>6876.22</v>
      </c>
      <c r="P789" s="68">
        <f t="shared" si="184"/>
        <v>4469.543000000001</v>
      </c>
      <c r="Q789" s="68">
        <f t="shared" si="185"/>
        <v>0</v>
      </c>
      <c r="R789" s="255">
        <f t="shared" si="186"/>
        <v>4469.543000000001</v>
      </c>
      <c r="S789" s="569"/>
      <c r="T789" s="570"/>
    </row>
    <row r="790" spans="1:20" s="401" customFormat="1" ht="19.5" customHeight="1">
      <c r="A790" s="99" t="s">
        <v>635</v>
      </c>
      <c r="B790" s="100"/>
      <c r="C790" s="101" t="s">
        <v>122</v>
      </c>
      <c r="D790" s="402" t="s">
        <v>649</v>
      </c>
      <c r="E790" s="403" t="s">
        <v>86</v>
      </c>
      <c r="F790" s="403" t="s">
        <v>650</v>
      </c>
      <c r="G790" s="404">
        <v>38869</v>
      </c>
      <c r="H790" s="404">
        <v>38869</v>
      </c>
      <c r="I790" s="405" t="s">
        <v>88</v>
      </c>
      <c r="J790" s="406">
        <v>516.86</v>
      </c>
      <c r="K790" s="407">
        <v>0</v>
      </c>
      <c r="L790" s="280">
        <v>516.86</v>
      </c>
      <c r="M790" s="68">
        <v>103.37200000000001</v>
      </c>
      <c r="N790" s="68">
        <v>0</v>
      </c>
      <c r="O790" s="255">
        <v>103.37200000000001</v>
      </c>
      <c r="P790" s="68">
        <f aca="true" t="shared" si="187" ref="P790:P826">M790*0.65</f>
        <v>67.19180000000001</v>
      </c>
      <c r="Q790" s="68">
        <f aca="true" t="shared" si="188" ref="Q790:Q826">N790*0.65</f>
        <v>0</v>
      </c>
      <c r="R790" s="255">
        <f aca="true" t="shared" si="189" ref="R790:R826">O790*0.65</f>
        <v>67.19180000000001</v>
      </c>
      <c r="S790" s="448"/>
      <c r="T790" s="449"/>
    </row>
    <row r="791" spans="1:20" s="401" customFormat="1" ht="19.5" customHeight="1">
      <c r="A791" s="99" t="s">
        <v>635</v>
      </c>
      <c r="B791" s="100"/>
      <c r="C791" s="101" t="s">
        <v>122</v>
      </c>
      <c r="D791" s="402" t="s">
        <v>651</v>
      </c>
      <c r="E791" s="403" t="s">
        <v>86</v>
      </c>
      <c r="F791" s="403" t="s">
        <v>652</v>
      </c>
      <c r="G791" s="404">
        <v>38899</v>
      </c>
      <c r="H791" s="404">
        <v>38899</v>
      </c>
      <c r="I791" s="405" t="s">
        <v>88</v>
      </c>
      <c r="J791" s="406">
        <v>516.86</v>
      </c>
      <c r="K791" s="407">
        <v>0</v>
      </c>
      <c r="L791" s="280">
        <v>516.86</v>
      </c>
      <c r="M791" s="68">
        <v>103.37200000000001</v>
      </c>
      <c r="N791" s="68">
        <v>0</v>
      </c>
      <c r="O791" s="255">
        <v>103.37200000000001</v>
      </c>
      <c r="P791" s="68">
        <f t="shared" si="187"/>
        <v>67.19180000000001</v>
      </c>
      <c r="Q791" s="68">
        <f t="shared" si="188"/>
        <v>0</v>
      </c>
      <c r="R791" s="255">
        <f t="shared" si="189"/>
        <v>67.19180000000001</v>
      </c>
      <c r="S791" s="448"/>
      <c r="T791" s="449"/>
    </row>
    <row r="792" spans="1:20" s="401" customFormat="1" ht="19.5" customHeight="1">
      <c r="A792" s="99" t="s">
        <v>635</v>
      </c>
      <c r="B792" s="100"/>
      <c r="C792" s="101" t="s">
        <v>122</v>
      </c>
      <c r="D792" s="402" t="s">
        <v>653</v>
      </c>
      <c r="E792" s="403" t="s">
        <v>86</v>
      </c>
      <c r="F792" s="403" t="s">
        <v>654</v>
      </c>
      <c r="G792" s="404">
        <v>38930</v>
      </c>
      <c r="H792" s="404">
        <v>38930</v>
      </c>
      <c r="I792" s="405" t="s">
        <v>88</v>
      </c>
      <c r="J792" s="406">
        <v>622.24</v>
      </c>
      <c r="K792" s="407">
        <v>0</v>
      </c>
      <c r="L792" s="280">
        <v>622.24</v>
      </c>
      <c r="M792" s="68">
        <v>124.44800000000001</v>
      </c>
      <c r="N792" s="68">
        <v>0</v>
      </c>
      <c r="O792" s="255">
        <v>124.44800000000001</v>
      </c>
      <c r="P792" s="68">
        <f t="shared" si="187"/>
        <v>80.89120000000001</v>
      </c>
      <c r="Q792" s="68">
        <f t="shared" si="188"/>
        <v>0</v>
      </c>
      <c r="R792" s="255">
        <f t="shared" si="189"/>
        <v>80.89120000000001</v>
      </c>
      <c r="S792" s="569"/>
      <c r="T792" s="570"/>
    </row>
    <row r="793" spans="1:20" s="401" customFormat="1" ht="19.5" customHeight="1">
      <c r="A793" s="99" t="s">
        <v>635</v>
      </c>
      <c r="B793" s="100"/>
      <c r="C793" s="101" t="s">
        <v>122</v>
      </c>
      <c r="D793" s="402" t="s">
        <v>655</v>
      </c>
      <c r="E793" s="403" t="s">
        <v>86</v>
      </c>
      <c r="F793" s="403" t="s">
        <v>656</v>
      </c>
      <c r="G793" s="404">
        <v>38961</v>
      </c>
      <c r="H793" s="404">
        <v>38961</v>
      </c>
      <c r="I793" s="405" t="s">
        <v>88</v>
      </c>
      <c r="J793" s="406">
        <v>523.86</v>
      </c>
      <c r="K793" s="407">
        <v>0</v>
      </c>
      <c r="L793" s="280">
        <v>523.86</v>
      </c>
      <c r="M793" s="68">
        <v>104.772</v>
      </c>
      <c r="N793" s="68">
        <v>0</v>
      </c>
      <c r="O793" s="255">
        <v>104.772</v>
      </c>
      <c r="P793" s="68">
        <f t="shared" si="187"/>
        <v>68.10180000000001</v>
      </c>
      <c r="Q793" s="68">
        <f t="shared" si="188"/>
        <v>0</v>
      </c>
      <c r="R793" s="255">
        <f t="shared" si="189"/>
        <v>68.10180000000001</v>
      </c>
      <c r="S793" s="448"/>
      <c r="T793" s="449"/>
    </row>
    <row r="794" spans="1:20" s="401" customFormat="1" ht="19.5" customHeight="1">
      <c r="A794" s="99" t="s">
        <v>635</v>
      </c>
      <c r="B794" s="100"/>
      <c r="C794" s="101" t="s">
        <v>122</v>
      </c>
      <c r="D794" s="402" t="s">
        <v>657</v>
      </c>
      <c r="E794" s="403" t="s">
        <v>86</v>
      </c>
      <c r="F794" s="403" t="s">
        <v>658</v>
      </c>
      <c r="G794" s="404">
        <v>38991</v>
      </c>
      <c r="H794" s="404">
        <v>38991</v>
      </c>
      <c r="I794" s="405" t="s">
        <v>88</v>
      </c>
      <c r="J794" s="406">
        <v>523.86</v>
      </c>
      <c r="K794" s="407">
        <v>0</v>
      </c>
      <c r="L794" s="280">
        <v>523.86</v>
      </c>
      <c r="M794" s="68">
        <v>104.772</v>
      </c>
      <c r="N794" s="68">
        <v>0</v>
      </c>
      <c r="O794" s="255">
        <v>104.772</v>
      </c>
      <c r="P794" s="68">
        <f t="shared" si="187"/>
        <v>68.10180000000001</v>
      </c>
      <c r="Q794" s="68">
        <f t="shared" si="188"/>
        <v>0</v>
      </c>
      <c r="R794" s="255">
        <f t="shared" si="189"/>
        <v>68.10180000000001</v>
      </c>
      <c r="S794" s="448"/>
      <c r="T794" s="449"/>
    </row>
    <row r="795" spans="1:20" s="401" customFormat="1" ht="19.5" customHeight="1">
      <c r="A795" s="99" t="s">
        <v>635</v>
      </c>
      <c r="B795" s="100"/>
      <c r="C795" s="101" t="s">
        <v>122</v>
      </c>
      <c r="D795" s="402" t="s">
        <v>659</v>
      </c>
      <c r="E795" s="403" t="s">
        <v>86</v>
      </c>
      <c r="F795" s="403" t="s">
        <v>660</v>
      </c>
      <c r="G795" s="404">
        <v>39022</v>
      </c>
      <c r="H795" s="404">
        <v>39022</v>
      </c>
      <c r="I795" s="405" t="s">
        <v>88</v>
      </c>
      <c r="J795" s="406">
        <v>523.86</v>
      </c>
      <c r="K795" s="407">
        <v>0</v>
      </c>
      <c r="L795" s="280">
        <v>523.86</v>
      </c>
      <c r="M795" s="68">
        <v>104.772</v>
      </c>
      <c r="N795" s="68">
        <v>0</v>
      </c>
      <c r="O795" s="255">
        <v>104.772</v>
      </c>
      <c r="P795" s="68">
        <f t="shared" si="187"/>
        <v>68.10180000000001</v>
      </c>
      <c r="Q795" s="68">
        <f t="shared" si="188"/>
        <v>0</v>
      </c>
      <c r="R795" s="255">
        <f t="shared" si="189"/>
        <v>68.10180000000001</v>
      </c>
      <c r="S795" s="448"/>
      <c r="T795" s="449"/>
    </row>
    <row r="796" spans="1:20" s="401" customFormat="1" ht="19.5" customHeight="1">
      <c r="A796" s="99" t="s">
        <v>635</v>
      </c>
      <c r="B796" s="100"/>
      <c r="C796" s="101" t="s">
        <v>122</v>
      </c>
      <c r="D796" s="402" t="s">
        <v>499</v>
      </c>
      <c r="E796" s="403" t="s">
        <v>73</v>
      </c>
      <c r="F796" s="403" t="s">
        <v>661</v>
      </c>
      <c r="G796" s="404">
        <v>38887</v>
      </c>
      <c r="H796" s="404">
        <v>38908</v>
      </c>
      <c r="I796" s="405" t="s">
        <v>70</v>
      </c>
      <c r="J796" s="406">
        <v>55.9</v>
      </c>
      <c r="K796" s="407">
        <v>11.18</v>
      </c>
      <c r="L796" s="280">
        <v>67.08</v>
      </c>
      <c r="M796" s="68">
        <v>11.18</v>
      </c>
      <c r="N796" s="68">
        <v>2.236</v>
      </c>
      <c r="O796" s="255">
        <v>13.416</v>
      </c>
      <c r="P796" s="68">
        <f t="shared" si="187"/>
        <v>7.267</v>
      </c>
      <c r="Q796" s="68">
        <f t="shared" si="188"/>
        <v>1.4534000000000002</v>
      </c>
      <c r="R796" s="255">
        <f t="shared" si="189"/>
        <v>8.7204</v>
      </c>
      <c r="S796" s="448"/>
      <c r="T796" s="449"/>
    </row>
    <row r="797" spans="1:20" s="401" customFormat="1" ht="19.5" customHeight="1">
      <c r="A797" s="99" t="s">
        <v>635</v>
      </c>
      <c r="B797" s="100"/>
      <c r="C797" s="101" t="s">
        <v>122</v>
      </c>
      <c r="D797" s="402" t="s">
        <v>499</v>
      </c>
      <c r="E797" s="403" t="s">
        <v>73</v>
      </c>
      <c r="F797" s="403" t="s">
        <v>662</v>
      </c>
      <c r="G797" s="404">
        <v>38947</v>
      </c>
      <c r="H797" s="404">
        <v>38967</v>
      </c>
      <c r="I797" s="405" t="s">
        <v>70</v>
      </c>
      <c r="J797" s="406">
        <v>53.3</v>
      </c>
      <c r="K797" s="407">
        <v>10.66</v>
      </c>
      <c r="L797" s="280">
        <v>63.96</v>
      </c>
      <c r="M797" s="68">
        <v>10.66</v>
      </c>
      <c r="N797" s="68">
        <v>2.132</v>
      </c>
      <c r="O797" s="255">
        <v>12.792</v>
      </c>
      <c r="P797" s="68">
        <f t="shared" si="187"/>
        <v>6.929</v>
      </c>
      <c r="Q797" s="68">
        <f t="shared" si="188"/>
        <v>1.3858000000000001</v>
      </c>
      <c r="R797" s="255">
        <f t="shared" si="189"/>
        <v>8.3148</v>
      </c>
      <c r="S797" s="448"/>
      <c r="T797" s="449"/>
    </row>
    <row r="798" spans="1:20" s="401" customFormat="1" ht="19.5" customHeight="1">
      <c r="A798" s="99" t="s">
        <v>635</v>
      </c>
      <c r="B798" s="100"/>
      <c r="C798" s="101" t="s">
        <v>122</v>
      </c>
      <c r="D798" s="402" t="s">
        <v>499</v>
      </c>
      <c r="E798" s="403" t="s">
        <v>73</v>
      </c>
      <c r="F798" s="403" t="s">
        <v>663</v>
      </c>
      <c r="G798" s="404">
        <v>39009</v>
      </c>
      <c r="H798" s="404">
        <v>39029</v>
      </c>
      <c r="I798" s="405" t="s">
        <v>70</v>
      </c>
      <c r="J798" s="406">
        <v>57.95</v>
      </c>
      <c r="K798" s="407">
        <v>11.59</v>
      </c>
      <c r="L798" s="280">
        <v>69.54</v>
      </c>
      <c r="M798" s="68">
        <v>11.59</v>
      </c>
      <c r="N798" s="68">
        <v>2.3180000000000005</v>
      </c>
      <c r="O798" s="255">
        <v>13.908000000000001</v>
      </c>
      <c r="P798" s="68">
        <f t="shared" si="187"/>
        <v>7.5335</v>
      </c>
      <c r="Q798" s="68">
        <f t="shared" si="188"/>
        <v>1.5067000000000004</v>
      </c>
      <c r="R798" s="255">
        <f t="shared" si="189"/>
        <v>9.0402</v>
      </c>
      <c r="S798" s="545" t="s">
        <v>733</v>
      </c>
      <c r="T798" s="546"/>
    </row>
    <row r="799" spans="1:20" s="401" customFormat="1" ht="19.5" customHeight="1">
      <c r="A799" s="99" t="s">
        <v>635</v>
      </c>
      <c r="B799" s="100"/>
      <c r="C799" s="101" t="s">
        <v>122</v>
      </c>
      <c r="D799" s="402" t="s">
        <v>664</v>
      </c>
      <c r="E799" s="403" t="s">
        <v>99</v>
      </c>
      <c r="F799" s="403" t="s">
        <v>665</v>
      </c>
      <c r="G799" s="404">
        <v>38875</v>
      </c>
      <c r="H799" s="404">
        <v>38913</v>
      </c>
      <c r="I799" s="405" t="s">
        <v>70</v>
      </c>
      <c r="J799" s="406">
        <v>354.58</v>
      </c>
      <c r="K799" s="407">
        <v>70.916</v>
      </c>
      <c r="L799" s="280">
        <v>425.496</v>
      </c>
      <c r="M799" s="68">
        <v>70.916</v>
      </c>
      <c r="N799" s="68">
        <v>14.1832</v>
      </c>
      <c r="O799" s="255">
        <v>85.0992</v>
      </c>
      <c r="P799" s="68">
        <f t="shared" si="187"/>
        <v>46.0954</v>
      </c>
      <c r="Q799" s="68">
        <f t="shared" si="188"/>
        <v>9.21908</v>
      </c>
      <c r="R799" s="255">
        <f t="shared" si="189"/>
        <v>55.314479999999996</v>
      </c>
      <c r="S799" s="448"/>
      <c r="T799" s="449"/>
    </row>
    <row r="800" spans="1:20" s="401" customFormat="1" ht="19.5" customHeight="1">
      <c r="A800" s="99" t="s">
        <v>635</v>
      </c>
      <c r="B800" s="100"/>
      <c r="C800" s="101" t="s">
        <v>122</v>
      </c>
      <c r="D800" s="402" t="s">
        <v>666</v>
      </c>
      <c r="E800" s="403" t="s">
        <v>99</v>
      </c>
      <c r="F800" s="403" t="s">
        <v>667</v>
      </c>
      <c r="G800" s="404">
        <v>38936</v>
      </c>
      <c r="H800" s="404">
        <v>38973</v>
      </c>
      <c r="I800" s="405" t="s">
        <v>70</v>
      </c>
      <c r="J800" s="406">
        <v>424.58</v>
      </c>
      <c r="K800" s="407">
        <v>84.916</v>
      </c>
      <c r="L800" s="280">
        <v>509.496</v>
      </c>
      <c r="M800" s="68">
        <v>84.916</v>
      </c>
      <c r="N800" s="68">
        <v>16.9832</v>
      </c>
      <c r="O800" s="255">
        <v>101.8992</v>
      </c>
      <c r="P800" s="68">
        <f t="shared" si="187"/>
        <v>55.1954</v>
      </c>
      <c r="Q800" s="68">
        <f t="shared" si="188"/>
        <v>11.03908</v>
      </c>
      <c r="R800" s="255">
        <f t="shared" si="189"/>
        <v>66.23448</v>
      </c>
      <c r="S800" s="448"/>
      <c r="T800" s="449"/>
    </row>
    <row r="801" spans="1:20" s="401" customFormat="1" ht="19.5" customHeight="1">
      <c r="A801" s="99" t="s">
        <v>635</v>
      </c>
      <c r="B801" s="100"/>
      <c r="C801" s="101" t="s">
        <v>122</v>
      </c>
      <c r="D801" s="402" t="s">
        <v>668</v>
      </c>
      <c r="E801" s="403" t="s">
        <v>99</v>
      </c>
      <c r="F801" s="403" t="s">
        <v>669</v>
      </c>
      <c r="G801" s="404">
        <v>38995</v>
      </c>
      <c r="H801" s="404">
        <v>39034</v>
      </c>
      <c r="I801" s="405" t="s">
        <v>70</v>
      </c>
      <c r="J801" s="406">
        <v>270.83</v>
      </c>
      <c r="K801" s="407">
        <v>54.166</v>
      </c>
      <c r="L801" s="280">
        <v>324.996</v>
      </c>
      <c r="M801" s="68">
        <v>54.166</v>
      </c>
      <c r="N801" s="68">
        <v>10.8332</v>
      </c>
      <c r="O801" s="255">
        <v>64.9992</v>
      </c>
      <c r="P801" s="68">
        <f t="shared" si="187"/>
        <v>35.2079</v>
      </c>
      <c r="Q801" s="68">
        <f t="shared" si="188"/>
        <v>7.04158</v>
      </c>
      <c r="R801" s="255">
        <f t="shared" si="189"/>
        <v>42.249480000000005</v>
      </c>
      <c r="S801" s="545" t="s">
        <v>733</v>
      </c>
      <c r="T801" s="546"/>
    </row>
    <row r="802" spans="1:20" s="401" customFormat="1" ht="19.5" customHeight="1">
      <c r="A802" s="99" t="s">
        <v>635</v>
      </c>
      <c r="B802" s="100"/>
      <c r="C802" s="101" t="s">
        <v>122</v>
      </c>
      <c r="D802" s="402" t="s">
        <v>75</v>
      </c>
      <c r="E802" s="403" t="s">
        <v>116</v>
      </c>
      <c r="F802" s="403">
        <v>62505</v>
      </c>
      <c r="G802" s="404">
        <v>39010</v>
      </c>
      <c r="H802" s="404">
        <v>39037</v>
      </c>
      <c r="I802" s="405" t="s">
        <v>670</v>
      </c>
      <c r="J802" s="406">
        <v>655.25</v>
      </c>
      <c r="K802" s="407">
        <v>131.05</v>
      </c>
      <c r="L802" s="280">
        <v>786.3</v>
      </c>
      <c r="M802" s="68">
        <v>655.25</v>
      </c>
      <c r="N802" s="68">
        <v>131.05</v>
      </c>
      <c r="O802" s="255">
        <v>786.3</v>
      </c>
      <c r="P802" s="68">
        <f t="shared" si="187"/>
        <v>425.9125</v>
      </c>
      <c r="Q802" s="68">
        <f t="shared" si="188"/>
        <v>85.1825</v>
      </c>
      <c r="R802" s="255">
        <f t="shared" si="189"/>
        <v>511.09499999999997</v>
      </c>
      <c r="S802" s="448"/>
      <c r="T802" s="449"/>
    </row>
    <row r="803" spans="1:20" s="401" customFormat="1" ht="19.5" customHeight="1">
      <c r="A803" s="99" t="s">
        <v>635</v>
      </c>
      <c r="B803" s="100"/>
      <c r="C803" s="101" t="s">
        <v>122</v>
      </c>
      <c r="D803" s="402" t="s">
        <v>75</v>
      </c>
      <c r="E803" s="403" t="s">
        <v>116</v>
      </c>
      <c r="F803" s="403">
        <v>33061</v>
      </c>
      <c r="G803" s="404">
        <v>38868</v>
      </c>
      <c r="H803" s="404">
        <v>38889</v>
      </c>
      <c r="I803" s="405" t="s">
        <v>670</v>
      </c>
      <c r="J803" s="406">
        <v>621.18</v>
      </c>
      <c r="K803" s="407">
        <v>124.23599999999999</v>
      </c>
      <c r="L803" s="280">
        <v>745.4159999999999</v>
      </c>
      <c r="M803" s="68">
        <v>621.18</v>
      </c>
      <c r="N803" s="68">
        <v>124.23599999999999</v>
      </c>
      <c r="O803" s="255">
        <v>745.4159999999999</v>
      </c>
      <c r="P803" s="68">
        <f t="shared" si="187"/>
        <v>403.767</v>
      </c>
      <c r="Q803" s="68">
        <f t="shared" si="188"/>
        <v>80.7534</v>
      </c>
      <c r="R803" s="255">
        <f t="shared" si="189"/>
        <v>484.5204</v>
      </c>
      <c r="S803" s="569"/>
      <c r="T803" s="570"/>
    </row>
    <row r="804" spans="1:20" s="401" customFormat="1" ht="19.5" customHeight="1">
      <c r="A804" s="99" t="s">
        <v>635</v>
      </c>
      <c r="B804" s="100"/>
      <c r="C804" s="101" t="s">
        <v>152</v>
      </c>
      <c r="D804" s="402" t="s">
        <v>159</v>
      </c>
      <c r="E804" s="403" t="s">
        <v>155</v>
      </c>
      <c r="F804" s="403" t="s">
        <v>671</v>
      </c>
      <c r="G804" s="404">
        <v>38819</v>
      </c>
      <c r="H804" s="404">
        <v>38895</v>
      </c>
      <c r="I804" s="405" t="s">
        <v>672</v>
      </c>
      <c r="J804" s="406">
        <v>1058.74</v>
      </c>
      <c r="K804" s="407">
        <v>211.74800000000002</v>
      </c>
      <c r="L804" s="280">
        <v>1270.488</v>
      </c>
      <c r="M804" s="68">
        <v>423.49600000000004</v>
      </c>
      <c r="N804" s="68">
        <v>84.69920000000002</v>
      </c>
      <c r="O804" s="255">
        <v>508.19520000000006</v>
      </c>
      <c r="P804" s="68">
        <f t="shared" si="187"/>
        <v>275.27240000000006</v>
      </c>
      <c r="Q804" s="68">
        <f t="shared" si="188"/>
        <v>55.05448000000001</v>
      </c>
      <c r="R804" s="255">
        <f t="shared" si="189"/>
        <v>330.3268800000001</v>
      </c>
      <c r="S804" s="569"/>
      <c r="T804" s="570"/>
    </row>
    <row r="805" spans="1:20" s="401" customFormat="1" ht="19.5" customHeight="1">
      <c r="A805" s="99" t="s">
        <v>635</v>
      </c>
      <c r="B805" s="100"/>
      <c r="C805" s="101" t="s">
        <v>152</v>
      </c>
      <c r="D805" s="402" t="s">
        <v>161</v>
      </c>
      <c r="E805" s="403" t="s">
        <v>155</v>
      </c>
      <c r="F805" s="403" t="s">
        <v>671</v>
      </c>
      <c r="G805" s="404">
        <v>38819</v>
      </c>
      <c r="H805" s="404">
        <v>38895</v>
      </c>
      <c r="I805" s="405" t="s">
        <v>672</v>
      </c>
      <c r="J805" s="406">
        <v>100.78</v>
      </c>
      <c r="K805" s="407">
        <v>20.156000000000002</v>
      </c>
      <c r="L805" s="280">
        <v>120.936</v>
      </c>
      <c r="M805" s="68">
        <v>40.312000000000005</v>
      </c>
      <c r="N805" s="68">
        <v>8.062400000000002</v>
      </c>
      <c r="O805" s="255">
        <v>48.37440000000001</v>
      </c>
      <c r="P805" s="68">
        <f t="shared" si="187"/>
        <v>26.202800000000003</v>
      </c>
      <c r="Q805" s="68">
        <f t="shared" si="188"/>
        <v>5.240560000000001</v>
      </c>
      <c r="R805" s="255">
        <f t="shared" si="189"/>
        <v>31.443360000000006</v>
      </c>
      <c r="S805" s="569"/>
      <c r="T805" s="570"/>
    </row>
    <row r="806" spans="1:20" s="401" customFormat="1" ht="19.5" customHeight="1">
      <c r="A806" s="99" t="s">
        <v>635</v>
      </c>
      <c r="B806" s="100"/>
      <c r="C806" s="101" t="s">
        <v>152</v>
      </c>
      <c r="D806" s="402" t="s">
        <v>162</v>
      </c>
      <c r="E806" s="403" t="s">
        <v>155</v>
      </c>
      <c r="F806" s="403" t="s">
        <v>673</v>
      </c>
      <c r="G806" s="404">
        <v>38819</v>
      </c>
      <c r="H806" s="404">
        <v>38895</v>
      </c>
      <c r="I806" s="405" t="s">
        <v>672</v>
      </c>
      <c r="J806" s="406">
        <v>1058.74</v>
      </c>
      <c r="K806" s="407">
        <v>211.74800000000002</v>
      </c>
      <c r="L806" s="280">
        <v>1270.488</v>
      </c>
      <c r="M806" s="68">
        <v>423.49600000000004</v>
      </c>
      <c r="N806" s="68">
        <v>84.69920000000002</v>
      </c>
      <c r="O806" s="255">
        <v>508.19520000000006</v>
      </c>
      <c r="P806" s="68">
        <f t="shared" si="187"/>
        <v>275.27240000000006</v>
      </c>
      <c r="Q806" s="68">
        <f t="shared" si="188"/>
        <v>55.05448000000001</v>
      </c>
      <c r="R806" s="255">
        <f t="shared" si="189"/>
        <v>330.3268800000001</v>
      </c>
      <c r="S806" s="569"/>
      <c r="T806" s="570"/>
    </row>
    <row r="807" spans="1:20" s="401" customFormat="1" ht="19.5" customHeight="1">
      <c r="A807" s="99" t="s">
        <v>635</v>
      </c>
      <c r="B807" s="100"/>
      <c r="C807" s="101" t="s">
        <v>152</v>
      </c>
      <c r="D807" s="402" t="s">
        <v>164</v>
      </c>
      <c r="E807" s="403" t="s">
        <v>155</v>
      </c>
      <c r="F807" s="403" t="s">
        <v>673</v>
      </c>
      <c r="G807" s="404">
        <v>38819</v>
      </c>
      <c r="H807" s="404">
        <v>38895</v>
      </c>
      <c r="I807" s="405" t="s">
        <v>672</v>
      </c>
      <c r="J807" s="406">
        <v>100.78</v>
      </c>
      <c r="K807" s="407">
        <v>20.156000000000002</v>
      </c>
      <c r="L807" s="280">
        <v>120.936</v>
      </c>
      <c r="M807" s="68">
        <v>40.312000000000005</v>
      </c>
      <c r="N807" s="68">
        <v>8.062400000000002</v>
      </c>
      <c r="O807" s="255">
        <v>48.37440000000001</v>
      </c>
      <c r="P807" s="68">
        <f t="shared" si="187"/>
        <v>26.202800000000003</v>
      </c>
      <c r="Q807" s="68">
        <f t="shared" si="188"/>
        <v>5.240560000000001</v>
      </c>
      <c r="R807" s="255">
        <f t="shared" si="189"/>
        <v>31.443360000000006</v>
      </c>
      <c r="S807" s="569"/>
      <c r="T807" s="570"/>
    </row>
    <row r="808" spans="1:20" s="401" customFormat="1" ht="19.5" customHeight="1">
      <c r="A808" s="99" t="s">
        <v>635</v>
      </c>
      <c r="B808" s="100"/>
      <c r="C808" s="101" t="s">
        <v>152</v>
      </c>
      <c r="D808" s="402" t="s">
        <v>165</v>
      </c>
      <c r="E808" s="403" t="s">
        <v>155</v>
      </c>
      <c r="F808" s="403" t="s">
        <v>674</v>
      </c>
      <c r="G808" s="404">
        <v>38887</v>
      </c>
      <c r="H808" s="404">
        <v>38973</v>
      </c>
      <c r="I808" s="405" t="s">
        <v>157</v>
      </c>
      <c r="J808" s="406">
        <v>1058.74</v>
      </c>
      <c r="K808" s="407">
        <v>211.74800000000002</v>
      </c>
      <c r="L808" s="280">
        <v>1270.488</v>
      </c>
      <c r="M808" s="68">
        <v>423.49600000000004</v>
      </c>
      <c r="N808" s="68">
        <v>84.69920000000002</v>
      </c>
      <c r="O808" s="255">
        <v>508.19520000000006</v>
      </c>
      <c r="P808" s="68">
        <f t="shared" si="187"/>
        <v>275.27240000000006</v>
      </c>
      <c r="Q808" s="68">
        <f t="shared" si="188"/>
        <v>55.05448000000001</v>
      </c>
      <c r="R808" s="255">
        <f t="shared" si="189"/>
        <v>330.3268800000001</v>
      </c>
      <c r="S808" s="569"/>
      <c r="T808" s="570"/>
    </row>
    <row r="809" spans="1:20" s="401" customFormat="1" ht="19.5" customHeight="1">
      <c r="A809" s="99" t="s">
        <v>635</v>
      </c>
      <c r="B809" s="100"/>
      <c r="C809" s="101" t="s">
        <v>152</v>
      </c>
      <c r="D809" s="402" t="s">
        <v>167</v>
      </c>
      <c r="E809" s="403" t="s">
        <v>155</v>
      </c>
      <c r="F809" s="403" t="s">
        <v>674</v>
      </c>
      <c r="G809" s="404">
        <v>38887</v>
      </c>
      <c r="H809" s="404">
        <v>38973</v>
      </c>
      <c r="I809" s="405" t="s">
        <v>157</v>
      </c>
      <c r="J809" s="406">
        <v>102.68</v>
      </c>
      <c r="K809" s="407">
        <v>20.536</v>
      </c>
      <c r="L809" s="280">
        <v>123.21600000000001</v>
      </c>
      <c r="M809" s="68">
        <v>41.072</v>
      </c>
      <c r="N809" s="68">
        <v>8.214400000000001</v>
      </c>
      <c r="O809" s="255">
        <v>49.2864</v>
      </c>
      <c r="P809" s="68">
        <f t="shared" si="187"/>
        <v>26.696800000000003</v>
      </c>
      <c r="Q809" s="68">
        <f t="shared" si="188"/>
        <v>5.339360000000001</v>
      </c>
      <c r="R809" s="255">
        <f t="shared" si="189"/>
        <v>32.03616</v>
      </c>
      <c r="S809" s="569"/>
      <c r="T809" s="570"/>
    </row>
    <row r="810" spans="1:20" s="401" customFormat="1" ht="19.5" customHeight="1">
      <c r="A810" s="99" t="s">
        <v>635</v>
      </c>
      <c r="B810" s="100"/>
      <c r="C810" s="101" t="s">
        <v>152</v>
      </c>
      <c r="D810" s="402" t="s">
        <v>168</v>
      </c>
      <c r="E810" s="403" t="s">
        <v>155</v>
      </c>
      <c r="F810" s="403" t="s">
        <v>675</v>
      </c>
      <c r="G810" s="404">
        <v>38925</v>
      </c>
      <c r="H810" s="404">
        <v>39038</v>
      </c>
      <c r="I810" s="405" t="s">
        <v>157</v>
      </c>
      <c r="J810" s="406">
        <v>1058.74</v>
      </c>
      <c r="K810" s="407">
        <v>211.74800000000002</v>
      </c>
      <c r="L810" s="280">
        <v>1270.488</v>
      </c>
      <c r="M810" s="68">
        <v>423.49600000000004</v>
      </c>
      <c r="N810" s="68">
        <v>84.69920000000002</v>
      </c>
      <c r="O810" s="255">
        <v>508.19520000000006</v>
      </c>
      <c r="P810" s="68">
        <f t="shared" si="187"/>
        <v>275.27240000000006</v>
      </c>
      <c r="Q810" s="68">
        <f t="shared" si="188"/>
        <v>55.05448000000001</v>
      </c>
      <c r="R810" s="255">
        <f t="shared" si="189"/>
        <v>330.3268800000001</v>
      </c>
      <c r="S810" s="569"/>
      <c r="T810" s="570"/>
    </row>
    <row r="811" spans="1:20" s="401" customFormat="1" ht="19.5" customHeight="1">
      <c r="A811" s="99" t="s">
        <v>635</v>
      </c>
      <c r="B811" s="100"/>
      <c r="C811" s="101" t="s">
        <v>152</v>
      </c>
      <c r="D811" s="402" t="s">
        <v>170</v>
      </c>
      <c r="E811" s="403" t="s">
        <v>155</v>
      </c>
      <c r="F811" s="403" t="s">
        <v>675</v>
      </c>
      <c r="G811" s="404">
        <v>38925</v>
      </c>
      <c r="H811" s="404">
        <v>39038</v>
      </c>
      <c r="I811" s="405" t="s">
        <v>157</v>
      </c>
      <c r="J811" s="406">
        <v>100.88</v>
      </c>
      <c r="K811" s="407">
        <v>20.176000000000002</v>
      </c>
      <c r="L811" s="280">
        <v>121.056</v>
      </c>
      <c r="M811" s="68">
        <v>40.352000000000004</v>
      </c>
      <c r="N811" s="68">
        <v>8.070400000000001</v>
      </c>
      <c r="O811" s="255">
        <v>48.4224</v>
      </c>
      <c r="P811" s="68">
        <f t="shared" si="187"/>
        <v>26.228800000000003</v>
      </c>
      <c r="Q811" s="68">
        <f t="shared" si="188"/>
        <v>5.245760000000001</v>
      </c>
      <c r="R811" s="255">
        <f t="shared" si="189"/>
        <v>31.474560000000004</v>
      </c>
      <c r="S811" s="569"/>
      <c r="T811" s="570"/>
    </row>
    <row r="812" spans="1:20" s="401" customFormat="1" ht="19.5" customHeight="1">
      <c r="A812" s="99" t="s">
        <v>635</v>
      </c>
      <c r="B812" s="100"/>
      <c r="C812" s="101" t="s">
        <v>152</v>
      </c>
      <c r="D812" s="402" t="s">
        <v>432</v>
      </c>
      <c r="E812" s="403" t="s">
        <v>155</v>
      </c>
      <c r="F812" s="403" t="s">
        <v>676</v>
      </c>
      <c r="G812" s="404">
        <v>38925</v>
      </c>
      <c r="H812" s="404">
        <v>39049</v>
      </c>
      <c r="I812" s="405" t="s">
        <v>157</v>
      </c>
      <c r="J812" s="406">
        <v>1058.74</v>
      </c>
      <c r="K812" s="407">
        <v>211.74800000000002</v>
      </c>
      <c r="L812" s="280">
        <v>1270.488</v>
      </c>
      <c r="M812" s="68">
        <v>423.49600000000004</v>
      </c>
      <c r="N812" s="68">
        <v>84.69920000000002</v>
      </c>
      <c r="O812" s="255">
        <v>508.19520000000006</v>
      </c>
      <c r="P812" s="68">
        <f t="shared" si="187"/>
        <v>275.27240000000006</v>
      </c>
      <c r="Q812" s="68">
        <f t="shared" si="188"/>
        <v>55.05448000000001</v>
      </c>
      <c r="R812" s="255">
        <f t="shared" si="189"/>
        <v>330.3268800000001</v>
      </c>
      <c r="S812" s="569"/>
      <c r="T812" s="570"/>
    </row>
    <row r="813" spans="1:20" s="401" customFormat="1" ht="19.5" customHeight="1">
      <c r="A813" s="99" t="s">
        <v>635</v>
      </c>
      <c r="B813" s="100"/>
      <c r="C813" s="101" t="s">
        <v>152</v>
      </c>
      <c r="D813" s="402" t="s">
        <v>434</v>
      </c>
      <c r="E813" s="403" t="s">
        <v>155</v>
      </c>
      <c r="F813" s="403" t="s">
        <v>676</v>
      </c>
      <c r="G813" s="404">
        <v>38925</v>
      </c>
      <c r="H813" s="404">
        <v>39049</v>
      </c>
      <c r="I813" s="405" t="s">
        <v>157</v>
      </c>
      <c r="J813" s="406">
        <v>100.88</v>
      </c>
      <c r="K813" s="407">
        <v>20.176000000000002</v>
      </c>
      <c r="L813" s="280">
        <v>121.056</v>
      </c>
      <c r="M813" s="68">
        <v>40.352000000000004</v>
      </c>
      <c r="N813" s="68">
        <v>8.070400000000001</v>
      </c>
      <c r="O813" s="255">
        <v>48.4224</v>
      </c>
      <c r="P813" s="68">
        <f t="shared" si="187"/>
        <v>26.228800000000003</v>
      </c>
      <c r="Q813" s="68">
        <f t="shared" si="188"/>
        <v>5.245760000000001</v>
      </c>
      <c r="R813" s="255">
        <f t="shared" si="189"/>
        <v>31.474560000000004</v>
      </c>
      <c r="S813" s="569"/>
      <c r="T813" s="570"/>
    </row>
    <row r="814" spans="1:20" s="401" customFormat="1" ht="19.5" customHeight="1">
      <c r="A814" s="99" t="s">
        <v>635</v>
      </c>
      <c r="B814" s="100"/>
      <c r="C814" s="101" t="s">
        <v>152</v>
      </c>
      <c r="D814" s="402" t="s">
        <v>177</v>
      </c>
      <c r="E814" s="403" t="s">
        <v>178</v>
      </c>
      <c r="F814" s="403">
        <v>5022</v>
      </c>
      <c r="G814" s="404">
        <v>38870</v>
      </c>
      <c r="H814" s="404">
        <v>38890</v>
      </c>
      <c r="I814" s="405" t="s">
        <v>179</v>
      </c>
      <c r="J814" s="406">
        <v>176.8</v>
      </c>
      <c r="K814" s="407">
        <v>35.36</v>
      </c>
      <c r="L814" s="280">
        <v>212.16</v>
      </c>
      <c r="M814" s="68">
        <v>88.4</v>
      </c>
      <c r="N814" s="68">
        <v>17.68</v>
      </c>
      <c r="O814" s="255">
        <v>106.08</v>
      </c>
      <c r="P814" s="68">
        <f t="shared" si="187"/>
        <v>57.46000000000001</v>
      </c>
      <c r="Q814" s="68">
        <f t="shared" si="188"/>
        <v>11.492</v>
      </c>
      <c r="R814" s="255">
        <f t="shared" si="189"/>
        <v>68.952</v>
      </c>
      <c r="S814" s="569"/>
      <c r="T814" s="570"/>
    </row>
    <row r="815" spans="1:20" s="401" customFormat="1" ht="19.5" customHeight="1">
      <c r="A815" s="99" t="s">
        <v>635</v>
      </c>
      <c r="B815" s="100"/>
      <c r="C815" s="101" t="s">
        <v>152</v>
      </c>
      <c r="D815" s="402" t="s">
        <v>177</v>
      </c>
      <c r="E815" s="403" t="s">
        <v>178</v>
      </c>
      <c r="F815" s="403">
        <v>5023</v>
      </c>
      <c r="G815" s="404">
        <v>38931</v>
      </c>
      <c r="H815" s="404">
        <v>38951</v>
      </c>
      <c r="I815" s="405" t="s">
        <v>179</v>
      </c>
      <c r="J815" s="406">
        <v>234.68</v>
      </c>
      <c r="K815" s="407">
        <v>46.93600000000001</v>
      </c>
      <c r="L815" s="280">
        <v>281.616</v>
      </c>
      <c r="M815" s="68">
        <v>117.34</v>
      </c>
      <c r="N815" s="68">
        <v>23.468000000000004</v>
      </c>
      <c r="O815" s="255">
        <v>140.808</v>
      </c>
      <c r="P815" s="68">
        <f t="shared" si="187"/>
        <v>76.271</v>
      </c>
      <c r="Q815" s="68">
        <f t="shared" si="188"/>
        <v>15.254200000000003</v>
      </c>
      <c r="R815" s="255">
        <f t="shared" si="189"/>
        <v>91.5252</v>
      </c>
      <c r="S815" s="569"/>
      <c r="T815" s="570"/>
    </row>
    <row r="816" spans="1:20" s="401" customFormat="1" ht="19.5" customHeight="1">
      <c r="A816" s="99" t="s">
        <v>635</v>
      </c>
      <c r="B816" s="100"/>
      <c r="C816" s="101" t="s">
        <v>152</v>
      </c>
      <c r="D816" s="402" t="s">
        <v>177</v>
      </c>
      <c r="E816" s="403" t="s">
        <v>178</v>
      </c>
      <c r="F816" s="403">
        <v>5024</v>
      </c>
      <c r="G816" s="404">
        <v>38995</v>
      </c>
      <c r="H816" s="404">
        <v>39015</v>
      </c>
      <c r="I816" s="405" t="s">
        <v>179</v>
      </c>
      <c r="J816" s="406">
        <v>201.25</v>
      </c>
      <c r="K816" s="407">
        <v>40.25</v>
      </c>
      <c r="L816" s="280">
        <v>241.5</v>
      </c>
      <c r="M816" s="68">
        <v>100.625</v>
      </c>
      <c r="N816" s="68">
        <v>20.125</v>
      </c>
      <c r="O816" s="255">
        <v>120.75</v>
      </c>
      <c r="P816" s="68">
        <f t="shared" si="187"/>
        <v>65.40625</v>
      </c>
      <c r="Q816" s="68">
        <f t="shared" si="188"/>
        <v>13.08125</v>
      </c>
      <c r="R816" s="255">
        <f t="shared" si="189"/>
        <v>78.4875</v>
      </c>
      <c r="S816" s="569"/>
      <c r="T816" s="570"/>
    </row>
    <row r="817" spans="1:20" s="401" customFormat="1" ht="19.5" customHeight="1">
      <c r="A817" s="99" t="s">
        <v>635</v>
      </c>
      <c r="B817" s="100"/>
      <c r="C817" s="101" t="s">
        <v>152</v>
      </c>
      <c r="D817" s="402" t="s">
        <v>181</v>
      </c>
      <c r="E817" s="403" t="s">
        <v>182</v>
      </c>
      <c r="F817" s="403">
        <v>9930</v>
      </c>
      <c r="G817" s="404">
        <v>38846</v>
      </c>
      <c r="H817" s="404">
        <v>38880</v>
      </c>
      <c r="I817" s="405" t="s">
        <v>672</v>
      </c>
      <c r="J817" s="406">
        <v>556.93</v>
      </c>
      <c r="K817" s="407">
        <v>111.386</v>
      </c>
      <c r="L817" s="280">
        <v>565</v>
      </c>
      <c r="M817" s="68">
        <v>194.92549999999997</v>
      </c>
      <c r="N817" s="68">
        <v>38.985099999999996</v>
      </c>
      <c r="O817" s="255">
        <v>233.91059999999996</v>
      </c>
      <c r="P817" s="68">
        <f t="shared" si="187"/>
        <v>126.70157499999999</v>
      </c>
      <c r="Q817" s="68">
        <f t="shared" si="188"/>
        <v>25.340314999999997</v>
      </c>
      <c r="R817" s="255">
        <f t="shared" si="189"/>
        <v>152.04188999999997</v>
      </c>
      <c r="S817" s="569"/>
      <c r="T817" s="570"/>
    </row>
    <row r="818" spans="1:20" s="401" customFormat="1" ht="19.5" customHeight="1">
      <c r="A818" s="99" t="s">
        <v>635</v>
      </c>
      <c r="B818" s="100"/>
      <c r="C818" s="101" t="s">
        <v>152</v>
      </c>
      <c r="D818" s="402" t="s">
        <v>181</v>
      </c>
      <c r="E818" s="403" t="s">
        <v>182</v>
      </c>
      <c r="F818" s="403">
        <v>8887</v>
      </c>
      <c r="G818" s="404">
        <v>38908</v>
      </c>
      <c r="H818" s="404">
        <v>38930</v>
      </c>
      <c r="I818" s="405" t="s">
        <v>672</v>
      </c>
      <c r="J818" s="406">
        <v>89.91</v>
      </c>
      <c r="K818" s="407">
        <v>17.982</v>
      </c>
      <c r="L818" s="280">
        <v>203</v>
      </c>
      <c r="M818" s="68">
        <v>31.468499999999995</v>
      </c>
      <c r="N818" s="68">
        <v>6.293699999999999</v>
      </c>
      <c r="O818" s="255">
        <v>37.76219999999999</v>
      </c>
      <c r="P818" s="68">
        <f t="shared" si="187"/>
        <v>20.454524999999997</v>
      </c>
      <c r="Q818" s="68">
        <f t="shared" si="188"/>
        <v>4.090904999999999</v>
      </c>
      <c r="R818" s="255">
        <f t="shared" si="189"/>
        <v>24.545429999999996</v>
      </c>
      <c r="S818" s="569"/>
      <c r="T818" s="570"/>
    </row>
    <row r="819" spans="1:20" s="401" customFormat="1" ht="19.5" customHeight="1">
      <c r="A819" s="99" t="s">
        <v>635</v>
      </c>
      <c r="B819" s="100"/>
      <c r="C819" s="101" t="s">
        <v>152</v>
      </c>
      <c r="D819" s="402" t="s">
        <v>181</v>
      </c>
      <c r="E819" s="403" t="s">
        <v>182</v>
      </c>
      <c r="F819" s="403">
        <v>244</v>
      </c>
      <c r="G819" s="404">
        <v>38908</v>
      </c>
      <c r="H819" s="404">
        <v>38930</v>
      </c>
      <c r="I819" s="405" t="s">
        <v>672</v>
      </c>
      <c r="J819" s="406">
        <v>646.97</v>
      </c>
      <c r="K819" s="407">
        <v>129.394</v>
      </c>
      <c r="L819" s="280">
        <v>892</v>
      </c>
      <c r="M819" s="68">
        <v>226.43949999999998</v>
      </c>
      <c r="N819" s="68">
        <v>45.2879</v>
      </c>
      <c r="O819" s="255">
        <v>271.7274</v>
      </c>
      <c r="P819" s="68">
        <f t="shared" si="187"/>
        <v>147.185675</v>
      </c>
      <c r="Q819" s="68">
        <f t="shared" si="188"/>
        <v>29.437135</v>
      </c>
      <c r="R819" s="255">
        <f t="shared" si="189"/>
        <v>176.62281</v>
      </c>
      <c r="S819" s="569"/>
      <c r="T819" s="570"/>
    </row>
    <row r="820" spans="1:20" s="401" customFormat="1" ht="19.5" customHeight="1">
      <c r="A820" s="99" t="s">
        <v>635</v>
      </c>
      <c r="B820" s="100"/>
      <c r="C820" s="101" t="s">
        <v>152</v>
      </c>
      <c r="D820" s="402" t="s">
        <v>181</v>
      </c>
      <c r="E820" s="403" t="s">
        <v>182</v>
      </c>
      <c r="F820" s="403">
        <v>2477</v>
      </c>
      <c r="G820" s="404">
        <v>38968</v>
      </c>
      <c r="H820" s="404">
        <v>39006</v>
      </c>
      <c r="I820" s="405" t="s">
        <v>672</v>
      </c>
      <c r="J820" s="406">
        <v>57.36</v>
      </c>
      <c r="K820" s="407">
        <v>11.472000000000001</v>
      </c>
      <c r="L820" s="280">
        <v>69</v>
      </c>
      <c r="M820" s="68">
        <v>20.075999999999997</v>
      </c>
      <c r="N820" s="68">
        <v>4.015199999999999</v>
      </c>
      <c r="O820" s="255">
        <v>24.091199999999997</v>
      </c>
      <c r="P820" s="68">
        <f t="shared" si="187"/>
        <v>13.049399999999999</v>
      </c>
      <c r="Q820" s="68">
        <f t="shared" si="188"/>
        <v>2.6098799999999995</v>
      </c>
      <c r="R820" s="255">
        <f t="shared" si="189"/>
        <v>15.659279999999999</v>
      </c>
      <c r="S820" s="569"/>
      <c r="T820" s="570"/>
    </row>
    <row r="821" spans="1:20" s="401" customFormat="1" ht="19.5" customHeight="1">
      <c r="A821" s="99" t="s">
        <v>635</v>
      </c>
      <c r="B821" s="100"/>
      <c r="C821" s="101" t="s">
        <v>152</v>
      </c>
      <c r="D821" s="402" t="s">
        <v>181</v>
      </c>
      <c r="E821" s="403" t="s">
        <v>182</v>
      </c>
      <c r="F821" s="403">
        <v>2598</v>
      </c>
      <c r="G821" s="404">
        <v>38968</v>
      </c>
      <c r="H821" s="404">
        <v>39006</v>
      </c>
      <c r="I821" s="405" t="s">
        <v>672</v>
      </c>
      <c r="J821" s="406">
        <v>546.91</v>
      </c>
      <c r="K821" s="407">
        <v>109.382</v>
      </c>
      <c r="L821" s="280">
        <v>656.5</v>
      </c>
      <c r="M821" s="68">
        <v>191.41849999999997</v>
      </c>
      <c r="N821" s="68">
        <v>38.283699999999996</v>
      </c>
      <c r="O821" s="255">
        <v>229.70219999999995</v>
      </c>
      <c r="P821" s="68">
        <f t="shared" si="187"/>
        <v>124.42202499999998</v>
      </c>
      <c r="Q821" s="68">
        <f t="shared" si="188"/>
        <v>24.884404999999997</v>
      </c>
      <c r="R821" s="255">
        <f t="shared" si="189"/>
        <v>149.30642999999998</v>
      </c>
      <c r="S821" s="569"/>
      <c r="T821" s="570"/>
    </row>
    <row r="822" spans="1:20" s="401" customFormat="1" ht="19.5" customHeight="1">
      <c r="A822" s="99" t="s">
        <v>635</v>
      </c>
      <c r="B822" s="100"/>
      <c r="C822" s="101" t="s">
        <v>184</v>
      </c>
      <c r="D822" s="402" t="s">
        <v>578</v>
      </c>
      <c r="E822" s="403" t="s">
        <v>677</v>
      </c>
      <c r="F822" s="403">
        <v>28</v>
      </c>
      <c r="G822" s="404">
        <v>38744</v>
      </c>
      <c r="H822" s="404">
        <v>38908</v>
      </c>
      <c r="I822" s="405" t="s">
        <v>61</v>
      </c>
      <c r="J822" s="406">
        <v>735</v>
      </c>
      <c r="K822" s="407">
        <v>147</v>
      </c>
      <c r="L822" s="280">
        <v>882</v>
      </c>
      <c r="M822" s="68">
        <v>294</v>
      </c>
      <c r="N822" s="68">
        <v>58.8</v>
      </c>
      <c r="O822" s="255">
        <v>352.8</v>
      </c>
      <c r="P822" s="68">
        <f t="shared" si="187"/>
        <v>191.1</v>
      </c>
      <c r="Q822" s="68">
        <f t="shared" si="188"/>
        <v>38.22</v>
      </c>
      <c r="R822" s="255">
        <f t="shared" si="189"/>
        <v>229.32000000000002</v>
      </c>
      <c r="S822" s="569"/>
      <c r="T822" s="570"/>
    </row>
    <row r="823" spans="1:20" s="401" customFormat="1" ht="19.5" customHeight="1">
      <c r="A823" s="99" t="s">
        <v>635</v>
      </c>
      <c r="B823" s="100"/>
      <c r="C823" s="101" t="s">
        <v>184</v>
      </c>
      <c r="D823" s="402" t="s">
        <v>678</v>
      </c>
      <c r="E823" s="403" t="s">
        <v>677</v>
      </c>
      <c r="F823" s="403">
        <v>171</v>
      </c>
      <c r="G823" s="404">
        <v>38899</v>
      </c>
      <c r="H823" s="404">
        <v>38967</v>
      </c>
      <c r="I823" s="405" t="s">
        <v>61</v>
      </c>
      <c r="J823" s="406">
        <v>750</v>
      </c>
      <c r="K823" s="407">
        <v>150</v>
      </c>
      <c r="L823" s="280">
        <v>900</v>
      </c>
      <c r="M823" s="68">
        <v>300</v>
      </c>
      <c r="N823" s="68">
        <v>60</v>
      </c>
      <c r="O823" s="255">
        <v>360</v>
      </c>
      <c r="P823" s="68">
        <f t="shared" si="187"/>
        <v>195</v>
      </c>
      <c r="Q823" s="68">
        <f t="shared" si="188"/>
        <v>39</v>
      </c>
      <c r="R823" s="255">
        <f t="shared" si="189"/>
        <v>234</v>
      </c>
      <c r="S823" s="569"/>
      <c r="T823" s="570"/>
    </row>
    <row r="824" spans="1:20" s="401" customFormat="1" ht="19.5" customHeight="1">
      <c r="A824" s="99" t="s">
        <v>635</v>
      </c>
      <c r="B824" s="100"/>
      <c r="C824" s="101" t="s">
        <v>184</v>
      </c>
      <c r="D824" s="402" t="s">
        <v>679</v>
      </c>
      <c r="E824" s="403" t="s">
        <v>677</v>
      </c>
      <c r="F824" s="403">
        <v>202</v>
      </c>
      <c r="G824" s="404">
        <v>38930</v>
      </c>
      <c r="H824" s="404">
        <v>38967</v>
      </c>
      <c r="I824" s="405" t="s">
        <v>61</v>
      </c>
      <c r="J824" s="406">
        <v>750</v>
      </c>
      <c r="K824" s="407">
        <v>150</v>
      </c>
      <c r="L824" s="280">
        <v>900</v>
      </c>
      <c r="M824" s="68">
        <v>300</v>
      </c>
      <c r="N824" s="68">
        <v>60</v>
      </c>
      <c r="O824" s="255">
        <v>360</v>
      </c>
      <c r="P824" s="68">
        <f t="shared" si="187"/>
        <v>195</v>
      </c>
      <c r="Q824" s="68">
        <f t="shared" si="188"/>
        <v>39</v>
      </c>
      <c r="R824" s="255">
        <f t="shared" si="189"/>
        <v>234</v>
      </c>
      <c r="S824" s="569"/>
      <c r="T824" s="570"/>
    </row>
    <row r="825" spans="1:20" s="401" customFormat="1" ht="19.5" customHeight="1">
      <c r="A825" s="99" t="s">
        <v>635</v>
      </c>
      <c r="B825" s="100"/>
      <c r="C825" s="101" t="s">
        <v>184</v>
      </c>
      <c r="D825" s="402" t="s">
        <v>680</v>
      </c>
      <c r="E825" s="403" t="s">
        <v>677</v>
      </c>
      <c r="F825" s="403">
        <v>247</v>
      </c>
      <c r="G825" s="404">
        <v>38992</v>
      </c>
      <c r="H825" s="404">
        <v>39000</v>
      </c>
      <c r="I825" s="405" t="s">
        <v>61</v>
      </c>
      <c r="J825" s="406">
        <v>750</v>
      </c>
      <c r="K825" s="407">
        <v>150</v>
      </c>
      <c r="L825" s="280">
        <v>900</v>
      </c>
      <c r="M825" s="68">
        <v>300</v>
      </c>
      <c r="N825" s="68">
        <v>60</v>
      </c>
      <c r="O825" s="255">
        <v>360</v>
      </c>
      <c r="P825" s="68">
        <f t="shared" si="187"/>
        <v>195</v>
      </c>
      <c r="Q825" s="68">
        <f t="shared" si="188"/>
        <v>39</v>
      </c>
      <c r="R825" s="255">
        <f t="shared" si="189"/>
        <v>234</v>
      </c>
      <c r="S825" s="569"/>
      <c r="T825" s="570"/>
    </row>
    <row r="826" spans="1:20" s="401" customFormat="1" ht="19.5" customHeight="1">
      <c r="A826" s="99" t="s">
        <v>635</v>
      </c>
      <c r="B826" s="100"/>
      <c r="C826" s="101" t="s">
        <v>184</v>
      </c>
      <c r="D826" s="402" t="s">
        <v>323</v>
      </c>
      <c r="E826" s="403" t="s">
        <v>681</v>
      </c>
      <c r="F826" s="403">
        <v>3289052</v>
      </c>
      <c r="G826" s="404">
        <v>38990</v>
      </c>
      <c r="H826" s="404">
        <v>39034</v>
      </c>
      <c r="I826" s="405" t="s">
        <v>70</v>
      </c>
      <c r="J826" s="406">
        <v>190.05</v>
      </c>
      <c r="K826" s="407">
        <v>38.01</v>
      </c>
      <c r="L826" s="280">
        <v>228.06</v>
      </c>
      <c r="M826" s="68">
        <v>76.02</v>
      </c>
      <c r="N826" s="68">
        <v>15.204000000000002</v>
      </c>
      <c r="O826" s="255">
        <v>91.22400000000002</v>
      </c>
      <c r="P826" s="68">
        <f t="shared" si="187"/>
        <v>49.413</v>
      </c>
      <c r="Q826" s="68">
        <f t="shared" si="188"/>
        <v>9.882600000000002</v>
      </c>
      <c r="R826" s="255">
        <f t="shared" si="189"/>
        <v>59.295600000000015</v>
      </c>
      <c r="S826" s="569"/>
      <c r="T826" s="570"/>
    </row>
    <row r="827" spans="1:20" s="401" customFormat="1" ht="19.5" customHeight="1">
      <c r="A827" s="99" t="s">
        <v>635</v>
      </c>
      <c r="B827" s="100"/>
      <c r="C827" s="101" t="s">
        <v>184</v>
      </c>
      <c r="D827" s="402" t="s">
        <v>561</v>
      </c>
      <c r="E827" s="403" t="s">
        <v>73</v>
      </c>
      <c r="F827" s="403" t="s">
        <v>682</v>
      </c>
      <c r="G827" s="404">
        <v>38903</v>
      </c>
      <c r="H827" s="404">
        <v>38923</v>
      </c>
      <c r="I827" s="405" t="s">
        <v>196</v>
      </c>
      <c r="J827" s="406">
        <v>550.16</v>
      </c>
      <c r="K827" s="407">
        <v>110.032</v>
      </c>
      <c r="L827" s="280">
        <v>660.192</v>
      </c>
      <c r="M827" s="68">
        <v>220.064</v>
      </c>
      <c r="N827" s="68">
        <v>44.0128</v>
      </c>
      <c r="O827" s="255">
        <v>264.0768</v>
      </c>
      <c r="P827" s="68">
        <f aca="true" t="shared" si="190" ref="P827:P835">M827*0.65</f>
        <v>143.0416</v>
      </c>
      <c r="Q827" s="68">
        <f aca="true" t="shared" si="191" ref="Q827:Q835">N827*0.65</f>
        <v>28.60832</v>
      </c>
      <c r="R827" s="255">
        <f aca="true" t="shared" si="192" ref="R827:R835">O827*0.65</f>
        <v>171.64992</v>
      </c>
      <c r="S827" s="569"/>
      <c r="T827" s="570"/>
    </row>
    <row r="828" spans="1:20" s="401" customFormat="1" ht="19.5" customHeight="1">
      <c r="A828" s="99" t="s">
        <v>635</v>
      </c>
      <c r="B828" s="100"/>
      <c r="C828" s="101" t="s">
        <v>184</v>
      </c>
      <c r="D828" s="402" t="s">
        <v>561</v>
      </c>
      <c r="E828" s="403" t="s">
        <v>73</v>
      </c>
      <c r="F828" s="403" t="s">
        <v>683</v>
      </c>
      <c r="G828" s="404">
        <v>38917</v>
      </c>
      <c r="H828" s="404">
        <v>38936</v>
      </c>
      <c r="I828" s="405" t="s">
        <v>196</v>
      </c>
      <c r="J828" s="406">
        <v>91.02</v>
      </c>
      <c r="K828" s="407">
        <v>18.204</v>
      </c>
      <c r="L828" s="280">
        <v>109.22399999999999</v>
      </c>
      <c r="M828" s="68">
        <v>36.408</v>
      </c>
      <c r="N828" s="68">
        <v>7.281600000000001</v>
      </c>
      <c r="O828" s="255">
        <v>43.6896</v>
      </c>
      <c r="P828" s="68">
        <f t="shared" si="190"/>
        <v>23.665200000000002</v>
      </c>
      <c r="Q828" s="68">
        <f t="shared" si="191"/>
        <v>4.733040000000001</v>
      </c>
      <c r="R828" s="255">
        <f t="shared" si="192"/>
        <v>28.39824</v>
      </c>
      <c r="S828" s="569"/>
      <c r="T828" s="570"/>
    </row>
    <row r="829" spans="1:20" s="401" customFormat="1" ht="19.5" customHeight="1">
      <c r="A829" s="99" t="s">
        <v>635</v>
      </c>
      <c r="B829" s="100"/>
      <c r="C829" s="101" t="s">
        <v>184</v>
      </c>
      <c r="D829" s="402" t="s">
        <v>561</v>
      </c>
      <c r="E829" s="403" t="s">
        <v>73</v>
      </c>
      <c r="F829" s="403" t="s">
        <v>684</v>
      </c>
      <c r="G829" s="404">
        <v>38978</v>
      </c>
      <c r="H829" s="404">
        <v>39000</v>
      </c>
      <c r="I829" s="405" t="s">
        <v>196</v>
      </c>
      <c r="J829" s="406">
        <v>173.75</v>
      </c>
      <c r="K829" s="407">
        <v>34.75</v>
      </c>
      <c r="L829" s="280">
        <v>208.5</v>
      </c>
      <c r="M829" s="68">
        <v>69.5</v>
      </c>
      <c r="N829" s="68">
        <v>13.9</v>
      </c>
      <c r="O829" s="255">
        <v>83.4</v>
      </c>
      <c r="P829" s="68">
        <f t="shared" si="190"/>
        <v>45.175000000000004</v>
      </c>
      <c r="Q829" s="68">
        <f t="shared" si="191"/>
        <v>9.035</v>
      </c>
      <c r="R829" s="255">
        <f t="shared" si="192"/>
        <v>54.21000000000001</v>
      </c>
      <c r="S829" s="569"/>
      <c r="T829" s="570"/>
    </row>
    <row r="830" spans="1:20" s="401" customFormat="1" ht="19.5" customHeight="1">
      <c r="A830" s="99" t="s">
        <v>635</v>
      </c>
      <c r="B830" s="100"/>
      <c r="C830" s="101" t="s">
        <v>184</v>
      </c>
      <c r="D830" s="402" t="s">
        <v>128</v>
      </c>
      <c r="E830" s="403" t="s">
        <v>197</v>
      </c>
      <c r="F830" s="403" t="s">
        <v>685</v>
      </c>
      <c r="G830" s="404">
        <v>38887</v>
      </c>
      <c r="H830" s="404">
        <v>38909</v>
      </c>
      <c r="I830" s="405" t="s">
        <v>196</v>
      </c>
      <c r="J830" s="406">
        <v>62.58</v>
      </c>
      <c r="K830" s="407">
        <v>12.516</v>
      </c>
      <c r="L830" s="280">
        <v>75.096</v>
      </c>
      <c r="M830" s="68">
        <v>25.032</v>
      </c>
      <c r="N830" s="68">
        <v>5.0064</v>
      </c>
      <c r="O830" s="255">
        <v>30.0384</v>
      </c>
      <c r="P830" s="68">
        <f t="shared" si="190"/>
        <v>16.2708</v>
      </c>
      <c r="Q830" s="68">
        <f t="shared" si="191"/>
        <v>3.25416</v>
      </c>
      <c r="R830" s="255">
        <f t="shared" si="192"/>
        <v>19.52496</v>
      </c>
      <c r="S830" s="569"/>
      <c r="T830" s="570"/>
    </row>
    <row r="831" spans="1:20" s="401" customFormat="1" ht="19.5" customHeight="1">
      <c r="A831" s="99" t="s">
        <v>635</v>
      </c>
      <c r="B831" s="100"/>
      <c r="C831" s="101" t="s">
        <v>184</v>
      </c>
      <c r="D831" s="402" t="s">
        <v>664</v>
      </c>
      <c r="E831" s="403" t="s">
        <v>99</v>
      </c>
      <c r="F831" s="403" t="s">
        <v>686</v>
      </c>
      <c r="G831" s="404">
        <v>38908</v>
      </c>
      <c r="H831" s="404">
        <v>38967</v>
      </c>
      <c r="I831" s="405" t="s">
        <v>70</v>
      </c>
      <c r="J831" s="406">
        <v>471.25</v>
      </c>
      <c r="K831" s="407">
        <v>94.25</v>
      </c>
      <c r="L831" s="280">
        <v>565.5</v>
      </c>
      <c r="M831" s="68">
        <v>188.5</v>
      </c>
      <c r="N831" s="68">
        <v>37.7</v>
      </c>
      <c r="O831" s="255">
        <v>226.2</v>
      </c>
      <c r="P831" s="68">
        <f t="shared" si="190"/>
        <v>122.525</v>
      </c>
      <c r="Q831" s="68">
        <f t="shared" si="191"/>
        <v>24.505000000000003</v>
      </c>
      <c r="R831" s="255">
        <f t="shared" si="192"/>
        <v>147.03</v>
      </c>
      <c r="S831" s="569"/>
      <c r="T831" s="570"/>
    </row>
    <row r="832" spans="1:20" s="401" customFormat="1" ht="19.5" customHeight="1">
      <c r="A832" s="99" t="s">
        <v>635</v>
      </c>
      <c r="B832" s="100"/>
      <c r="C832" s="101" t="s">
        <v>184</v>
      </c>
      <c r="D832" s="402" t="s">
        <v>664</v>
      </c>
      <c r="E832" s="403" t="s">
        <v>99</v>
      </c>
      <c r="F832" s="403" t="s">
        <v>687</v>
      </c>
      <c r="G832" s="404">
        <v>38875</v>
      </c>
      <c r="H832" s="404">
        <v>38909</v>
      </c>
      <c r="I832" s="405" t="s">
        <v>70</v>
      </c>
      <c r="J832" s="406">
        <v>358.33</v>
      </c>
      <c r="K832" s="407">
        <v>71.666</v>
      </c>
      <c r="L832" s="280">
        <v>429.996</v>
      </c>
      <c r="M832" s="68">
        <v>143.332</v>
      </c>
      <c r="N832" s="68">
        <v>28.6664</v>
      </c>
      <c r="O832" s="255">
        <v>171.9984</v>
      </c>
      <c r="P832" s="68">
        <f t="shared" si="190"/>
        <v>93.1658</v>
      </c>
      <c r="Q832" s="68">
        <f t="shared" si="191"/>
        <v>18.63316</v>
      </c>
      <c r="R832" s="255">
        <f t="shared" si="192"/>
        <v>111.79896000000001</v>
      </c>
      <c r="S832" s="569"/>
      <c r="T832" s="570"/>
    </row>
    <row r="833" spans="1:20" s="401" customFormat="1" ht="19.5" customHeight="1">
      <c r="A833" s="99" t="s">
        <v>635</v>
      </c>
      <c r="B833" s="100"/>
      <c r="C833" s="101" t="s">
        <v>184</v>
      </c>
      <c r="D833" s="402" t="s">
        <v>666</v>
      </c>
      <c r="E833" s="403" t="s">
        <v>99</v>
      </c>
      <c r="F833" s="403" t="s">
        <v>688</v>
      </c>
      <c r="G833" s="404">
        <v>38968</v>
      </c>
      <c r="H833" s="404">
        <v>39000</v>
      </c>
      <c r="I833" s="405" t="s">
        <v>70</v>
      </c>
      <c r="J833" s="406">
        <v>130.83</v>
      </c>
      <c r="K833" s="407">
        <v>26.166000000000004</v>
      </c>
      <c r="L833" s="280">
        <v>156.996</v>
      </c>
      <c r="M833" s="68">
        <v>52.33200000000001</v>
      </c>
      <c r="N833" s="68">
        <v>10.466400000000002</v>
      </c>
      <c r="O833" s="255">
        <v>62.79840000000001</v>
      </c>
      <c r="P833" s="68">
        <f t="shared" si="190"/>
        <v>34.015800000000006</v>
      </c>
      <c r="Q833" s="68">
        <f t="shared" si="191"/>
        <v>6.803160000000002</v>
      </c>
      <c r="R833" s="255">
        <f t="shared" si="192"/>
        <v>40.818960000000004</v>
      </c>
      <c r="S833" s="569"/>
      <c r="T833" s="570"/>
    </row>
    <row r="834" spans="1:20" s="401" customFormat="1" ht="19.5" customHeight="1">
      <c r="A834" s="99" t="s">
        <v>635</v>
      </c>
      <c r="B834" s="100"/>
      <c r="C834" s="101" t="s">
        <v>184</v>
      </c>
      <c r="D834" s="402" t="s">
        <v>666</v>
      </c>
      <c r="E834" s="403" t="s">
        <v>99</v>
      </c>
      <c r="F834" s="403" t="s">
        <v>689</v>
      </c>
      <c r="G834" s="404">
        <v>38936</v>
      </c>
      <c r="H834" s="404">
        <v>38967</v>
      </c>
      <c r="I834" s="405" t="s">
        <v>70</v>
      </c>
      <c r="J834" s="406">
        <v>448.33</v>
      </c>
      <c r="K834" s="407">
        <v>89.666</v>
      </c>
      <c r="L834" s="280">
        <v>537.996</v>
      </c>
      <c r="M834" s="68">
        <v>179.332</v>
      </c>
      <c r="N834" s="68">
        <v>35.8664</v>
      </c>
      <c r="O834" s="255">
        <v>215.1984</v>
      </c>
      <c r="P834" s="68">
        <f t="shared" si="190"/>
        <v>116.5658</v>
      </c>
      <c r="Q834" s="68">
        <f t="shared" si="191"/>
        <v>23.31316</v>
      </c>
      <c r="R834" s="255">
        <f t="shared" si="192"/>
        <v>139.87896</v>
      </c>
      <c r="S834" s="569"/>
      <c r="T834" s="570"/>
    </row>
    <row r="835" spans="1:20" s="401" customFormat="1" ht="19.5" customHeight="1">
      <c r="A835" s="99" t="s">
        <v>635</v>
      </c>
      <c r="B835" s="100"/>
      <c r="C835" s="101" t="s">
        <v>184</v>
      </c>
      <c r="D835" s="402" t="s">
        <v>690</v>
      </c>
      <c r="E835" s="403"/>
      <c r="F835" s="403">
        <v>618</v>
      </c>
      <c r="G835" s="404">
        <v>38899</v>
      </c>
      <c r="H835" s="404">
        <v>38908</v>
      </c>
      <c r="I835" s="405" t="s">
        <v>691</v>
      </c>
      <c r="J835" s="406">
        <v>186.5</v>
      </c>
      <c r="K835" s="407">
        <v>0</v>
      </c>
      <c r="L835" s="280">
        <v>186.5</v>
      </c>
      <c r="M835" s="68">
        <v>74.6</v>
      </c>
      <c r="N835" s="68"/>
      <c r="O835" s="255">
        <v>74.6</v>
      </c>
      <c r="P835" s="68">
        <f t="shared" si="190"/>
        <v>48.489999999999995</v>
      </c>
      <c r="Q835" s="68">
        <f t="shared" si="191"/>
        <v>0</v>
      </c>
      <c r="R835" s="255">
        <f t="shared" si="192"/>
        <v>48.489999999999995</v>
      </c>
      <c r="S835" s="569"/>
      <c r="T835" s="570"/>
    </row>
    <row r="836" spans="1:20" s="401" customFormat="1" ht="19.5" customHeight="1">
      <c r="A836" s="99" t="s">
        <v>635</v>
      </c>
      <c r="B836" s="100"/>
      <c r="C836" s="101" t="s">
        <v>123</v>
      </c>
      <c r="D836" s="402" t="s">
        <v>754</v>
      </c>
      <c r="E836" s="403" t="s">
        <v>755</v>
      </c>
      <c r="F836" s="403"/>
      <c r="G836" s="404"/>
      <c r="H836" s="404">
        <v>38932</v>
      </c>
      <c r="I836" s="405" t="s">
        <v>756</v>
      </c>
      <c r="J836" s="406">
        <v>930.24</v>
      </c>
      <c r="K836" s="407"/>
      <c r="L836" s="280">
        <v>930.24</v>
      </c>
      <c r="M836" s="68">
        <v>186.05</v>
      </c>
      <c r="N836" s="68"/>
      <c r="O836" s="255">
        <v>186.05</v>
      </c>
      <c r="P836" s="68">
        <f aca="true" t="shared" si="193" ref="P836:P856">M836*0.65</f>
        <v>120.9325</v>
      </c>
      <c r="Q836" s="68">
        <f aca="true" t="shared" si="194" ref="Q836:Q856">N836*0.65</f>
        <v>0</v>
      </c>
      <c r="R836" s="255">
        <f aca="true" t="shared" si="195" ref="R836:R856">O836*0.65</f>
        <v>120.9325</v>
      </c>
      <c r="S836" s="569"/>
      <c r="T836" s="570"/>
    </row>
    <row r="837" spans="1:20" s="401" customFormat="1" ht="19.5" customHeight="1">
      <c r="A837" s="99" t="s">
        <v>635</v>
      </c>
      <c r="B837" s="100"/>
      <c r="C837" s="101" t="s">
        <v>123</v>
      </c>
      <c r="D837" s="402" t="s">
        <v>178</v>
      </c>
      <c r="E837" s="403" t="s">
        <v>178</v>
      </c>
      <c r="F837" s="403">
        <v>19401014234</v>
      </c>
      <c r="G837" s="404">
        <v>38917</v>
      </c>
      <c r="H837" s="404">
        <v>38937</v>
      </c>
      <c r="I837" s="405" t="s">
        <v>757</v>
      </c>
      <c r="J837" s="406">
        <v>92.51</v>
      </c>
      <c r="K837" s="407">
        <v>18.5</v>
      </c>
      <c r="L837" s="280">
        <v>111.01</v>
      </c>
      <c r="M837" s="68">
        <v>18.5</v>
      </c>
      <c r="N837" s="68">
        <v>3.7</v>
      </c>
      <c r="O837" s="255">
        <v>22.2</v>
      </c>
      <c r="P837" s="68">
        <f t="shared" si="193"/>
        <v>12.025</v>
      </c>
      <c r="Q837" s="68">
        <f t="shared" si="194"/>
        <v>2.4050000000000002</v>
      </c>
      <c r="R837" s="255">
        <f t="shared" si="195"/>
        <v>14.43</v>
      </c>
      <c r="S837" s="569"/>
      <c r="T837" s="570"/>
    </row>
    <row r="838" spans="1:20" s="401" customFormat="1" ht="19.5" customHeight="1">
      <c r="A838" s="99" t="s">
        <v>635</v>
      </c>
      <c r="B838" s="100"/>
      <c r="C838" s="101" t="s">
        <v>123</v>
      </c>
      <c r="D838" s="402" t="s">
        <v>758</v>
      </c>
      <c r="E838" s="403" t="s">
        <v>759</v>
      </c>
      <c r="F838" s="403">
        <v>721</v>
      </c>
      <c r="G838" s="404">
        <v>38924</v>
      </c>
      <c r="H838" s="404">
        <v>38931</v>
      </c>
      <c r="I838" s="405" t="s">
        <v>760</v>
      </c>
      <c r="J838" s="406">
        <v>220</v>
      </c>
      <c r="K838" s="407">
        <v>44</v>
      </c>
      <c r="L838" s="280">
        <v>264</v>
      </c>
      <c r="M838" s="68">
        <v>44</v>
      </c>
      <c r="N838" s="68">
        <v>8.8</v>
      </c>
      <c r="O838" s="255">
        <v>52.8</v>
      </c>
      <c r="P838" s="68">
        <f t="shared" si="193"/>
        <v>28.6</v>
      </c>
      <c r="Q838" s="68">
        <f t="shared" si="194"/>
        <v>5.720000000000001</v>
      </c>
      <c r="R838" s="255">
        <f t="shared" si="195"/>
        <v>34.32</v>
      </c>
      <c r="S838" s="569"/>
      <c r="T838" s="570"/>
    </row>
    <row r="839" spans="1:20" s="401" customFormat="1" ht="19.5" customHeight="1">
      <c r="A839" s="99" t="s">
        <v>635</v>
      </c>
      <c r="B839" s="100"/>
      <c r="C839" s="101" t="s">
        <v>123</v>
      </c>
      <c r="D839" s="402" t="s">
        <v>761</v>
      </c>
      <c r="E839" s="403" t="s">
        <v>761</v>
      </c>
      <c r="F839" s="403" t="s">
        <v>762</v>
      </c>
      <c r="G839" s="404">
        <v>38899</v>
      </c>
      <c r="H839" s="404">
        <v>38933</v>
      </c>
      <c r="I839" s="405" t="s">
        <v>757</v>
      </c>
      <c r="J839" s="406">
        <v>585.8</v>
      </c>
      <c r="K839" s="407">
        <v>117.2</v>
      </c>
      <c r="L839" s="280">
        <v>703</v>
      </c>
      <c r="M839" s="68">
        <v>117.16</v>
      </c>
      <c r="N839" s="68">
        <v>23.44</v>
      </c>
      <c r="O839" s="255">
        <v>140.6</v>
      </c>
      <c r="P839" s="68">
        <f t="shared" si="193"/>
        <v>76.154</v>
      </c>
      <c r="Q839" s="68">
        <f t="shared" si="194"/>
        <v>15.236</v>
      </c>
      <c r="R839" s="255">
        <f t="shared" si="195"/>
        <v>91.39</v>
      </c>
      <c r="S839" s="569"/>
      <c r="T839" s="570"/>
    </row>
    <row r="840" spans="1:20" s="401" customFormat="1" ht="19.5" customHeight="1">
      <c r="A840" s="99" t="s">
        <v>635</v>
      </c>
      <c r="B840" s="100"/>
      <c r="C840" s="101" t="s">
        <v>123</v>
      </c>
      <c r="D840" s="402" t="s">
        <v>754</v>
      </c>
      <c r="E840" s="403" t="s">
        <v>755</v>
      </c>
      <c r="F840" s="403"/>
      <c r="G840" s="404"/>
      <c r="H840" s="404">
        <v>38897</v>
      </c>
      <c r="I840" s="405" t="s">
        <v>763</v>
      </c>
      <c r="J840" s="406">
        <v>975.06</v>
      </c>
      <c r="K840" s="407"/>
      <c r="L840" s="280">
        <v>975.06</v>
      </c>
      <c r="M840" s="68">
        <v>195.01</v>
      </c>
      <c r="N840" s="68"/>
      <c r="O840" s="255">
        <v>195.01</v>
      </c>
      <c r="P840" s="68">
        <f t="shared" si="193"/>
        <v>126.7565</v>
      </c>
      <c r="Q840" s="68">
        <f t="shared" si="194"/>
        <v>0</v>
      </c>
      <c r="R840" s="255">
        <f t="shared" si="195"/>
        <v>126.7565</v>
      </c>
      <c r="S840" s="569"/>
      <c r="T840" s="570"/>
    </row>
    <row r="841" spans="1:20" s="401" customFormat="1" ht="19.5" customHeight="1">
      <c r="A841" s="99" t="s">
        <v>635</v>
      </c>
      <c r="B841" s="100"/>
      <c r="C841" s="101" t="s">
        <v>123</v>
      </c>
      <c r="D841" s="402" t="s">
        <v>764</v>
      </c>
      <c r="E841" s="403" t="s">
        <v>765</v>
      </c>
      <c r="F841" s="403"/>
      <c r="G841" s="404"/>
      <c r="H841" s="404">
        <v>38840</v>
      </c>
      <c r="I841" s="405" t="s">
        <v>763</v>
      </c>
      <c r="J841" s="406">
        <v>116.5</v>
      </c>
      <c r="K841" s="407"/>
      <c r="L841" s="280">
        <v>116.5</v>
      </c>
      <c r="M841" s="68">
        <v>23.3</v>
      </c>
      <c r="N841" s="68"/>
      <c r="O841" s="255">
        <v>23.3</v>
      </c>
      <c r="P841" s="68">
        <f t="shared" si="193"/>
        <v>15.145000000000001</v>
      </c>
      <c r="Q841" s="68">
        <f t="shared" si="194"/>
        <v>0</v>
      </c>
      <c r="R841" s="255">
        <f t="shared" si="195"/>
        <v>15.145000000000001</v>
      </c>
      <c r="S841" s="569"/>
      <c r="T841" s="570"/>
    </row>
    <row r="842" spans="1:20" s="401" customFormat="1" ht="19.5" customHeight="1">
      <c r="A842" s="99" t="s">
        <v>635</v>
      </c>
      <c r="B842" s="100"/>
      <c r="C842" s="101" t="s">
        <v>123</v>
      </c>
      <c r="D842" s="402" t="s">
        <v>178</v>
      </c>
      <c r="E842" s="403" t="s">
        <v>178</v>
      </c>
      <c r="F842" s="403">
        <v>401014233</v>
      </c>
      <c r="G842" s="404">
        <v>38862</v>
      </c>
      <c r="H842" s="404">
        <v>38882</v>
      </c>
      <c r="I842" s="405" t="s">
        <v>766</v>
      </c>
      <c r="J842" s="406">
        <v>93.65</v>
      </c>
      <c r="K842" s="407">
        <v>18.73</v>
      </c>
      <c r="L842" s="280">
        <v>112.38</v>
      </c>
      <c r="M842" s="68">
        <v>18.73</v>
      </c>
      <c r="N842" s="68">
        <v>3.75</v>
      </c>
      <c r="O842" s="255">
        <v>22.48</v>
      </c>
      <c r="P842" s="68">
        <f t="shared" si="193"/>
        <v>12.1745</v>
      </c>
      <c r="Q842" s="68">
        <f t="shared" si="194"/>
        <v>2.4375</v>
      </c>
      <c r="R842" s="255">
        <f t="shared" si="195"/>
        <v>14.612</v>
      </c>
      <c r="S842" s="569"/>
      <c r="T842" s="570"/>
    </row>
    <row r="843" spans="1:20" s="401" customFormat="1" ht="19.5" customHeight="1">
      <c r="A843" s="99" t="s">
        <v>635</v>
      </c>
      <c r="B843" s="100"/>
      <c r="C843" s="101" t="s">
        <v>123</v>
      </c>
      <c r="D843" s="402" t="s">
        <v>754</v>
      </c>
      <c r="E843" s="403" t="s">
        <v>755</v>
      </c>
      <c r="F843" s="403"/>
      <c r="G843" s="404"/>
      <c r="H843" s="404">
        <v>38868</v>
      </c>
      <c r="I843" s="405" t="s">
        <v>763</v>
      </c>
      <c r="J843" s="406">
        <v>912.83</v>
      </c>
      <c r="K843" s="407"/>
      <c r="L843" s="280">
        <v>912.83</v>
      </c>
      <c r="M843" s="68">
        <v>182.57</v>
      </c>
      <c r="N843" s="68"/>
      <c r="O843" s="255">
        <v>182.57</v>
      </c>
      <c r="P843" s="68">
        <f t="shared" si="193"/>
        <v>118.6705</v>
      </c>
      <c r="Q843" s="68">
        <f t="shared" si="194"/>
        <v>0</v>
      </c>
      <c r="R843" s="255">
        <f t="shared" si="195"/>
        <v>118.6705</v>
      </c>
      <c r="S843" s="569"/>
      <c r="T843" s="570"/>
    </row>
    <row r="844" spans="1:20" s="401" customFormat="1" ht="19.5" customHeight="1">
      <c r="A844" s="99" t="s">
        <v>635</v>
      </c>
      <c r="B844" s="100"/>
      <c r="C844" s="101" t="s">
        <v>123</v>
      </c>
      <c r="D844" s="402" t="s">
        <v>764</v>
      </c>
      <c r="E844" s="403" t="s">
        <v>767</v>
      </c>
      <c r="F844" s="403"/>
      <c r="G844" s="404"/>
      <c r="H844" s="404">
        <v>38901</v>
      </c>
      <c r="I844" s="405"/>
      <c r="J844" s="406">
        <v>233</v>
      </c>
      <c r="K844" s="407"/>
      <c r="L844" s="280">
        <v>233</v>
      </c>
      <c r="M844" s="68">
        <v>46.6</v>
      </c>
      <c r="N844" s="68"/>
      <c r="O844" s="255">
        <v>46.6</v>
      </c>
      <c r="P844" s="68">
        <f t="shared" si="193"/>
        <v>30.290000000000003</v>
      </c>
      <c r="Q844" s="68">
        <f t="shared" si="194"/>
        <v>0</v>
      </c>
      <c r="R844" s="255">
        <f t="shared" si="195"/>
        <v>30.290000000000003</v>
      </c>
      <c r="S844" s="569"/>
      <c r="T844" s="570"/>
    </row>
    <row r="845" spans="1:20" s="401" customFormat="1" ht="19.5" customHeight="1">
      <c r="A845" s="99" t="s">
        <v>635</v>
      </c>
      <c r="B845" s="100"/>
      <c r="C845" s="101" t="s">
        <v>123</v>
      </c>
      <c r="D845" s="402" t="s">
        <v>758</v>
      </c>
      <c r="E845" s="403" t="s">
        <v>759</v>
      </c>
      <c r="F845" s="403">
        <v>623</v>
      </c>
      <c r="G845" s="404">
        <v>38899</v>
      </c>
      <c r="H845" s="404">
        <v>38899</v>
      </c>
      <c r="I845" s="405"/>
      <c r="J845" s="406">
        <v>220</v>
      </c>
      <c r="K845" s="407">
        <v>44</v>
      </c>
      <c r="L845" s="280">
        <v>264</v>
      </c>
      <c r="M845" s="68">
        <v>44</v>
      </c>
      <c r="N845" s="68">
        <v>8.8</v>
      </c>
      <c r="O845" s="255">
        <v>52.8</v>
      </c>
      <c r="P845" s="68">
        <f t="shared" si="193"/>
        <v>28.6</v>
      </c>
      <c r="Q845" s="68">
        <f t="shared" si="194"/>
        <v>5.720000000000001</v>
      </c>
      <c r="R845" s="255">
        <f t="shared" si="195"/>
        <v>34.32</v>
      </c>
      <c r="S845" s="569"/>
      <c r="T845" s="570"/>
    </row>
    <row r="846" spans="1:20" s="401" customFormat="1" ht="19.5" customHeight="1">
      <c r="A846" s="99" t="s">
        <v>635</v>
      </c>
      <c r="B846" s="100"/>
      <c r="C846" s="101" t="s">
        <v>123</v>
      </c>
      <c r="D846" s="402" t="s">
        <v>764</v>
      </c>
      <c r="E846" s="403" t="s">
        <v>768</v>
      </c>
      <c r="F846" s="403"/>
      <c r="G846" s="404"/>
      <c r="H846" s="404">
        <v>39023</v>
      </c>
      <c r="I846" s="405" t="s">
        <v>125</v>
      </c>
      <c r="J846" s="406">
        <v>233</v>
      </c>
      <c r="K846" s="407"/>
      <c r="L846" s="280">
        <v>233</v>
      </c>
      <c r="M846" s="68">
        <v>46.6</v>
      </c>
      <c r="N846" s="68"/>
      <c r="O846" s="255">
        <v>46.6</v>
      </c>
      <c r="P846" s="68">
        <f t="shared" si="193"/>
        <v>30.290000000000003</v>
      </c>
      <c r="Q846" s="68">
        <f t="shared" si="194"/>
        <v>0</v>
      </c>
      <c r="R846" s="255">
        <f t="shared" si="195"/>
        <v>30.290000000000003</v>
      </c>
      <c r="S846" s="569"/>
      <c r="T846" s="570"/>
    </row>
    <row r="847" spans="1:20" s="401" customFormat="1" ht="19.5" customHeight="1">
      <c r="A847" s="99" t="s">
        <v>635</v>
      </c>
      <c r="B847" s="100"/>
      <c r="C847" s="101" t="s">
        <v>123</v>
      </c>
      <c r="D847" s="402" t="s">
        <v>769</v>
      </c>
      <c r="E847" s="403" t="s">
        <v>770</v>
      </c>
      <c r="F847" s="403"/>
      <c r="G847" s="404"/>
      <c r="H847" s="404">
        <v>39024</v>
      </c>
      <c r="I847" s="405" t="s">
        <v>125</v>
      </c>
      <c r="J847" s="406">
        <v>930.24</v>
      </c>
      <c r="K847" s="407"/>
      <c r="L847" s="280">
        <v>930.24</v>
      </c>
      <c r="M847" s="68">
        <v>186.05</v>
      </c>
      <c r="N847" s="68"/>
      <c r="O847" s="255">
        <v>186.05</v>
      </c>
      <c r="P847" s="68">
        <f t="shared" si="193"/>
        <v>120.9325</v>
      </c>
      <c r="Q847" s="68">
        <f t="shared" si="194"/>
        <v>0</v>
      </c>
      <c r="R847" s="255">
        <f t="shared" si="195"/>
        <v>120.9325</v>
      </c>
      <c r="S847" s="569"/>
      <c r="T847" s="570"/>
    </row>
    <row r="848" spans="1:20" s="401" customFormat="1" ht="19.5" customHeight="1">
      <c r="A848" s="99" t="s">
        <v>635</v>
      </c>
      <c r="B848" s="100"/>
      <c r="C848" s="101" t="s">
        <v>123</v>
      </c>
      <c r="D848" s="402" t="s">
        <v>758</v>
      </c>
      <c r="E848" s="403" t="s">
        <v>759</v>
      </c>
      <c r="F848" s="403">
        <v>1062</v>
      </c>
      <c r="G848" s="404">
        <v>39029</v>
      </c>
      <c r="H848" s="404">
        <v>39041</v>
      </c>
      <c r="I848" s="405" t="s">
        <v>760</v>
      </c>
      <c r="J848" s="406">
        <v>220</v>
      </c>
      <c r="K848" s="407">
        <v>44</v>
      </c>
      <c r="L848" s="280">
        <v>264</v>
      </c>
      <c r="M848" s="68">
        <v>44</v>
      </c>
      <c r="N848" s="68">
        <v>8.8</v>
      </c>
      <c r="O848" s="255">
        <v>52.8</v>
      </c>
      <c r="P848" s="68">
        <f t="shared" si="193"/>
        <v>28.6</v>
      </c>
      <c r="Q848" s="68">
        <f t="shared" si="194"/>
        <v>5.720000000000001</v>
      </c>
      <c r="R848" s="255">
        <f t="shared" si="195"/>
        <v>34.32</v>
      </c>
      <c r="S848" s="569"/>
      <c r="T848" s="570"/>
    </row>
    <row r="849" spans="1:20" s="401" customFormat="1" ht="19.5" customHeight="1">
      <c r="A849" s="99" t="s">
        <v>635</v>
      </c>
      <c r="B849" s="100"/>
      <c r="C849" s="101" t="s">
        <v>123</v>
      </c>
      <c r="D849" s="402" t="s">
        <v>754</v>
      </c>
      <c r="E849" s="403" t="s">
        <v>755</v>
      </c>
      <c r="F849" s="403"/>
      <c r="G849" s="404"/>
      <c r="H849" s="404">
        <v>38994</v>
      </c>
      <c r="I849" s="405" t="s">
        <v>756</v>
      </c>
      <c r="J849" s="406">
        <v>930.24</v>
      </c>
      <c r="K849" s="407"/>
      <c r="L849" s="280">
        <v>930.24</v>
      </c>
      <c r="M849" s="68">
        <v>186.05</v>
      </c>
      <c r="N849" s="68"/>
      <c r="O849" s="255">
        <v>186.05</v>
      </c>
      <c r="P849" s="68">
        <f t="shared" si="193"/>
        <v>120.9325</v>
      </c>
      <c r="Q849" s="68">
        <f t="shared" si="194"/>
        <v>0</v>
      </c>
      <c r="R849" s="255">
        <f t="shared" si="195"/>
        <v>120.9325</v>
      </c>
      <c r="S849" s="569"/>
      <c r="T849" s="570"/>
    </row>
    <row r="850" spans="1:20" s="401" customFormat="1" ht="19.5" customHeight="1">
      <c r="A850" s="99" t="s">
        <v>635</v>
      </c>
      <c r="B850" s="100"/>
      <c r="C850" s="101" t="s">
        <v>123</v>
      </c>
      <c r="D850" s="402" t="s">
        <v>178</v>
      </c>
      <c r="E850" s="403" t="s">
        <v>178</v>
      </c>
      <c r="F850" s="403">
        <v>9401014235</v>
      </c>
      <c r="G850" s="404">
        <v>38978</v>
      </c>
      <c r="H850" s="404">
        <v>38999</v>
      </c>
      <c r="I850" s="405" t="s">
        <v>771</v>
      </c>
      <c r="J850" s="406">
        <v>103.67</v>
      </c>
      <c r="K850" s="407">
        <v>20.73</v>
      </c>
      <c r="L850" s="280">
        <v>124.4</v>
      </c>
      <c r="M850" s="68">
        <v>20.73</v>
      </c>
      <c r="N850" s="68">
        <v>4.15</v>
      </c>
      <c r="O850" s="255">
        <v>24.88</v>
      </c>
      <c r="P850" s="68">
        <f t="shared" si="193"/>
        <v>13.4745</v>
      </c>
      <c r="Q850" s="68">
        <f t="shared" si="194"/>
        <v>2.6975000000000002</v>
      </c>
      <c r="R850" s="255">
        <f t="shared" si="195"/>
        <v>16.172</v>
      </c>
      <c r="S850" s="569"/>
      <c r="T850" s="570"/>
    </row>
    <row r="851" spans="1:20" s="401" customFormat="1" ht="19.5" customHeight="1">
      <c r="A851" s="99" t="s">
        <v>635</v>
      </c>
      <c r="B851" s="100"/>
      <c r="C851" s="101" t="s">
        <v>123</v>
      </c>
      <c r="D851" s="402" t="s">
        <v>182</v>
      </c>
      <c r="E851" s="403" t="s">
        <v>182</v>
      </c>
      <c r="F851" s="403" t="s">
        <v>772</v>
      </c>
      <c r="G851" s="404">
        <v>38968</v>
      </c>
      <c r="H851" s="404">
        <v>39003</v>
      </c>
      <c r="I851" s="405" t="s">
        <v>773</v>
      </c>
      <c r="J851" s="406">
        <v>346.74</v>
      </c>
      <c r="K851" s="407">
        <v>60.76</v>
      </c>
      <c r="L851" s="280">
        <v>407.5</v>
      </c>
      <c r="M851" s="68">
        <v>69.35</v>
      </c>
      <c r="N851" s="68">
        <v>12.15</v>
      </c>
      <c r="O851" s="255">
        <v>81.5</v>
      </c>
      <c r="P851" s="68">
        <f t="shared" si="193"/>
        <v>45.0775</v>
      </c>
      <c r="Q851" s="68">
        <f t="shared" si="194"/>
        <v>7.897500000000001</v>
      </c>
      <c r="R851" s="255">
        <f t="shared" si="195"/>
        <v>52.975</v>
      </c>
      <c r="S851" s="569"/>
      <c r="T851" s="570"/>
    </row>
    <row r="852" spans="1:20" s="401" customFormat="1" ht="19.5" customHeight="1">
      <c r="A852" s="99" t="s">
        <v>635</v>
      </c>
      <c r="B852" s="100"/>
      <c r="C852" s="101" t="s">
        <v>123</v>
      </c>
      <c r="D852" s="402" t="s">
        <v>182</v>
      </c>
      <c r="E852" s="403" t="s">
        <v>182</v>
      </c>
      <c r="F852" s="403" t="s">
        <v>774</v>
      </c>
      <c r="G852" s="404">
        <v>38968</v>
      </c>
      <c r="H852" s="404">
        <v>39003</v>
      </c>
      <c r="I852" s="405" t="s">
        <v>773</v>
      </c>
      <c r="J852" s="406">
        <v>65.83</v>
      </c>
      <c r="K852" s="407">
        <v>12.67</v>
      </c>
      <c r="L852" s="280">
        <v>78.5</v>
      </c>
      <c r="M852" s="68">
        <v>13.17</v>
      </c>
      <c r="N852" s="68">
        <v>2.53</v>
      </c>
      <c r="O852" s="255">
        <v>15.7</v>
      </c>
      <c r="P852" s="68">
        <f t="shared" si="193"/>
        <v>8.560500000000001</v>
      </c>
      <c r="Q852" s="68">
        <f t="shared" si="194"/>
        <v>1.6444999999999999</v>
      </c>
      <c r="R852" s="255">
        <f t="shared" si="195"/>
        <v>10.205</v>
      </c>
      <c r="S852" s="569"/>
      <c r="T852" s="570"/>
    </row>
    <row r="853" spans="1:20" s="401" customFormat="1" ht="19.5" customHeight="1">
      <c r="A853" s="99" t="s">
        <v>635</v>
      </c>
      <c r="B853" s="100"/>
      <c r="C853" s="101" t="s">
        <v>123</v>
      </c>
      <c r="D853" s="402" t="s">
        <v>758</v>
      </c>
      <c r="E853" s="403" t="s">
        <v>759</v>
      </c>
      <c r="F853" s="403">
        <v>823</v>
      </c>
      <c r="G853" s="404">
        <v>38990</v>
      </c>
      <c r="H853" s="404">
        <v>39000</v>
      </c>
      <c r="I853" s="405" t="s">
        <v>760</v>
      </c>
      <c r="J853" s="406">
        <v>220</v>
      </c>
      <c r="K853" s="407">
        <v>44</v>
      </c>
      <c r="L853" s="280">
        <v>264</v>
      </c>
      <c r="M853" s="68">
        <v>44</v>
      </c>
      <c r="N853" s="68">
        <v>8.8</v>
      </c>
      <c r="O853" s="255">
        <v>52.8</v>
      </c>
      <c r="P853" s="68">
        <f t="shared" si="193"/>
        <v>28.6</v>
      </c>
      <c r="Q853" s="68">
        <f t="shared" si="194"/>
        <v>5.720000000000001</v>
      </c>
      <c r="R853" s="255">
        <f t="shared" si="195"/>
        <v>34.32</v>
      </c>
      <c r="S853" s="569"/>
      <c r="T853" s="570"/>
    </row>
    <row r="854" spans="1:20" s="401" customFormat="1" ht="19.5" customHeight="1">
      <c r="A854" s="99" t="s">
        <v>635</v>
      </c>
      <c r="B854" s="100"/>
      <c r="C854" s="101" t="s">
        <v>123</v>
      </c>
      <c r="D854" s="402" t="s">
        <v>754</v>
      </c>
      <c r="E854" s="403" t="s">
        <v>755</v>
      </c>
      <c r="F854" s="403"/>
      <c r="G854" s="404"/>
      <c r="H854" s="404">
        <v>38964</v>
      </c>
      <c r="I854" s="405" t="s">
        <v>756</v>
      </c>
      <c r="J854" s="406">
        <v>930.24</v>
      </c>
      <c r="K854" s="407"/>
      <c r="L854" s="280">
        <v>930.24</v>
      </c>
      <c r="M854" s="68">
        <v>186.05</v>
      </c>
      <c r="N854" s="68"/>
      <c r="O854" s="255">
        <v>186.05</v>
      </c>
      <c r="P854" s="68">
        <f t="shared" si="193"/>
        <v>120.9325</v>
      </c>
      <c r="Q854" s="68">
        <f t="shared" si="194"/>
        <v>0</v>
      </c>
      <c r="R854" s="255">
        <f t="shared" si="195"/>
        <v>120.9325</v>
      </c>
      <c r="S854" s="569"/>
      <c r="T854" s="570"/>
    </row>
    <row r="855" spans="1:20" s="401" customFormat="1" ht="19.5" customHeight="1">
      <c r="A855" s="99" t="s">
        <v>635</v>
      </c>
      <c r="B855" s="100"/>
      <c r="C855" s="101" t="s">
        <v>123</v>
      </c>
      <c r="D855" s="402" t="s">
        <v>764</v>
      </c>
      <c r="E855" s="403" t="s">
        <v>775</v>
      </c>
      <c r="F855" s="403"/>
      <c r="G855" s="404"/>
      <c r="H855" s="404">
        <v>38961</v>
      </c>
      <c r="I855" s="405" t="s">
        <v>756</v>
      </c>
      <c r="J855" s="406">
        <v>233</v>
      </c>
      <c r="K855" s="407"/>
      <c r="L855" s="280">
        <v>233</v>
      </c>
      <c r="M855" s="68">
        <v>46.6</v>
      </c>
      <c r="N855" s="68"/>
      <c r="O855" s="255">
        <v>46.6</v>
      </c>
      <c r="P855" s="68">
        <f t="shared" si="193"/>
        <v>30.290000000000003</v>
      </c>
      <c r="Q855" s="68">
        <f t="shared" si="194"/>
        <v>0</v>
      </c>
      <c r="R855" s="255">
        <f t="shared" si="195"/>
        <v>30.290000000000003</v>
      </c>
      <c r="S855" s="569"/>
      <c r="T855" s="570"/>
    </row>
    <row r="856" spans="1:20" s="401" customFormat="1" ht="19.5" customHeight="1">
      <c r="A856" s="99" t="s">
        <v>635</v>
      </c>
      <c r="B856" s="100"/>
      <c r="C856" s="101" t="s">
        <v>123</v>
      </c>
      <c r="D856" s="402" t="s">
        <v>758</v>
      </c>
      <c r="E856" s="403" t="s">
        <v>759</v>
      </c>
      <c r="F856" s="403">
        <v>808</v>
      </c>
      <c r="G856" s="404">
        <v>38965</v>
      </c>
      <c r="H856" s="404">
        <v>38971</v>
      </c>
      <c r="I856" s="405" t="s">
        <v>760</v>
      </c>
      <c r="J856" s="406">
        <v>110</v>
      </c>
      <c r="K856" s="407">
        <v>22</v>
      </c>
      <c r="L856" s="280">
        <v>132</v>
      </c>
      <c r="M856" s="68">
        <v>22</v>
      </c>
      <c r="N856" s="68">
        <v>4.4</v>
      </c>
      <c r="O856" s="255">
        <v>26.4</v>
      </c>
      <c r="P856" s="68">
        <f t="shared" si="193"/>
        <v>14.3</v>
      </c>
      <c r="Q856" s="68">
        <f t="shared" si="194"/>
        <v>2.8600000000000003</v>
      </c>
      <c r="R856" s="255">
        <f t="shared" si="195"/>
        <v>17.16</v>
      </c>
      <c r="S856" s="569"/>
      <c r="T856" s="570"/>
    </row>
    <row r="857" spans="1:20" s="401" customFormat="1" ht="19.5" customHeight="1">
      <c r="A857" s="99" t="s">
        <v>788</v>
      </c>
      <c r="B857" s="100"/>
      <c r="C857" s="101" t="s">
        <v>184</v>
      </c>
      <c r="D857" s="402" t="s">
        <v>793</v>
      </c>
      <c r="E857" s="403" t="s">
        <v>677</v>
      </c>
      <c r="F857" s="403">
        <v>274</v>
      </c>
      <c r="G857" s="404">
        <v>39023</v>
      </c>
      <c r="H857" s="404">
        <v>39070</v>
      </c>
      <c r="I857" s="405" t="s">
        <v>61</v>
      </c>
      <c r="J857" s="406">
        <v>750</v>
      </c>
      <c r="K857" s="407">
        <v>150</v>
      </c>
      <c r="L857" s="280">
        <v>900</v>
      </c>
      <c r="M857" s="68">
        <v>300</v>
      </c>
      <c r="N857" s="68">
        <v>60</v>
      </c>
      <c r="O857" s="255">
        <v>360</v>
      </c>
      <c r="P857" s="68">
        <f aca="true" t="shared" si="196" ref="P857:P870">M857*0.65</f>
        <v>195</v>
      </c>
      <c r="Q857" s="68">
        <f aca="true" t="shared" si="197" ref="Q857:Q870">N857*0.65</f>
        <v>39</v>
      </c>
      <c r="R857" s="255">
        <f aca="true" t="shared" si="198" ref="R857:R870">O857*0.65</f>
        <v>234</v>
      </c>
      <c r="S857" s="545" t="s">
        <v>733</v>
      </c>
      <c r="T857" s="546"/>
    </row>
    <row r="858" spans="1:20" s="401" customFormat="1" ht="19.5" customHeight="1">
      <c r="A858" s="99" t="s">
        <v>788</v>
      </c>
      <c r="B858" s="100"/>
      <c r="C858" s="101" t="s">
        <v>184</v>
      </c>
      <c r="D858" s="402" t="s">
        <v>794</v>
      </c>
      <c r="E858" s="403" t="s">
        <v>677</v>
      </c>
      <c r="F858" s="403">
        <v>297</v>
      </c>
      <c r="G858" s="404">
        <v>39053</v>
      </c>
      <c r="H858" s="404">
        <v>39070</v>
      </c>
      <c r="I858" s="405" t="s">
        <v>61</v>
      </c>
      <c r="J858" s="406">
        <v>750</v>
      </c>
      <c r="K858" s="407">
        <v>150</v>
      </c>
      <c r="L858" s="280">
        <v>900</v>
      </c>
      <c r="M858" s="68">
        <v>300</v>
      </c>
      <c r="N858" s="68">
        <v>60</v>
      </c>
      <c r="O858" s="255">
        <v>360</v>
      </c>
      <c r="P858" s="68">
        <f t="shared" si="196"/>
        <v>195</v>
      </c>
      <c r="Q858" s="68">
        <f t="shared" si="197"/>
        <v>39</v>
      </c>
      <c r="R858" s="255">
        <f t="shared" si="198"/>
        <v>234</v>
      </c>
      <c r="S858" s="545" t="s">
        <v>733</v>
      </c>
      <c r="T858" s="546"/>
    </row>
    <row r="859" spans="1:20" s="401" customFormat="1" ht="19.5" customHeight="1">
      <c r="A859" s="99" t="s">
        <v>788</v>
      </c>
      <c r="B859" s="100"/>
      <c r="C859" s="101" t="s">
        <v>184</v>
      </c>
      <c r="D859" s="402" t="s">
        <v>561</v>
      </c>
      <c r="E859" s="403" t="s">
        <v>73</v>
      </c>
      <c r="F859" s="403" t="s">
        <v>795</v>
      </c>
      <c r="G859" s="404">
        <v>39045</v>
      </c>
      <c r="H859" s="404">
        <v>39065</v>
      </c>
      <c r="I859" s="405" t="s">
        <v>796</v>
      </c>
      <c r="J859" s="406">
        <v>208.69</v>
      </c>
      <c r="K859" s="407">
        <v>41.738</v>
      </c>
      <c r="L859" s="280">
        <v>250.428</v>
      </c>
      <c r="M859" s="68">
        <v>83.476</v>
      </c>
      <c r="N859" s="68">
        <v>16.6952</v>
      </c>
      <c r="O859" s="255">
        <v>100.1712</v>
      </c>
      <c r="P859" s="68">
        <f t="shared" si="196"/>
        <v>54.2594</v>
      </c>
      <c r="Q859" s="68">
        <f t="shared" si="197"/>
        <v>10.85188</v>
      </c>
      <c r="R859" s="255">
        <f t="shared" si="198"/>
        <v>65.11128000000001</v>
      </c>
      <c r="S859" s="545" t="s">
        <v>733</v>
      </c>
      <c r="T859" s="546"/>
    </row>
    <row r="860" spans="1:20" s="401" customFormat="1" ht="19.5" customHeight="1">
      <c r="A860" s="99" t="s">
        <v>788</v>
      </c>
      <c r="B860" s="100"/>
      <c r="C860" s="101" t="s">
        <v>184</v>
      </c>
      <c r="D860" s="402" t="s">
        <v>561</v>
      </c>
      <c r="E860" s="403" t="s">
        <v>73</v>
      </c>
      <c r="F860" s="403" t="s">
        <v>797</v>
      </c>
      <c r="G860" s="404">
        <v>39108</v>
      </c>
      <c r="H860" s="404">
        <v>39128</v>
      </c>
      <c r="I860" s="405" t="s">
        <v>196</v>
      </c>
      <c r="J860" s="406">
        <v>167.7</v>
      </c>
      <c r="K860" s="407">
        <v>33.54</v>
      </c>
      <c r="L860" s="280">
        <v>201.24</v>
      </c>
      <c r="M860" s="68">
        <v>67.08</v>
      </c>
      <c r="N860" s="68">
        <v>13.416</v>
      </c>
      <c r="O860" s="255">
        <v>80.496</v>
      </c>
      <c r="P860" s="68">
        <f t="shared" si="196"/>
        <v>43.602000000000004</v>
      </c>
      <c r="Q860" s="68">
        <f t="shared" si="197"/>
        <v>8.7204</v>
      </c>
      <c r="R860" s="255">
        <f t="shared" si="198"/>
        <v>52.3224</v>
      </c>
      <c r="S860" s="545" t="s">
        <v>733</v>
      </c>
      <c r="T860" s="546"/>
    </row>
    <row r="861" spans="1:20" s="401" customFormat="1" ht="19.5" customHeight="1">
      <c r="A861" s="99" t="s">
        <v>788</v>
      </c>
      <c r="B861" s="100"/>
      <c r="C861" s="101" t="s">
        <v>184</v>
      </c>
      <c r="D861" s="402" t="s">
        <v>128</v>
      </c>
      <c r="E861" s="403" t="s">
        <v>197</v>
      </c>
      <c r="F861" s="403" t="s">
        <v>798</v>
      </c>
      <c r="G861" s="404">
        <v>39071</v>
      </c>
      <c r="H861" s="404">
        <v>38728</v>
      </c>
      <c r="I861" s="405" t="s">
        <v>196</v>
      </c>
      <c r="J861" s="406">
        <v>73.89</v>
      </c>
      <c r="K861" s="407">
        <v>14.778</v>
      </c>
      <c r="L861" s="280">
        <v>88.668</v>
      </c>
      <c r="M861" s="68">
        <v>29.556</v>
      </c>
      <c r="N861" s="68">
        <v>5.911200000000001</v>
      </c>
      <c r="O861" s="255">
        <v>35.467200000000005</v>
      </c>
      <c r="P861" s="68">
        <f t="shared" si="196"/>
        <v>19.2114</v>
      </c>
      <c r="Q861" s="68">
        <f t="shared" si="197"/>
        <v>3.8422800000000006</v>
      </c>
      <c r="R861" s="255">
        <f t="shared" si="198"/>
        <v>23.053680000000004</v>
      </c>
      <c r="S861" s="545" t="s">
        <v>733</v>
      </c>
      <c r="T861" s="546"/>
    </row>
    <row r="862" spans="1:20" s="401" customFormat="1" ht="19.5" customHeight="1">
      <c r="A862" s="99" t="s">
        <v>788</v>
      </c>
      <c r="B862" s="100"/>
      <c r="C862" s="101" t="s">
        <v>184</v>
      </c>
      <c r="D862" s="402" t="s">
        <v>668</v>
      </c>
      <c r="E862" s="403" t="s">
        <v>99</v>
      </c>
      <c r="F862" s="403" t="s">
        <v>799</v>
      </c>
      <c r="G862" s="404">
        <v>39062</v>
      </c>
      <c r="H862" s="404">
        <v>39064</v>
      </c>
      <c r="I862" s="405" t="s">
        <v>800</v>
      </c>
      <c r="J862" s="406">
        <v>133.33</v>
      </c>
      <c r="K862" s="407">
        <v>26.666000000000004</v>
      </c>
      <c r="L862" s="280">
        <v>159.996</v>
      </c>
      <c r="M862" s="68">
        <v>53.33200000000001</v>
      </c>
      <c r="N862" s="68">
        <v>10.666400000000003</v>
      </c>
      <c r="O862" s="255">
        <v>63.99840000000001</v>
      </c>
      <c r="P862" s="68">
        <f t="shared" si="196"/>
        <v>34.665800000000004</v>
      </c>
      <c r="Q862" s="68">
        <f t="shared" si="197"/>
        <v>6.933160000000002</v>
      </c>
      <c r="R862" s="255">
        <f t="shared" si="198"/>
        <v>41.598960000000005</v>
      </c>
      <c r="S862" s="398"/>
      <c r="T862" s="399"/>
    </row>
    <row r="863" spans="1:20" s="401" customFormat="1" ht="19.5" customHeight="1">
      <c r="A863" s="99" t="s">
        <v>788</v>
      </c>
      <c r="B863" s="100"/>
      <c r="C863" s="101" t="s">
        <v>184</v>
      </c>
      <c r="D863" s="402" t="s">
        <v>801</v>
      </c>
      <c r="E863" s="403" t="s">
        <v>99</v>
      </c>
      <c r="F863" s="403" t="s">
        <v>802</v>
      </c>
      <c r="G863" s="404">
        <v>39091</v>
      </c>
      <c r="H863" s="404"/>
      <c r="I863" s="405" t="s">
        <v>800</v>
      </c>
      <c r="J863" s="406">
        <v>219.21</v>
      </c>
      <c r="K863" s="407">
        <v>40.79</v>
      </c>
      <c r="L863" s="280">
        <v>260</v>
      </c>
      <c r="M863" s="68">
        <v>87.68400000000001</v>
      </c>
      <c r="N863" s="68">
        <v>17.536800000000003</v>
      </c>
      <c r="O863" s="255">
        <v>105.22080000000001</v>
      </c>
      <c r="P863" s="68">
        <f t="shared" si="196"/>
        <v>56.99460000000001</v>
      </c>
      <c r="Q863" s="68">
        <f t="shared" si="197"/>
        <v>11.398920000000002</v>
      </c>
      <c r="R863" s="255">
        <f t="shared" si="198"/>
        <v>68.39352000000001</v>
      </c>
      <c r="S863" s="398"/>
      <c r="T863" s="399"/>
    </row>
    <row r="864" spans="1:20" s="401" customFormat="1" ht="19.5" customHeight="1">
      <c r="A864" s="99" t="s">
        <v>788</v>
      </c>
      <c r="B864" s="100"/>
      <c r="C864" s="101" t="s">
        <v>184</v>
      </c>
      <c r="D864" s="402" t="s">
        <v>690</v>
      </c>
      <c r="E864" s="403"/>
      <c r="F864" s="403">
        <v>656</v>
      </c>
      <c r="G864" s="404">
        <v>39022</v>
      </c>
      <c r="H864" s="404">
        <v>39043</v>
      </c>
      <c r="I864" s="405" t="s">
        <v>61</v>
      </c>
      <c r="J864" s="406">
        <v>163</v>
      </c>
      <c r="K864" s="407">
        <v>0</v>
      </c>
      <c r="L864" s="280">
        <v>163</v>
      </c>
      <c r="M864" s="68">
        <v>65.2</v>
      </c>
      <c r="N864" s="68"/>
      <c r="O864" s="255">
        <v>65.2</v>
      </c>
      <c r="P864" s="68">
        <f t="shared" si="196"/>
        <v>42.38</v>
      </c>
      <c r="Q864" s="68">
        <f t="shared" si="197"/>
        <v>0</v>
      </c>
      <c r="R864" s="255">
        <f t="shared" si="198"/>
        <v>42.38</v>
      </c>
      <c r="S864" s="545" t="s">
        <v>733</v>
      </c>
      <c r="T864" s="546"/>
    </row>
    <row r="865" spans="1:20" s="401" customFormat="1" ht="19.5" customHeight="1">
      <c r="A865" s="99" t="s">
        <v>788</v>
      </c>
      <c r="B865" s="100"/>
      <c r="C865" s="101" t="s">
        <v>184</v>
      </c>
      <c r="D865" s="402" t="s">
        <v>690</v>
      </c>
      <c r="E865" s="403"/>
      <c r="F865" s="403">
        <v>699</v>
      </c>
      <c r="G865" s="404">
        <v>39085</v>
      </c>
      <c r="H865" s="404">
        <v>39133</v>
      </c>
      <c r="I865" s="405" t="s">
        <v>691</v>
      </c>
      <c r="J865" s="406">
        <v>159</v>
      </c>
      <c r="K865" s="407">
        <v>0</v>
      </c>
      <c r="L865" s="280">
        <v>159</v>
      </c>
      <c r="M865" s="68">
        <v>63.6</v>
      </c>
      <c r="N865" s="68"/>
      <c r="O865" s="255">
        <v>63.6</v>
      </c>
      <c r="P865" s="68">
        <f t="shared" si="196"/>
        <v>41.34</v>
      </c>
      <c r="Q865" s="68">
        <f t="shared" si="197"/>
        <v>0</v>
      </c>
      <c r="R865" s="255">
        <f t="shared" si="198"/>
        <v>41.34</v>
      </c>
      <c r="S865" s="545" t="s">
        <v>733</v>
      </c>
      <c r="T865" s="546"/>
    </row>
    <row r="866" spans="1:20" s="401" customFormat="1" ht="19.5" customHeight="1">
      <c r="A866" s="99" t="s">
        <v>788</v>
      </c>
      <c r="B866" s="100"/>
      <c r="C866" s="101" t="s">
        <v>122</v>
      </c>
      <c r="D866" s="402" t="s">
        <v>807</v>
      </c>
      <c r="E866" s="403" t="s">
        <v>86</v>
      </c>
      <c r="F866" s="403" t="s">
        <v>808</v>
      </c>
      <c r="G866" s="404">
        <v>39052</v>
      </c>
      <c r="H866" s="404">
        <v>38991</v>
      </c>
      <c r="I866" s="405" t="s">
        <v>88</v>
      </c>
      <c r="J866" s="406">
        <v>523.86</v>
      </c>
      <c r="K866" s="407">
        <v>0</v>
      </c>
      <c r="L866" s="280">
        <v>523.86</v>
      </c>
      <c r="M866" s="68">
        <v>209.544</v>
      </c>
      <c r="N866" s="68">
        <v>0</v>
      </c>
      <c r="O866" s="255">
        <v>209.544</v>
      </c>
      <c r="P866" s="68">
        <f t="shared" si="196"/>
        <v>136.20360000000002</v>
      </c>
      <c r="Q866" s="68">
        <f t="shared" si="197"/>
        <v>0</v>
      </c>
      <c r="R866" s="255">
        <f t="shared" si="198"/>
        <v>136.20360000000002</v>
      </c>
      <c r="S866" s="398"/>
      <c r="T866" s="399"/>
    </row>
    <row r="867" spans="1:20" s="401" customFormat="1" ht="19.5" customHeight="1">
      <c r="A867" s="99" t="s">
        <v>788</v>
      </c>
      <c r="B867" s="100"/>
      <c r="C867" s="101" t="s">
        <v>122</v>
      </c>
      <c r="D867" s="402" t="s">
        <v>809</v>
      </c>
      <c r="E867" s="403" t="s">
        <v>86</v>
      </c>
      <c r="F867" s="403"/>
      <c r="G867" s="404">
        <v>39083</v>
      </c>
      <c r="H867" s="404">
        <v>39090</v>
      </c>
      <c r="I867" s="405" t="s">
        <v>88</v>
      </c>
      <c r="J867" s="406">
        <v>523.86</v>
      </c>
      <c r="K867" s="407">
        <v>0</v>
      </c>
      <c r="L867" s="280">
        <v>523.86</v>
      </c>
      <c r="M867" s="68">
        <v>209.544</v>
      </c>
      <c r="N867" s="68">
        <v>0</v>
      </c>
      <c r="O867" s="255">
        <v>209.544</v>
      </c>
      <c r="P867" s="68">
        <f t="shared" si="196"/>
        <v>136.20360000000002</v>
      </c>
      <c r="Q867" s="68">
        <f t="shared" si="197"/>
        <v>0</v>
      </c>
      <c r="R867" s="255">
        <f t="shared" si="198"/>
        <v>136.20360000000002</v>
      </c>
      <c r="S867" s="398"/>
      <c r="T867" s="399"/>
    </row>
    <row r="868" spans="1:20" s="401" customFormat="1" ht="19.5" customHeight="1">
      <c r="A868" s="99" t="s">
        <v>788</v>
      </c>
      <c r="B868" s="100"/>
      <c r="C868" s="101" t="s">
        <v>122</v>
      </c>
      <c r="D868" s="402" t="s">
        <v>499</v>
      </c>
      <c r="E868" s="403" t="s">
        <v>73</v>
      </c>
      <c r="F868" s="403" t="s">
        <v>810</v>
      </c>
      <c r="G868" s="404">
        <v>39066</v>
      </c>
      <c r="H868" s="404">
        <v>39086</v>
      </c>
      <c r="I868" s="405" t="s">
        <v>70</v>
      </c>
      <c r="J868" s="406">
        <v>48.09</v>
      </c>
      <c r="K868" s="407">
        <v>9.618000000000002</v>
      </c>
      <c r="L868" s="280">
        <v>57.708000000000006</v>
      </c>
      <c r="M868" s="68">
        <v>19.236000000000004</v>
      </c>
      <c r="N868" s="68">
        <v>3.847200000000001</v>
      </c>
      <c r="O868" s="255">
        <v>23.083200000000005</v>
      </c>
      <c r="P868" s="68">
        <f t="shared" si="196"/>
        <v>12.503400000000003</v>
      </c>
      <c r="Q868" s="68">
        <f t="shared" si="197"/>
        <v>2.5006800000000005</v>
      </c>
      <c r="R868" s="255">
        <f t="shared" si="198"/>
        <v>15.004080000000004</v>
      </c>
      <c r="S868" s="398"/>
      <c r="T868" s="399"/>
    </row>
    <row r="869" spans="1:20" s="401" customFormat="1" ht="19.5" customHeight="1">
      <c r="A869" s="99" t="s">
        <v>788</v>
      </c>
      <c r="B869" s="100"/>
      <c r="C869" s="101" t="s">
        <v>122</v>
      </c>
      <c r="D869" s="402" t="s">
        <v>801</v>
      </c>
      <c r="E869" s="403" t="s">
        <v>99</v>
      </c>
      <c r="F869" s="403" t="s">
        <v>811</v>
      </c>
      <c r="G869" s="404">
        <v>39057</v>
      </c>
      <c r="H869" s="404">
        <v>39097</v>
      </c>
      <c r="I869" s="405" t="s">
        <v>70</v>
      </c>
      <c r="J869" s="406">
        <v>397.5</v>
      </c>
      <c r="K869" s="407">
        <v>79.5</v>
      </c>
      <c r="L869" s="280">
        <v>477</v>
      </c>
      <c r="M869" s="68">
        <v>159</v>
      </c>
      <c r="N869" s="68">
        <v>31.8</v>
      </c>
      <c r="O869" s="255">
        <v>190.8</v>
      </c>
      <c r="P869" s="68">
        <f t="shared" si="196"/>
        <v>103.35000000000001</v>
      </c>
      <c r="Q869" s="68">
        <f t="shared" si="197"/>
        <v>20.67</v>
      </c>
      <c r="R869" s="255">
        <f t="shared" si="198"/>
        <v>124.02000000000001</v>
      </c>
      <c r="S869" s="398"/>
      <c r="T869" s="399"/>
    </row>
    <row r="870" spans="1:20" s="401" customFormat="1" ht="19.5" customHeight="1">
      <c r="A870" s="99" t="s">
        <v>788</v>
      </c>
      <c r="B870" s="100"/>
      <c r="C870" s="101" t="s">
        <v>122</v>
      </c>
      <c r="D870" s="402" t="s">
        <v>801</v>
      </c>
      <c r="E870" s="403">
        <v>3</v>
      </c>
      <c r="F870" s="403">
        <v>682456795</v>
      </c>
      <c r="G870" s="404">
        <v>39066</v>
      </c>
      <c r="H870" s="404">
        <v>39096</v>
      </c>
      <c r="I870" s="405" t="s">
        <v>70</v>
      </c>
      <c r="J870" s="406">
        <v>148.17</v>
      </c>
      <c r="K870" s="407">
        <v>21.55</v>
      </c>
      <c r="L870" s="280">
        <v>169.72</v>
      </c>
      <c r="M870" s="68">
        <v>59.268</v>
      </c>
      <c r="N870" s="68">
        <v>11.8536</v>
      </c>
      <c r="O870" s="255">
        <v>71.1216</v>
      </c>
      <c r="P870" s="68">
        <f t="shared" si="196"/>
        <v>38.5242</v>
      </c>
      <c r="Q870" s="68">
        <f t="shared" si="197"/>
        <v>7.70484</v>
      </c>
      <c r="R870" s="255">
        <f t="shared" si="198"/>
        <v>46.229040000000005</v>
      </c>
      <c r="S870" s="398"/>
      <c r="T870" s="399"/>
    </row>
    <row r="871" spans="1:20" s="401" customFormat="1" ht="19.5" customHeight="1">
      <c r="A871" s="99" t="s">
        <v>788</v>
      </c>
      <c r="B871" s="100"/>
      <c r="C871" s="9" t="s">
        <v>65</v>
      </c>
      <c r="D871" s="402" t="s">
        <v>484</v>
      </c>
      <c r="E871" s="403" t="s">
        <v>485</v>
      </c>
      <c r="F871" s="403">
        <v>14</v>
      </c>
      <c r="G871" s="404">
        <v>39113</v>
      </c>
      <c r="H871" s="404">
        <v>39142</v>
      </c>
      <c r="I871" s="405" t="s">
        <v>82</v>
      </c>
      <c r="J871" s="406">
        <v>450</v>
      </c>
      <c r="K871" s="407">
        <v>90</v>
      </c>
      <c r="L871" s="280">
        <v>540</v>
      </c>
      <c r="M871" s="68">
        <v>270</v>
      </c>
      <c r="N871" s="68">
        <v>54</v>
      </c>
      <c r="O871" s="255">
        <v>324</v>
      </c>
      <c r="P871" s="68">
        <f aca="true" t="shared" si="199" ref="P871:R877">M871*0.65</f>
        <v>175.5</v>
      </c>
      <c r="Q871" s="68">
        <f t="shared" si="199"/>
        <v>35.1</v>
      </c>
      <c r="R871" s="255">
        <f t="shared" si="199"/>
        <v>210.6</v>
      </c>
      <c r="S871" s="398"/>
      <c r="T871" s="399"/>
    </row>
    <row r="872" spans="1:20" s="401" customFormat="1" ht="19.5" customHeight="1">
      <c r="A872" s="99" t="s">
        <v>788</v>
      </c>
      <c r="B872" s="100"/>
      <c r="C872" s="9" t="s">
        <v>65</v>
      </c>
      <c r="D872" s="402" t="s">
        <v>484</v>
      </c>
      <c r="E872" s="403" t="s">
        <v>485</v>
      </c>
      <c r="F872" s="403">
        <v>266</v>
      </c>
      <c r="G872" s="404">
        <v>39021</v>
      </c>
      <c r="H872" s="404">
        <v>39029</v>
      </c>
      <c r="I872" s="405" t="s">
        <v>813</v>
      </c>
      <c r="J872" s="406">
        <v>450</v>
      </c>
      <c r="K872" s="407">
        <v>90</v>
      </c>
      <c r="L872" s="280">
        <v>540</v>
      </c>
      <c r="M872" s="68">
        <v>270</v>
      </c>
      <c r="N872" s="68">
        <v>54</v>
      </c>
      <c r="O872" s="255">
        <v>324</v>
      </c>
      <c r="P872" s="68">
        <f t="shared" si="199"/>
        <v>175.5</v>
      </c>
      <c r="Q872" s="68">
        <f t="shared" si="199"/>
        <v>35.1</v>
      </c>
      <c r="R872" s="255">
        <f t="shared" si="199"/>
        <v>210.6</v>
      </c>
      <c r="S872" s="398"/>
      <c r="T872" s="399"/>
    </row>
    <row r="873" spans="1:20" s="401" customFormat="1" ht="19.5" customHeight="1">
      <c r="A873" s="99" t="s">
        <v>788</v>
      </c>
      <c r="B873" s="100"/>
      <c r="C873" s="9" t="s">
        <v>65</v>
      </c>
      <c r="D873" s="402" t="s">
        <v>491</v>
      </c>
      <c r="E873" s="403" t="s">
        <v>69</v>
      </c>
      <c r="F873" s="403">
        <v>54381</v>
      </c>
      <c r="G873" s="404">
        <v>39095</v>
      </c>
      <c r="H873" s="404">
        <v>39126</v>
      </c>
      <c r="I873" s="405" t="s">
        <v>70</v>
      </c>
      <c r="J873" s="406">
        <v>54.86</v>
      </c>
      <c r="K873" s="407">
        <v>10.972000000000001</v>
      </c>
      <c r="L873" s="280">
        <v>65.832</v>
      </c>
      <c r="M873" s="68">
        <v>32.916</v>
      </c>
      <c r="N873" s="68">
        <v>6.5832</v>
      </c>
      <c r="O873" s="255">
        <v>39.499199999999995</v>
      </c>
      <c r="P873" s="68">
        <f t="shared" si="199"/>
        <v>21.3954</v>
      </c>
      <c r="Q873" s="68">
        <f t="shared" si="199"/>
        <v>4.2790799999999996</v>
      </c>
      <c r="R873" s="255">
        <f t="shared" si="199"/>
        <v>25.67448</v>
      </c>
      <c r="S873" s="398"/>
      <c r="T873" s="399"/>
    </row>
    <row r="874" spans="1:20" s="401" customFormat="1" ht="19.5" customHeight="1">
      <c r="A874" s="99" t="s">
        <v>788</v>
      </c>
      <c r="B874" s="100"/>
      <c r="C874" s="9" t="s">
        <v>65</v>
      </c>
      <c r="D874" s="402" t="s">
        <v>491</v>
      </c>
      <c r="E874" s="403" t="s">
        <v>69</v>
      </c>
      <c r="F874" s="403">
        <v>549428</v>
      </c>
      <c r="G874" s="404">
        <v>39001</v>
      </c>
      <c r="H874" s="404">
        <v>39032</v>
      </c>
      <c r="I874" s="405" t="s">
        <v>70</v>
      </c>
      <c r="J874" s="406">
        <v>58.87</v>
      </c>
      <c r="K874" s="407">
        <v>11.774000000000001</v>
      </c>
      <c r="L874" s="280">
        <v>70.644</v>
      </c>
      <c r="M874" s="68">
        <v>35.321999999999996</v>
      </c>
      <c r="N874" s="68">
        <v>7.064399999999999</v>
      </c>
      <c r="O874" s="255">
        <v>42.386399999999995</v>
      </c>
      <c r="P874" s="68">
        <f t="shared" si="199"/>
        <v>22.9593</v>
      </c>
      <c r="Q874" s="68">
        <f t="shared" si="199"/>
        <v>4.59186</v>
      </c>
      <c r="R874" s="255">
        <f t="shared" si="199"/>
        <v>27.551159999999996</v>
      </c>
      <c r="S874" s="398"/>
      <c r="T874" s="399"/>
    </row>
    <row r="875" spans="1:20" s="401" customFormat="1" ht="19.5" customHeight="1">
      <c r="A875" s="99" t="s">
        <v>788</v>
      </c>
      <c r="B875" s="100"/>
      <c r="C875" s="9" t="s">
        <v>65</v>
      </c>
      <c r="D875" s="402" t="s">
        <v>72</v>
      </c>
      <c r="E875" s="403" t="s">
        <v>73</v>
      </c>
      <c r="F875" s="403" t="s">
        <v>814</v>
      </c>
      <c r="G875" s="404">
        <v>39104</v>
      </c>
      <c r="H875" s="404">
        <v>39125</v>
      </c>
      <c r="I875" s="405" t="s">
        <v>70</v>
      </c>
      <c r="J875" s="406">
        <v>291.44</v>
      </c>
      <c r="K875" s="407">
        <v>58.288000000000004</v>
      </c>
      <c r="L875" s="280">
        <v>349.728</v>
      </c>
      <c r="M875" s="68">
        <v>174.864</v>
      </c>
      <c r="N875" s="68">
        <v>8.7432</v>
      </c>
      <c r="O875" s="255">
        <v>183.6072</v>
      </c>
      <c r="P875" s="68">
        <f t="shared" si="199"/>
        <v>113.6616</v>
      </c>
      <c r="Q875" s="68">
        <f t="shared" si="199"/>
        <v>5.68308</v>
      </c>
      <c r="R875" s="255">
        <f t="shared" si="199"/>
        <v>119.34468000000001</v>
      </c>
      <c r="S875" s="398"/>
      <c r="T875" s="399"/>
    </row>
    <row r="876" spans="1:20" s="401" customFormat="1" ht="19.5" customHeight="1">
      <c r="A876" s="99" t="s">
        <v>788</v>
      </c>
      <c r="B876" s="100"/>
      <c r="C876" s="9" t="s">
        <v>65</v>
      </c>
      <c r="D876" s="402" t="s">
        <v>72</v>
      </c>
      <c r="E876" s="403" t="s">
        <v>73</v>
      </c>
      <c r="F876" s="403" t="s">
        <v>815</v>
      </c>
      <c r="G876" s="404">
        <v>39041</v>
      </c>
      <c r="H876" s="404">
        <v>39062</v>
      </c>
      <c r="I876" s="405" t="s">
        <v>70</v>
      </c>
      <c r="J876" s="406">
        <v>316.25</v>
      </c>
      <c r="K876" s="407">
        <v>63.25</v>
      </c>
      <c r="L876" s="280">
        <v>379.5</v>
      </c>
      <c r="M876" s="68">
        <v>189.75</v>
      </c>
      <c r="N876" s="68">
        <v>9.4875</v>
      </c>
      <c r="O876" s="255">
        <v>199.2375</v>
      </c>
      <c r="P876" s="68">
        <f t="shared" si="199"/>
        <v>123.3375</v>
      </c>
      <c r="Q876" s="68">
        <f t="shared" si="199"/>
        <v>6.166875000000001</v>
      </c>
      <c r="R876" s="255">
        <f t="shared" si="199"/>
        <v>129.504375</v>
      </c>
      <c r="S876" s="398"/>
      <c r="T876" s="399"/>
    </row>
    <row r="877" spans="1:20" s="401" customFormat="1" ht="19.5" customHeight="1">
      <c r="A877" s="99" t="s">
        <v>788</v>
      </c>
      <c r="B877" s="100"/>
      <c r="C877" s="9" t="s">
        <v>65</v>
      </c>
      <c r="D877" s="402" t="s">
        <v>486</v>
      </c>
      <c r="E877" s="403" t="s">
        <v>816</v>
      </c>
      <c r="F877" s="403" t="s">
        <v>817</v>
      </c>
      <c r="G877" s="404">
        <v>39022</v>
      </c>
      <c r="H877" s="404">
        <v>39029</v>
      </c>
      <c r="I877" s="405" t="s">
        <v>813</v>
      </c>
      <c r="J877" s="406">
        <v>337.41</v>
      </c>
      <c r="K877" s="407">
        <v>67.48200000000001</v>
      </c>
      <c r="L877" s="280">
        <v>404.89200000000005</v>
      </c>
      <c r="M877" s="68">
        <v>202.446</v>
      </c>
      <c r="N877" s="68">
        <v>10.122300000000001</v>
      </c>
      <c r="O877" s="255">
        <v>212.5683</v>
      </c>
      <c r="P877" s="68">
        <f t="shared" si="199"/>
        <v>131.5899</v>
      </c>
      <c r="Q877" s="68">
        <f t="shared" si="199"/>
        <v>6.5794950000000005</v>
      </c>
      <c r="R877" s="255">
        <f t="shared" si="199"/>
        <v>138.169395</v>
      </c>
      <c r="S877" s="398"/>
      <c r="T877" s="399"/>
    </row>
    <row r="878" spans="1:20" s="401" customFormat="1" ht="19.5" customHeight="1">
      <c r="A878" s="99" t="s">
        <v>788</v>
      </c>
      <c r="B878" s="100"/>
      <c r="C878" s="101" t="s">
        <v>152</v>
      </c>
      <c r="D878" s="402" t="s">
        <v>177</v>
      </c>
      <c r="E878" s="403" t="s">
        <v>178</v>
      </c>
      <c r="F878" s="403">
        <v>45025</v>
      </c>
      <c r="G878" s="404">
        <v>39053</v>
      </c>
      <c r="H878" s="404">
        <v>39073</v>
      </c>
      <c r="I878" s="405" t="s">
        <v>179</v>
      </c>
      <c r="J878" s="406">
        <v>196.7</v>
      </c>
      <c r="K878" s="407">
        <v>39.34</v>
      </c>
      <c r="L878" s="280">
        <v>236.04</v>
      </c>
      <c r="M878" s="68">
        <v>98.35</v>
      </c>
      <c r="N878" s="68">
        <v>19.67</v>
      </c>
      <c r="O878" s="255">
        <v>118.02</v>
      </c>
      <c r="P878" s="68">
        <f aca="true" t="shared" si="200" ref="P878:R881">M878*0.65</f>
        <v>63.9275</v>
      </c>
      <c r="Q878" s="68">
        <f t="shared" si="200"/>
        <v>12.7855</v>
      </c>
      <c r="R878" s="255">
        <f t="shared" si="200"/>
        <v>76.713</v>
      </c>
      <c r="S878" s="569"/>
      <c r="T878" s="570"/>
    </row>
    <row r="879" spans="1:20" s="401" customFormat="1" ht="19.5" customHeight="1">
      <c r="A879" s="99" t="s">
        <v>788</v>
      </c>
      <c r="B879" s="100"/>
      <c r="C879" s="101" t="s">
        <v>152</v>
      </c>
      <c r="D879" s="402" t="s">
        <v>181</v>
      </c>
      <c r="E879" s="403" t="s">
        <v>182</v>
      </c>
      <c r="F879" s="403">
        <v>79883</v>
      </c>
      <c r="G879" s="404">
        <v>39030</v>
      </c>
      <c r="H879" s="404">
        <v>39087</v>
      </c>
      <c r="I879" s="405" t="s">
        <v>820</v>
      </c>
      <c r="J879" s="406">
        <v>628.75</v>
      </c>
      <c r="K879" s="407">
        <v>125.75</v>
      </c>
      <c r="L879" s="280">
        <v>754.5</v>
      </c>
      <c r="M879" s="68">
        <v>314.375</v>
      </c>
      <c r="N879" s="68">
        <v>62.875</v>
      </c>
      <c r="O879" s="255">
        <v>377.25</v>
      </c>
      <c r="P879" s="68">
        <f t="shared" si="200"/>
        <v>204.34375</v>
      </c>
      <c r="Q879" s="68">
        <f t="shared" si="200"/>
        <v>40.86875</v>
      </c>
      <c r="R879" s="255">
        <f t="shared" si="200"/>
        <v>245.2125</v>
      </c>
      <c r="S879" s="398"/>
      <c r="T879" s="399"/>
    </row>
    <row r="880" spans="1:20" s="401" customFormat="1" ht="19.5" customHeight="1">
      <c r="A880" s="99" t="s">
        <v>788</v>
      </c>
      <c r="B880" s="100"/>
      <c r="C880" s="101" t="s">
        <v>152</v>
      </c>
      <c r="D880" s="402" t="s">
        <v>181</v>
      </c>
      <c r="E880" s="403" t="s">
        <v>182</v>
      </c>
      <c r="F880" s="403">
        <v>48534</v>
      </c>
      <c r="G880" s="404">
        <v>39030</v>
      </c>
      <c r="H880" s="404">
        <v>39087</v>
      </c>
      <c r="I880" s="405" t="s">
        <v>448</v>
      </c>
      <c r="J880" s="406">
        <v>112.08</v>
      </c>
      <c r="K880" s="407">
        <v>22.416</v>
      </c>
      <c r="L880" s="280">
        <v>134.496</v>
      </c>
      <c r="M880" s="68">
        <v>56.04</v>
      </c>
      <c r="N880" s="68">
        <v>11.208</v>
      </c>
      <c r="O880" s="255">
        <v>67.248</v>
      </c>
      <c r="P880" s="68">
        <f t="shared" si="200"/>
        <v>36.426</v>
      </c>
      <c r="Q880" s="68">
        <f t="shared" si="200"/>
        <v>7.285200000000001</v>
      </c>
      <c r="R880" s="255">
        <f t="shared" si="200"/>
        <v>43.711200000000005</v>
      </c>
      <c r="S880" s="398"/>
      <c r="T880" s="399"/>
    </row>
    <row r="881" spans="1:20" s="401" customFormat="1" ht="24.75" customHeight="1">
      <c r="A881" s="99" t="s">
        <v>788</v>
      </c>
      <c r="B881" s="100"/>
      <c r="C881" s="9" t="s">
        <v>152</v>
      </c>
      <c r="D881" s="102"/>
      <c r="E881" s="102" t="s">
        <v>819</v>
      </c>
      <c r="F881" s="101">
        <v>16</v>
      </c>
      <c r="G881" s="103">
        <v>39064</v>
      </c>
      <c r="H881" s="103">
        <v>39066</v>
      </c>
      <c r="I881" s="104" t="s">
        <v>448</v>
      </c>
      <c r="J881" s="68">
        <v>4410.02</v>
      </c>
      <c r="K881" s="68">
        <v>882</v>
      </c>
      <c r="L881" s="255">
        <v>5292.02</v>
      </c>
      <c r="M881" s="68">
        <v>4410.02</v>
      </c>
      <c r="N881" s="68">
        <v>882</v>
      </c>
      <c r="O881" s="255">
        <v>5292.02</v>
      </c>
      <c r="P881" s="68">
        <f t="shared" si="200"/>
        <v>2866.5130000000004</v>
      </c>
      <c r="Q881" s="68">
        <f t="shared" si="200"/>
        <v>573.3000000000001</v>
      </c>
      <c r="R881" s="255">
        <f t="shared" si="200"/>
        <v>3439.8130000000006</v>
      </c>
      <c r="S881" s="545" t="s">
        <v>829</v>
      </c>
      <c r="T881" s="546"/>
    </row>
    <row r="882" spans="1:20" s="401" customFormat="1" ht="19.5" customHeight="1">
      <c r="A882" s="99" t="s">
        <v>788</v>
      </c>
      <c r="B882" s="100"/>
      <c r="C882" s="101" t="s">
        <v>123</v>
      </c>
      <c r="D882" s="402" t="s">
        <v>832</v>
      </c>
      <c r="E882" s="403"/>
      <c r="F882" s="403"/>
      <c r="G882" s="404"/>
      <c r="H882" s="404"/>
      <c r="I882" s="405"/>
      <c r="J882" s="406">
        <v>666.01</v>
      </c>
      <c r="K882" s="407">
        <v>48.82</v>
      </c>
      <c r="L882" s="280">
        <f>+K882+J882</f>
        <v>714.83</v>
      </c>
      <c r="M882" s="68"/>
      <c r="N882" s="68"/>
      <c r="O882" s="255"/>
      <c r="P882" s="68"/>
      <c r="Q882" s="68"/>
      <c r="R882" s="255"/>
      <c r="S882" s="398"/>
      <c r="T882" s="399"/>
    </row>
    <row r="883" spans="1:20" s="401" customFormat="1" ht="11.25">
      <c r="A883" s="480" t="s">
        <v>840</v>
      </c>
      <c r="B883" s="481"/>
      <c r="C883" s="484" t="s">
        <v>842</v>
      </c>
      <c r="D883" s="492"/>
      <c r="E883" s="493"/>
      <c r="F883" s="493"/>
      <c r="G883" s="494"/>
      <c r="H883" s="494"/>
      <c r="I883" s="495"/>
      <c r="J883" s="496">
        <v>15243.08</v>
      </c>
      <c r="K883" s="497">
        <v>2091.38</v>
      </c>
      <c r="L883" s="498">
        <f>+K883+J883</f>
        <v>17334.46</v>
      </c>
      <c r="M883" s="496">
        <v>15243.08</v>
      </c>
      <c r="N883" s="497">
        <v>2091.38</v>
      </c>
      <c r="O883" s="498">
        <f>+N883+M883</f>
        <v>17334.46</v>
      </c>
      <c r="P883" s="487">
        <f>M883*0.65</f>
        <v>9908.002</v>
      </c>
      <c r="Q883" s="487">
        <f>N883*0.65</f>
        <v>1359.3970000000002</v>
      </c>
      <c r="R883" s="487">
        <f>O883*0.65</f>
        <v>11267.399</v>
      </c>
      <c r="S883" s="564" t="s">
        <v>841</v>
      </c>
      <c r="T883" s="565"/>
    </row>
    <row r="884" spans="1:20" s="401" customFormat="1" ht="19.5" customHeight="1">
      <c r="A884" s="99" t="s">
        <v>840</v>
      </c>
      <c r="B884" s="100"/>
      <c r="C884" s="101" t="s">
        <v>152</v>
      </c>
      <c r="D884" s="402" t="s">
        <v>846</v>
      </c>
      <c r="E884" s="403" t="s">
        <v>155</v>
      </c>
      <c r="F884" s="403" t="s">
        <v>847</v>
      </c>
      <c r="G884" s="404">
        <v>39031</v>
      </c>
      <c r="H884" s="404">
        <v>39140</v>
      </c>
      <c r="I884" s="405" t="s">
        <v>157</v>
      </c>
      <c r="J884" s="406">
        <v>1058.74</v>
      </c>
      <c r="K884" s="407">
        <v>211.74800000000002</v>
      </c>
      <c r="L884" s="280">
        <v>1270.488</v>
      </c>
      <c r="M884" s="68">
        <v>264.685</v>
      </c>
      <c r="N884" s="68">
        <v>52.937000000000005</v>
      </c>
      <c r="O884" s="255">
        <f aca="true" t="shared" si="201" ref="O884:O947">+N884+M884</f>
        <v>317.622</v>
      </c>
      <c r="P884" s="68"/>
      <c r="Q884" s="68"/>
      <c r="R884" s="255"/>
      <c r="S884" s="540" t="s">
        <v>1242</v>
      </c>
      <c r="T884" s="540"/>
    </row>
    <row r="885" spans="1:20" s="401" customFormat="1" ht="19.5" customHeight="1">
      <c r="A885" s="99" t="s">
        <v>840</v>
      </c>
      <c r="B885" s="100"/>
      <c r="C885" s="101" t="s">
        <v>152</v>
      </c>
      <c r="D885" s="402" t="s">
        <v>848</v>
      </c>
      <c r="E885" s="403" t="s">
        <v>155</v>
      </c>
      <c r="F885" s="403" t="s">
        <v>849</v>
      </c>
      <c r="G885" s="404">
        <v>39061</v>
      </c>
      <c r="H885" s="404">
        <v>39150</v>
      </c>
      <c r="I885" s="405" t="s">
        <v>157</v>
      </c>
      <c r="J885" s="406">
        <v>1058.74</v>
      </c>
      <c r="K885" s="407">
        <v>211.74800000000002</v>
      </c>
      <c r="L885" s="280">
        <v>1270.488</v>
      </c>
      <c r="M885" s="68">
        <v>264.685</v>
      </c>
      <c r="N885" s="68">
        <v>52.937000000000005</v>
      </c>
      <c r="O885" s="255">
        <f t="shared" si="201"/>
        <v>317.622</v>
      </c>
      <c r="P885" s="68"/>
      <c r="Q885" s="68"/>
      <c r="R885" s="255"/>
      <c r="S885" s="540" t="s">
        <v>1242</v>
      </c>
      <c r="T885" s="540"/>
    </row>
    <row r="886" spans="1:20" s="401" customFormat="1" ht="19.5" customHeight="1">
      <c r="A886" s="99" t="s">
        <v>840</v>
      </c>
      <c r="B886" s="100"/>
      <c r="C886" s="101" t="s">
        <v>152</v>
      </c>
      <c r="D886" s="402" t="s">
        <v>850</v>
      </c>
      <c r="E886" s="403" t="s">
        <v>155</v>
      </c>
      <c r="F886" s="403" t="s">
        <v>851</v>
      </c>
      <c r="G886" s="404">
        <v>39061</v>
      </c>
      <c r="H886" s="404">
        <v>39169</v>
      </c>
      <c r="I886" s="405" t="s">
        <v>157</v>
      </c>
      <c r="J886" s="406">
        <v>2266.8</v>
      </c>
      <c r="K886" s="407">
        <v>453.36</v>
      </c>
      <c r="L886" s="280">
        <v>2720.16</v>
      </c>
      <c r="M886" s="68">
        <v>566.7</v>
      </c>
      <c r="N886" s="68">
        <v>113.34</v>
      </c>
      <c r="O886" s="255">
        <f t="shared" si="201"/>
        <v>680.0400000000001</v>
      </c>
      <c r="P886" s="68"/>
      <c r="Q886" s="68"/>
      <c r="R886" s="255"/>
      <c r="S886" s="540" t="s">
        <v>1242</v>
      </c>
      <c r="T886" s="540"/>
    </row>
    <row r="887" spans="1:20" s="401" customFormat="1" ht="19.5" customHeight="1">
      <c r="A887" s="99" t="s">
        <v>840</v>
      </c>
      <c r="B887" s="100"/>
      <c r="C887" s="101" t="s">
        <v>152</v>
      </c>
      <c r="D887" s="402" t="s">
        <v>852</v>
      </c>
      <c r="E887" s="403" t="s">
        <v>155</v>
      </c>
      <c r="F887" s="403" t="s">
        <v>853</v>
      </c>
      <c r="G887" s="404">
        <v>39092</v>
      </c>
      <c r="H887" s="404">
        <v>39176</v>
      </c>
      <c r="I887" s="405" t="s">
        <v>157</v>
      </c>
      <c r="J887" s="406">
        <v>1058.74</v>
      </c>
      <c r="K887" s="407">
        <v>211.74800000000002</v>
      </c>
      <c r="L887" s="280">
        <v>1270.488</v>
      </c>
      <c r="M887" s="68">
        <v>264.685</v>
      </c>
      <c r="N887" s="68">
        <v>52.937000000000005</v>
      </c>
      <c r="O887" s="255">
        <f t="shared" si="201"/>
        <v>317.622</v>
      </c>
      <c r="P887" s="68"/>
      <c r="Q887" s="68"/>
      <c r="R887" s="255"/>
      <c r="S887" s="540" t="s">
        <v>1242</v>
      </c>
      <c r="T887" s="540"/>
    </row>
    <row r="888" spans="1:20" s="401" customFormat="1" ht="19.5" customHeight="1">
      <c r="A888" s="99" t="s">
        <v>840</v>
      </c>
      <c r="B888" s="100"/>
      <c r="C888" s="101" t="s">
        <v>152</v>
      </c>
      <c r="D888" s="402" t="s">
        <v>854</v>
      </c>
      <c r="E888" s="403" t="s">
        <v>155</v>
      </c>
      <c r="F888" s="403" t="s">
        <v>855</v>
      </c>
      <c r="G888" s="404">
        <v>39123</v>
      </c>
      <c r="H888" s="404">
        <v>39198</v>
      </c>
      <c r="I888" s="405" t="s">
        <v>157</v>
      </c>
      <c r="J888" s="406">
        <v>1058.74</v>
      </c>
      <c r="K888" s="407">
        <v>211.74800000000002</v>
      </c>
      <c r="L888" s="280">
        <v>1270.488</v>
      </c>
      <c r="M888" s="68">
        <v>264.685</v>
      </c>
      <c r="N888" s="68">
        <v>52.937000000000005</v>
      </c>
      <c r="O888" s="255">
        <f t="shared" si="201"/>
        <v>317.622</v>
      </c>
      <c r="P888" s="68"/>
      <c r="Q888" s="68"/>
      <c r="R888" s="255"/>
      <c r="S888" s="540" t="s">
        <v>1242</v>
      </c>
      <c r="T888" s="540"/>
    </row>
    <row r="889" spans="1:20" s="401" customFormat="1" ht="19.5" customHeight="1">
      <c r="A889" s="99" t="s">
        <v>840</v>
      </c>
      <c r="B889" s="100"/>
      <c r="C889" s="101" t="s">
        <v>152</v>
      </c>
      <c r="D889" s="402" t="s">
        <v>856</v>
      </c>
      <c r="E889" s="403" t="s">
        <v>155</v>
      </c>
      <c r="F889" s="403" t="s">
        <v>857</v>
      </c>
      <c r="G889" s="404">
        <v>39151</v>
      </c>
      <c r="H889" s="404">
        <v>39225</v>
      </c>
      <c r="I889" s="405" t="s">
        <v>157</v>
      </c>
      <c r="J889" s="406">
        <v>1058.74</v>
      </c>
      <c r="K889" s="407">
        <v>211.74800000000002</v>
      </c>
      <c r="L889" s="280">
        <v>1270.488</v>
      </c>
      <c r="M889" s="68">
        <v>264.685</v>
      </c>
      <c r="N889" s="68">
        <v>52.937000000000005</v>
      </c>
      <c r="O889" s="255">
        <f t="shared" si="201"/>
        <v>317.622</v>
      </c>
      <c r="P889" s="68"/>
      <c r="Q889" s="68"/>
      <c r="R889" s="255"/>
      <c r="S889" s="540" t="s">
        <v>1242</v>
      </c>
      <c r="T889" s="540"/>
    </row>
    <row r="890" spans="1:20" s="401" customFormat="1" ht="19.5" customHeight="1">
      <c r="A890" s="99" t="s">
        <v>840</v>
      </c>
      <c r="B890" s="100"/>
      <c r="C890" s="101" t="s">
        <v>152</v>
      </c>
      <c r="D890" s="402" t="s">
        <v>858</v>
      </c>
      <c r="E890" s="403" t="s">
        <v>155</v>
      </c>
      <c r="F890" s="403" t="s">
        <v>859</v>
      </c>
      <c r="G890" s="404">
        <v>39182</v>
      </c>
      <c r="H890" s="404">
        <v>39225</v>
      </c>
      <c r="I890" s="405" t="s">
        <v>157</v>
      </c>
      <c r="J890" s="406">
        <v>1058.74</v>
      </c>
      <c r="K890" s="407">
        <v>211.74800000000002</v>
      </c>
      <c r="L890" s="280">
        <v>1270.488</v>
      </c>
      <c r="M890" s="68">
        <v>264.685</v>
      </c>
      <c r="N890" s="68">
        <v>52.937000000000005</v>
      </c>
      <c r="O890" s="255">
        <f t="shared" si="201"/>
        <v>317.622</v>
      </c>
      <c r="P890" s="68"/>
      <c r="Q890" s="68"/>
      <c r="R890" s="255"/>
      <c r="S890" s="540" t="s">
        <v>1242</v>
      </c>
      <c r="T890" s="540"/>
    </row>
    <row r="891" spans="1:20" s="401" customFormat="1" ht="19.5" customHeight="1">
      <c r="A891" s="99" t="s">
        <v>840</v>
      </c>
      <c r="B891" s="100"/>
      <c r="C891" s="101" t="s">
        <v>152</v>
      </c>
      <c r="D891" s="402" t="s">
        <v>860</v>
      </c>
      <c r="E891" s="403" t="s">
        <v>155</v>
      </c>
      <c r="F891" s="403" t="s">
        <v>861</v>
      </c>
      <c r="G891" s="404">
        <v>39212</v>
      </c>
      <c r="H891" s="404">
        <v>39272</v>
      </c>
      <c r="I891" s="405" t="s">
        <v>157</v>
      </c>
      <c r="J891" s="406">
        <v>1058.74</v>
      </c>
      <c r="K891" s="407">
        <v>211.74800000000002</v>
      </c>
      <c r="L891" s="280">
        <v>1270.488</v>
      </c>
      <c r="M891" s="68">
        <v>264.685</v>
      </c>
      <c r="N891" s="68">
        <v>52.937000000000005</v>
      </c>
      <c r="O891" s="255">
        <f t="shared" si="201"/>
        <v>317.622</v>
      </c>
      <c r="P891" s="68"/>
      <c r="Q891" s="68"/>
      <c r="R891" s="255"/>
      <c r="S891" s="540" t="s">
        <v>1242</v>
      </c>
      <c r="T891" s="540"/>
    </row>
    <row r="892" spans="1:20" s="401" customFormat="1" ht="19.5" customHeight="1">
      <c r="A892" s="99" t="s">
        <v>840</v>
      </c>
      <c r="B892" s="100"/>
      <c r="C892" s="101" t="s">
        <v>152</v>
      </c>
      <c r="D892" s="402" t="s">
        <v>862</v>
      </c>
      <c r="E892" s="403" t="s">
        <v>155</v>
      </c>
      <c r="F892" s="403" t="s">
        <v>863</v>
      </c>
      <c r="G892" s="404">
        <v>39243</v>
      </c>
      <c r="H892" s="404">
        <v>39272</v>
      </c>
      <c r="I892" s="405" t="s">
        <v>157</v>
      </c>
      <c r="J892" s="406">
        <v>1058.74</v>
      </c>
      <c r="K892" s="407">
        <v>211.74800000000002</v>
      </c>
      <c r="L892" s="280">
        <v>1270.488</v>
      </c>
      <c r="M892" s="68">
        <v>264.685</v>
      </c>
      <c r="N892" s="68">
        <v>52.937000000000005</v>
      </c>
      <c r="O892" s="255">
        <f t="shared" si="201"/>
        <v>317.622</v>
      </c>
      <c r="P892" s="68"/>
      <c r="Q892" s="68"/>
      <c r="R892" s="255"/>
      <c r="S892" s="540" t="s">
        <v>1242</v>
      </c>
      <c r="T892" s="540"/>
    </row>
    <row r="893" spans="1:20" s="401" customFormat="1" ht="19.5" customHeight="1">
      <c r="A893" s="99" t="s">
        <v>840</v>
      </c>
      <c r="B893" s="100"/>
      <c r="C893" s="101" t="s">
        <v>152</v>
      </c>
      <c r="D893" s="402" t="s">
        <v>864</v>
      </c>
      <c r="E893" s="403" t="s">
        <v>155</v>
      </c>
      <c r="F893" s="403" t="s">
        <v>865</v>
      </c>
      <c r="G893" s="404">
        <v>39273</v>
      </c>
      <c r="H893" s="404">
        <v>39288</v>
      </c>
      <c r="I893" s="405" t="s">
        <v>157</v>
      </c>
      <c r="J893" s="406">
        <v>1058.74</v>
      </c>
      <c r="K893" s="407">
        <v>211.74800000000002</v>
      </c>
      <c r="L893" s="280">
        <v>1270.488</v>
      </c>
      <c r="M893" s="68">
        <v>264.685</v>
      </c>
      <c r="N893" s="68">
        <v>52.937000000000005</v>
      </c>
      <c r="O893" s="255">
        <f t="shared" si="201"/>
        <v>317.622</v>
      </c>
      <c r="P893" s="68"/>
      <c r="Q893" s="68"/>
      <c r="R893" s="255"/>
      <c r="S893" s="540" t="s">
        <v>1242</v>
      </c>
      <c r="T893" s="540"/>
    </row>
    <row r="894" spans="1:20" s="401" customFormat="1" ht="19.5" customHeight="1">
      <c r="A894" s="99" t="s">
        <v>840</v>
      </c>
      <c r="B894" s="100"/>
      <c r="C894" s="101" t="s">
        <v>152</v>
      </c>
      <c r="D894" s="402" t="s">
        <v>866</v>
      </c>
      <c r="E894" s="403" t="s">
        <v>155</v>
      </c>
      <c r="F894" s="403" t="s">
        <v>847</v>
      </c>
      <c r="G894" s="404">
        <v>39031</v>
      </c>
      <c r="H894" s="404">
        <v>39140</v>
      </c>
      <c r="I894" s="405" t="s">
        <v>157</v>
      </c>
      <c r="J894" s="406">
        <v>172.5</v>
      </c>
      <c r="K894" s="407">
        <v>34.5</v>
      </c>
      <c r="L894" s="280">
        <v>207</v>
      </c>
      <c r="M894" s="68">
        <v>43.125</v>
      </c>
      <c r="N894" s="68">
        <v>8.625</v>
      </c>
      <c r="O894" s="255">
        <f t="shared" si="201"/>
        <v>51.75</v>
      </c>
      <c r="P894" s="68"/>
      <c r="Q894" s="68"/>
      <c r="R894" s="255"/>
      <c r="S894" s="540" t="s">
        <v>1242</v>
      </c>
      <c r="T894" s="540"/>
    </row>
    <row r="895" spans="1:20" s="401" customFormat="1" ht="19.5" customHeight="1">
      <c r="A895" s="99" t="s">
        <v>840</v>
      </c>
      <c r="B895" s="100"/>
      <c r="C895" s="101" t="s">
        <v>152</v>
      </c>
      <c r="D895" s="402" t="s">
        <v>867</v>
      </c>
      <c r="E895" s="403" t="s">
        <v>155</v>
      </c>
      <c r="F895" s="403" t="s">
        <v>849</v>
      </c>
      <c r="G895" s="404">
        <v>39061</v>
      </c>
      <c r="H895" s="404">
        <v>39150</v>
      </c>
      <c r="I895" s="405" t="s">
        <v>157</v>
      </c>
      <c r="J895" s="406">
        <v>172.5</v>
      </c>
      <c r="K895" s="407">
        <v>34.5</v>
      </c>
      <c r="L895" s="280">
        <v>207</v>
      </c>
      <c r="M895" s="68">
        <v>43.125</v>
      </c>
      <c r="N895" s="68">
        <v>8.625</v>
      </c>
      <c r="O895" s="255">
        <f t="shared" si="201"/>
        <v>51.75</v>
      </c>
      <c r="P895" s="68"/>
      <c r="Q895" s="68"/>
      <c r="R895" s="255"/>
      <c r="S895" s="540" t="s">
        <v>1242</v>
      </c>
      <c r="T895" s="540"/>
    </row>
    <row r="896" spans="1:20" s="401" customFormat="1" ht="19.5" customHeight="1">
      <c r="A896" s="99" t="s">
        <v>840</v>
      </c>
      <c r="B896" s="100"/>
      <c r="C896" s="101" t="s">
        <v>152</v>
      </c>
      <c r="D896" s="402" t="s">
        <v>868</v>
      </c>
      <c r="E896" s="403" t="s">
        <v>155</v>
      </c>
      <c r="F896" s="403" t="s">
        <v>853</v>
      </c>
      <c r="G896" s="404">
        <v>39092</v>
      </c>
      <c r="H896" s="404">
        <v>39176</v>
      </c>
      <c r="I896" s="405" t="s">
        <v>157</v>
      </c>
      <c r="J896" s="406">
        <v>172.5</v>
      </c>
      <c r="K896" s="407">
        <v>34.5</v>
      </c>
      <c r="L896" s="280">
        <v>207</v>
      </c>
      <c r="M896" s="68">
        <v>43.125</v>
      </c>
      <c r="N896" s="68">
        <v>8.625</v>
      </c>
      <c r="O896" s="255">
        <f t="shared" si="201"/>
        <v>51.75</v>
      </c>
      <c r="P896" s="68"/>
      <c r="Q896" s="68"/>
      <c r="R896" s="255"/>
      <c r="S896" s="540" t="s">
        <v>1242</v>
      </c>
      <c r="T896" s="540"/>
    </row>
    <row r="897" spans="1:20" s="401" customFormat="1" ht="19.5" customHeight="1">
      <c r="A897" s="99" t="s">
        <v>840</v>
      </c>
      <c r="B897" s="100"/>
      <c r="C897" s="101" t="s">
        <v>152</v>
      </c>
      <c r="D897" s="402" t="s">
        <v>869</v>
      </c>
      <c r="E897" s="403" t="s">
        <v>155</v>
      </c>
      <c r="F897" s="403" t="s">
        <v>855</v>
      </c>
      <c r="G897" s="404">
        <v>39123</v>
      </c>
      <c r="H897" s="404">
        <v>39198</v>
      </c>
      <c r="I897" s="405" t="s">
        <v>157</v>
      </c>
      <c r="J897" s="406">
        <v>172.5</v>
      </c>
      <c r="K897" s="407">
        <v>34.5</v>
      </c>
      <c r="L897" s="280">
        <v>207</v>
      </c>
      <c r="M897" s="68">
        <v>43.125</v>
      </c>
      <c r="N897" s="68">
        <v>8.625</v>
      </c>
      <c r="O897" s="255">
        <f t="shared" si="201"/>
        <v>51.75</v>
      </c>
      <c r="P897" s="68"/>
      <c r="Q897" s="68"/>
      <c r="R897" s="255"/>
      <c r="S897" s="540" t="s">
        <v>1242</v>
      </c>
      <c r="T897" s="540"/>
    </row>
    <row r="898" spans="1:20" s="401" customFormat="1" ht="19.5" customHeight="1">
      <c r="A898" s="99" t="s">
        <v>840</v>
      </c>
      <c r="B898" s="100"/>
      <c r="C898" s="101" t="s">
        <v>152</v>
      </c>
      <c r="D898" s="402" t="s">
        <v>870</v>
      </c>
      <c r="E898" s="403" t="s">
        <v>155</v>
      </c>
      <c r="F898" s="403" t="s">
        <v>857</v>
      </c>
      <c r="G898" s="404">
        <v>39151</v>
      </c>
      <c r="H898" s="404">
        <v>39225</v>
      </c>
      <c r="I898" s="405" t="s">
        <v>157</v>
      </c>
      <c r="J898" s="406">
        <v>172.5</v>
      </c>
      <c r="K898" s="407">
        <v>34.5</v>
      </c>
      <c r="L898" s="280">
        <v>207</v>
      </c>
      <c r="M898" s="68">
        <v>43.125</v>
      </c>
      <c r="N898" s="68">
        <v>8.625</v>
      </c>
      <c r="O898" s="255">
        <f t="shared" si="201"/>
        <v>51.75</v>
      </c>
      <c r="P898" s="68"/>
      <c r="Q898" s="68"/>
      <c r="R898" s="255"/>
      <c r="S898" s="540" t="s">
        <v>1242</v>
      </c>
      <c r="T898" s="540"/>
    </row>
    <row r="899" spans="1:20" s="401" customFormat="1" ht="19.5" customHeight="1">
      <c r="A899" s="99" t="s">
        <v>840</v>
      </c>
      <c r="B899" s="100"/>
      <c r="C899" s="101" t="s">
        <v>152</v>
      </c>
      <c r="D899" s="402" t="s">
        <v>871</v>
      </c>
      <c r="E899" s="403" t="s">
        <v>155</v>
      </c>
      <c r="F899" s="403" t="s">
        <v>859</v>
      </c>
      <c r="G899" s="404">
        <v>39182</v>
      </c>
      <c r="H899" s="404">
        <v>39225</v>
      </c>
      <c r="I899" s="405" t="s">
        <v>157</v>
      </c>
      <c r="J899" s="406">
        <v>172.5</v>
      </c>
      <c r="K899" s="407">
        <v>34.5</v>
      </c>
      <c r="L899" s="280">
        <v>207</v>
      </c>
      <c r="M899" s="68">
        <v>43.125</v>
      </c>
      <c r="N899" s="68">
        <v>8.625</v>
      </c>
      <c r="O899" s="255">
        <f t="shared" si="201"/>
        <v>51.75</v>
      </c>
      <c r="P899" s="68"/>
      <c r="Q899" s="68"/>
      <c r="R899" s="255"/>
      <c r="S899" s="540" t="s">
        <v>1242</v>
      </c>
      <c r="T899" s="540"/>
    </row>
    <row r="900" spans="1:20" s="401" customFormat="1" ht="19.5" customHeight="1">
      <c r="A900" s="99" t="s">
        <v>840</v>
      </c>
      <c r="B900" s="100"/>
      <c r="C900" s="101" t="s">
        <v>152</v>
      </c>
      <c r="D900" s="402" t="s">
        <v>872</v>
      </c>
      <c r="E900" s="403" t="s">
        <v>155</v>
      </c>
      <c r="F900" s="403" t="s">
        <v>861</v>
      </c>
      <c r="G900" s="404">
        <v>39212</v>
      </c>
      <c r="H900" s="404">
        <v>39272</v>
      </c>
      <c r="I900" s="405" t="s">
        <v>157</v>
      </c>
      <c r="J900" s="406">
        <v>287.78</v>
      </c>
      <c r="K900" s="407">
        <v>57.556</v>
      </c>
      <c r="L900" s="280">
        <v>345.33599999999996</v>
      </c>
      <c r="M900" s="68">
        <v>71.945</v>
      </c>
      <c r="N900" s="68">
        <v>14.389</v>
      </c>
      <c r="O900" s="255">
        <f t="shared" si="201"/>
        <v>86.33399999999999</v>
      </c>
      <c r="P900" s="68"/>
      <c r="Q900" s="68"/>
      <c r="R900" s="255"/>
      <c r="S900" s="540" t="s">
        <v>1242</v>
      </c>
      <c r="T900" s="540"/>
    </row>
    <row r="901" spans="1:20" s="401" customFormat="1" ht="19.5" customHeight="1">
      <c r="A901" s="99" t="s">
        <v>840</v>
      </c>
      <c r="B901" s="100"/>
      <c r="C901" s="101" t="s">
        <v>152</v>
      </c>
      <c r="D901" s="402" t="s">
        <v>873</v>
      </c>
      <c r="E901" s="403" t="s">
        <v>155</v>
      </c>
      <c r="F901" s="403" t="s">
        <v>863</v>
      </c>
      <c r="G901" s="404">
        <v>39243</v>
      </c>
      <c r="H901" s="404">
        <v>39272</v>
      </c>
      <c r="I901" s="405" t="s">
        <v>157</v>
      </c>
      <c r="J901" s="406">
        <v>186.91</v>
      </c>
      <c r="K901" s="407">
        <v>37.382</v>
      </c>
      <c r="L901" s="280">
        <v>224.292</v>
      </c>
      <c r="M901" s="68">
        <v>46.7275</v>
      </c>
      <c r="N901" s="68">
        <v>9.3455</v>
      </c>
      <c r="O901" s="255">
        <f t="shared" si="201"/>
        <v>56.073</v>
      </c>
      <c r="P901" s="68"/>
      <c r="Q901" s="68"/>
      <c r="R901" s="255"/>
      <c r="S901" s="540" t="s">
        <v>1242</v>
      </c>
      <c r="T901" s="540"/>
    </row>
    <row r="902" spans="1:20" s="401" customFormat="1" ht="19.5" customHeight="1">
      <c r="A902" s="99" t="s">
        <v>840</v>
      </c>
      <c r="B902" s="100"/>
      <c r="C902" s="101" t="s">
        <v>152</v>
      </c>
      <c r="D902" s="402" t="s">
        <v>874</v>
      </c>
      <c r="E902" s="403" t="s">
        <v>155</v>
      </c>
      <c r="F902" s="403" t="s">
        <v>865</v>
      </c>
      <c r="G902" s="404">
        <v>39273</v>
      </c>
      <c r="H902" s="404">
        <v>39288</v>
      </c>
      <c r="I902" s="405" t="s">
        <v>157</v>
      </c>
      <c r="J902" s="406">
        <v>186.91</v>
      </c>
      <c r="K902" s="407">
        <v>37.382</v>
      </c>
      <c r="L902" s="280">
        <v>224.292</v>
      </c>
      <c r="M902" s="68">
        <v>46.7275</v>
      </c>
      <c r="N902" s="68">
        <v>9.3455</v>
      </c>
      <c r="O902" s="255">
        <f t="shared" si="201"/>
        <v>56.073</v>
      </c>
      <c r="P902" s="68"/>
      <c r="Q902" s="68"/>
      <c r="R902" s="255"/>
      <c r="S902" s="540" t="s">
        <v>1242</v>
      </c>
      <c r="T902" s="540"/>
    </row>
    <row r="903" spans="1:20" s="401" customFormat="1" ht="19.5" customHeight="1">
      <c r="A903" s="99" t="s">
        <v>840</v>
      </c>
      <c r="B903" s="100"/>
      <c r="C903" s="101" t="s">
        <v>152</v>
      </c>
      <c r="D903" s="402" t="s">
        <v>177</v>
      </c>
      <c r="E903" s="403" t="s">
        <v>178</v>
      </c>
      <c r="F903" s="403">
        <v>6434</v>
      </c>
      <c r="G903" s="404">
        <v>39108</v>
      </c>
      <c r="H903" s="404">
        <v>39128</v>
      </c>
      <c r="I903" s="405" t="s">
        <v>179</v>
      </c>
      <c r="J903" s="406">
        <v>25.39</v>
      </c>
      <c r="K903" s="407">
        <v>5.08</v>
      </c>
      <c r="L903" s="280">
        <v>30.47</v>
      </c>
      <c r="M903" s="68">
        <v>5.078</v>
      </c>
      <c r="N903" s="68">
        <v>1.016</v>
      </c>
      <c r="O903" s="255">
        <f t="shared" si="201"/>
        <v>6.094</v>
      </c>
      <c r="P903" s="68"/>
      <c r="Q903" s="68"/>
      <c r="R903" s="255"/>
      <c r="S903" s="540" t="s">
        <v>1242</v>
      </c>
      <c r="T903" s="540"/>
    </row>
    <row r="904" spans="1:20" s="401" customFormat="1" ht="19.5" customHeight="1">
      <c r="A904" s="99" t="s">
        <v>840</v>
      </c>
      <c r="B904" s="100"/>
      <c r="C904" s="101" t="s">
        <v>152</v>
      </c>
      <c r="D904" s="402" t="s">
        <v>177</v>
      </c>
      <c r="E904" s="403" t="s">
        <v>178</v>
      </c>
      <c r="F904" s="403">
        <v>5026</v>
      </c>
      <c r="G904" s="404">
        <v>39108</v>
      </c>
      <c r="H904" s="404">
        <v>39128</v>
      </c>
      <c r="I904" s="405" t="s">
        <v>179</v>
      </c>
      <c r="J904" s="406">
        <v>160.53</v>
      </c>
      <c r="K904" s="407">
        <v>32.11</v>
      </c>
      <c r="L904" s="280">
        <v>192.64</v>
      </c>
      <c r="M904" s="68">
        <v>32.106</v>
      </c>
      <c r="N904" s="68">
        <v>6.422000000000001</v>
      </c>
      <c r="O904" s="255">
        <f t="shared" si="201"/>
        <v>38.528000000000006</v>
      </c>
      <c r="P904" s="68"/>
      <c r="Q904" s="68"/>
      <c r="R904" s="255"/>
      <c r="S904" s="540" t="s">
        <v>1242</v>
      </c>
      <c r="T904" s="540"/>
    </row>
    <row r="905" spans="1:20" s="401" customFormat="1" ht="19.5" customHeight="1">
      <c r="A905" s="99" t="s">
        <v>840</v>
      </c>
      <c r="B905" s="100"/>
      <c r="C905" s="101" t="s">
        <v>152</v>
      </c>
      <c r="D905" s="402" t="s">
        <v>177</v>
      </c>
      <c r="E905" s="403" t="s">
        <v>178</v>
      </c>
      <c r="F905" s="403">
        <v>6435</v>
      </c>
      <c r="G905" s="404">
        <v>39164</v>
      </c>
      <c r="H905" s="404">
        <v>39184</v>
      </c>
      <c r="I905" s="405" t="s">
        <v>179</v>
      </c>
      <c r="J905" s="406">
        <v>29.57</v>
      </c>
      <c r="K905" s="407">
        <v>5.91</v>
      </c>
      <c r="L905" s="280">
        <v>35.48</v>
      </c>
      <c r="M905" s="68">
        <v>5.914000000000001</v>
      </c>
      <c r="N905" s="68">
        <v>1.1820000000000002</v>
      </c>
      <c r="O905" s="255">
        <f t="shared" si="201"/>
        <v>7.096000000000001</v>
      </c>
      <c r="P905" s="68"/>
      <c r="Q905" s="68"/>
      <c r="R905" s="255"/>
      <c r="S905" s="540" t="s">
        <v>1242</v>
      </c>
      <c r="T905" s="540"/>
    </row>
    <row r="906" spans="1:20" s="401" customFormat="1" ht="19.5" customHeight="1">
      <c r="A906" s="99" t="s">
        <v>840</v>
      </c>
      <c r="B906" s="100"/>
      <c r="C906" s="101" t="s">
        <v>152</v>
      </c>
      <c r="D906" s="402" t="s">
        <v>177</v>
      </c>
      <c r="E906" s="403" t="s">
        <v>178</v>
      </c>
      <c r="F906" s="403">
        <v>5027</v>
      </c>
      <c r="G906" s="404">
        <v>39164</v>
      </c>
      <c r="H906" s="404">
        <v>39184</v>
      </c>
      <c r="I906" s="405" t="s">
        <v>179</v>
      </c>
      <c r="J906" s="406">
        <v>208.75</v>
      </c>
      <c r="K906" s="407">
        <v>41.75</v>
      </c>
      <c r="L906" s="280">
        <v>250.5</v>
      </c>
      <c r="M906" s="68">
        <v>41.75</v>
      </c>
      <c r="N906" s="68">
        <v>8.35</v>
      </c>
      <c r="O906" s="255">
        <f t="shared" si="201"/>
        <v>50.1</v>
      </c>
      <c r="P906" s="68"/>
      <c r="Q906" s="68"/>
      <c r="R906" s="255"/>
      <c r="S906" s="540" t="s">
        <v>1242</v>
      </c>
      <c r="T906" s="540"/>
    </row>
    <row r="907" spans="1:20" s="401" customFormat="1" ht="19.5" customHeight="1">
      <c r="A907" s="99" t="s">
        <v>840</v>
      </c>
      <c r="B907" s="100"/>
      <c r="C907" s="101" t="s">
        <v>152</v>
      </c>
      <c r="D907" s="402" t="s">
        <v>177</v>
      </c>
      <c r="E907" s="403" t="s">
        <v>178</v>
      </c>
      <c r="F907" s="403">
        <v>5028</v>
      </c>
      <c r="G907" s="404">
        <v>39229</v>
      </c>
      <c r="H907" s="404">
        <v>39249</v>
      </c>
      <c r="I907" s="405" t="s">
        <v>179</v>
      </c>
      <c r="J907" s="406">
        <v>184.39</v>
      </c>
      <c r="K907" s="407">
        <v>36.88</v>
      </c>
      <c r="L907" s="280">
        <v>221.27</v>
      </c>
      <c r="M907" s="68">
        <v>36.878</v>
      </c>
      <c r="N907" s="68">
        <v>7.376000000000001</v>
      </c>
      <c r="O907" s="255">
        <f t="shared" si="201"/>
        <v>44.254000000000005</v>
      </c>
      <c r="P907" s="68"/>
      <c r="Q907" s="68"/>
      <c r="R907" s="255"/>
      <c r="S907" s="540" t="s">
        <v>1242</v>
      </c>
      <c r="T907" s="540"/>
    </row>
    <row r="908" spans="1:20" s="401" customFormat="1" ht="19.5" customHeight="1">
      <c r="A908" s="99" t="s">
        <v>840</v>
      </c>
      <c r="B908" s="100"/>
      <c r="C908" s="101" t="s">
        <v>152</v>
      </c>
      <c r="D908" s="402" t="s">
        <v>177</v>
      </c>
      <c r="E908" s="403" t="s">
        <v>178</v>
      </c>
      <c r="F908" s="403">
        <v>5029</v>
      </c>
      <c r="G908" s="404">
        <v>39285</v>
      </c>
      <c r="H908" s="404">
        <v>39305</v>
      </c>
      <c r="I908" s="405" t="s">
        <v>179</v>
      </c>
      <c r="J908" s="406">
        <v>214.84</v>
      </c>
      <c r="K908" s="407">
        <v>42.97</v>
      </c>
      <c r="L908" s="280">
        <v>257.81</v>
      </c>
      <c r="M908" s="68">
        <v>42.968</v>
      </c>
      <c r="N908" s="68">
        <v>8.594</v>
      </c>
      <c r="O908" s="255">
        <f t="shared" si="201"/>
        <v>51.562000000000005</v>
      </c>
      <c r="P908" s="68"/>
      <c r="Q908" s="68"/>
      <c r="R908" s="255"/>
      <c r="S908" s="540" t="s">
        <v>1242</v>
      </c>
      <c r="T908" s="540"/>
    </row>
    <row r="909" spans="1:20" s="401" customFormat="1" ht="19.5" customHeight="1">
      <c r="A909" s="99" t="s">
        <v>840</v>
      </c>
      <c r="B909" s="100"/>
      <c r="C909" s="101" t="s">
        <v>152</v>
      </c>
      <c r="D909" s="402" t="s">
        <v>181</v>
      </c>
      <c r="E909" s="403" t="s">
        <v>182</v>
      </c>
      <c r="F909" s="403">
        <v>4358</v>
      </c>
      <c r="G909" s="404">
        <v>39091</v>
      </c>
      <c r="H909" s="404">
        <v>39147</v>
      </c>
      <c r="I909" s="405" t="s">
        <v>672</v>
      </c>
      <c r="J909" s="406">
        <v>103.97</v>
      </c>
      <c r="K909" s="407">
        <v>20.54</v>
      </c>
      <c r="L909" s="280">
        <v>124.51</v>
      </c>
      <c r="M909" s="68">
        <v>20.794</v>
      </c>
      <c r="N909" s="68">
        <v>4.108</v>
      </c>
      <c r="O909" s="255">
        <f t="shared" si="201"/>
        <v>24.902</v>
      </c>
      <c r="P909" s="68"/>
      <c r="Q909" s="68"/>
      <c r="R909" s="255"/>
      <c r="S909" s="540" t="s">
        <v>1242</v>
      </c>
      <c r="T909" s="540"/>
    </row>
    <row r="910" spans="1:20" s="401" customFormat="1" ht="19.5" customHeight="1">
      <c r="A910" s="99" t="s">
        <v>840</v>
      </c>
      <c r="B910" s="100"/>
      <c r="C910" s="101" t="s">
        <v>152</v>
      </c>
      <c r="D910" s="402" t="s">
        <v>181</v>
      </c>
      <c r="E910" s="403" t="s">
        <v>182</v>
      </c>
      <c r="F910" s="403">
        <v>4971</v>
      </c>
      <c r="G910" s="404">
        <v>39091</v>
      </c>
      <c r="H910" s="404">
        <v>39147</v>
      </c>
      <c r="I910" s="405" t="s">
        <v>672</v>
      </c>
      <c r="J910" s="406">
        <v>610.43</v>
      </c>
      <c r="K910" s="407">
        <v>119.57</v>
      </c>
      <c r="L910" s="280">
        <v>730</v>
      </c>
      <c r="M910" s="68">
        <v>122.086</v>
      </c>
      <c r="N910" s="68">
        <v>23.914</v>
      </c>
      <c r="O910" s="255">
        <f t="shared" si="201"/>
        <v>146</v>
      </c>
      <c r="P910" s="68"/>
      <c r="Q910" s="68"/>
      <c r="R910" s="255"/>
      <c r="S910" s="540" t="s">
        <v>1242</v>
      </c>
      <c r="T910" s="540"/>
    </row>
    <row r="911" spans="1:20" s="401" customFormat="1" ht="19.5" customHeight="1">
      <c r="A911" s="99" t="s">
        <v>840</v>
      </c>
      <c r="B911" s="100"/>
      <c r="C911" s="101" t="s">
        <v>152</v>
      </c>
      <c r="D911" s="402" t="s">
        <v>181</v>
      </c>
      <c r="E911" s="403" t="s">
        <v>182</v>
      </c>
      <c r="F911" s="403">
        <v>5602</v>
      </c>
      <c r="G911" s="404">
        <v>39149</v>
      </c>
      <c r="H911" s="404">
        <v>39206</v>
      </c>
      <c r="I911" s="405" t="s">
        <v>672</v>
      </c>
      <c r="J911" s="406">
        <v>78.33</v>
      </c>
      <c r="K911" s="407">
        <v>15.67</v>
      </c>
      <c r="L911" s="280">
        <v>94</v>
      </c>
      <c r="M911" s="68">
        <v>15.666</v>
      </c>
      <c r="N911" s="68">
        <v>3.1340000000000003</v>
      </c>
      <c r="O911" s="255">
        <f t="shared" si="201"/>
        <v>18.8</v>
      </c>
      <c r="P911" s="68"/>
      <c r="Q911" s="68"/>
      <c r="R911" s="255"/>
      <c r="S911" s="540" t="s">
        <v>1242</v>
      </c>
      <c r="T911" s="540"/>
    </row>
    <row r="912" spans="1:20" s="401" customFormat="1" ht="19.5" customHeight="1">
      <c r="A912" s="99" t="s">
        <v>840</v>
      </c>
      <c r="B912" s="100"/>
      <c r="C912" s="101" t="s">
        <v>152</v>
      </c>
      <c r="D912" s="402" t="s">
        <v>181</v>
      </c>
      <c r="E912" s="403" t="s">
        <v>182</v>
      </c>
      <c r="F912" s="403">
        <v>5125</v>
      </c>
      <c r="G912" s="404">
        <v>39149</v>
      </c>
      <c r="H912" s="404">
        <v>39206</v>
      </c>
      <c r="I912" s="405" t="s">
        <v>672</v>
      </c>
      <c r="J912" s="406">
        <v>567.93</v>
      </c>
      <c r="K912" s="407">
        <v>113.57</v>
      </c>
      <c r="L912" s="280">
        <v>681.5</v>
      </c>
      <c r="M912" s="68">
        <v>113.586</v>
      </c>
      <c r="N912" s="68">
        <v>22.714</v>
      </c>
      <c r="O912" s="255">
        <f t="shared" si="201"/>
        <v>136.3</v>
      </c>
      <c r="P912" s="68"/>
      <c r="Q912" s="68"/>
      <c r="R912" s="255"/>
      <c r="S912" s="540" t="s">
        <v>1242</v>
      </c>
      <c r="T912" s="540"/>
    </row>
    <row r="913" spans="1:20" s="401" customFormat="1" ht="19.5" customHeight="1">
      <c r="A913" s="99" t="s">
        <v>840</v>
      </c>
      <c r="B913" s="100"/>
      <c r="C913" s="101" t="s">
        <v>152</v>
      </c>
      <c r="D913" s="402" t="s">
        <v>181</v>
      </c>
      <c r="E913" s="403" t="s">
        <v>182</v>
      </c>
      <c r="F913" s="403">
        <v>196</v>
      </c>
      <c r="G913" s="404">
        <v>39211</v>
      </c>
      <c r="H913" s="404">
        <v>39245</v>
      </c>
      <c r="I913" s="405" t="s">
        <v>672</v>
      </c>
      <c r="J913" s="406">
        <v>677.81</v>
      </c>
      <c r="K913" s="407">
        <v>129.7</v>
      </c>
      <c r="L913" s="280">
        <v>807.51</v>
      </c>
      <c r="M913" s="68">
        <v>135.56199999999998</v>
      </c>
      <c r="N913" s="68">
        <v>25.94</v>
      </c>
      <c r="O913" s="255">
        <f t="shared" si="201"/>
        <v>161.50199999999998</v>
      </c>
      <c r="P913" s="68"/>
      <c r="Q913" s="68"/>
      <c r="R913" s="255"/>
      <c r="S913" s="540" t="s">
        <v>1242</v>
      </c>
      <c r="T913" s="540"/>
    </row>
    <row r="914" spans="1:20" s="401" customFormat="1" ht="19.5" customHeight="1">
      <c r="A914" s="99" t="s">
        <v>840</v>
      </c>
      <c r="B914" s="100"/>
      <c r="C914" s="101" t="s">
        <v>152</v>
      </c>
      <c r="D914" s="402" t="s">
        <v>181</v>
      </c>
      <c r="E914" s="403" t="s">
        <v>182</v>
      </c>
      <c r="F914" s="403">
        <v>9302</v>
      </c>
      <c r="G914" s="404">
        <v>39211</v>
      </c>
      <c r="H914" s="404">
        <v>39245</v>
      </c>
      <c r="I914" s="405" t="s">
        <v>672</v>
      </c>
      <c r="J914" s="406">
        <v>183.04</v>
      </c>
      <c r="K914" s="407">
        <v>35.46</v>
      </c>
      <c r="L914" s="280">
        <v>218.5</v>
      </c>
      <c r="M914" s="68">
        <v>36.608</v>
      </c>
      <c r="N914" s="68">
        <v>7.0920000000000005</v>
      </c>
      <c r="O914" s="255">
        <f t="shared" si="201"/>
        <v>43.699999999999996</v>
      </c>
      <c r="P914" s="68"/>
      <c r="Q914" s="68"/>
      <c r="R914" s="255"/>
      <c r="S914" s="540" t="s">
        <v>1242</v>
      </c>
      <c r="T914" s="540"/>
    </row>
    <row r="915" spans="1:20" s="401" customFormat="1" ht="19.5" customHeight="1">
      <c r="A915" s="99" t="s">
        <v>840</v>
      </c>
      <c r="B915" s="100"/>
      <c r="C915" s="101" t="s">
        <v>152</v>
      </c>
      <c r="D915" s="402" t="s">
        <v>181</v>
      </c>
      <c r="E915" s="403" t="s">
        <v>182</v>
      </c>
      <c r="F915" s="403">
        <v>9274</v>
      </c>
      <c r="G915" s="404">
        <v>39272</v>
      </c>
      <c r="H915" s="404">
        <v>39293</v>
      </c>
      <c r="I915" s="405" t="s">
        <v>672</v>
      </c>
      <c r="J915" s="406">
        <v>637.51</v>
      </c>
      <c r="K915" s="407">
        <v>121.99</v>
      </c>
      <c r="L915" s="280">
        <v>759.5</v>
      </c>
      <c r="M915" s="68">
        <v>127.50200000000001</v>
      </c>
      <c r="N915" s="68">
        <v>24.398</v>
      </c>
      <c r="O915" s="255">
        <f t="shared" si="201"/>
        <v>151.9</v>
      </c>
      <c r="P915" s="68"/>
      <c r="Q915" s="68"/>
      <c r="R915" s="255"/>
      <c r="S915" s="540" t="s">
        <v>1242</v>
      </c>
      <c r="T915" s="540"/>
    </row>
    <row r="916" spans="1:20" s="401" customFormat="1" ht="19.5" customHeight="1">
      <c r="A916" s="99" t="s">
        <v>840</v>
      </c>
      <c r="B916" s="100"/>
      <c r="C916" s="101" t="s">
        <v>152</v>
      </c>
      <c r="D916" s="402" t="s">
        <v>181</v>
      </c>
      <c r="E916" s="403" t="s">
        <v>182</v>
      </c>
      <c r="F916" s="403">
        <v>7637</v>
      </c>
      <c r="G916" s="404">
        <v>39272</v>
      </c>
      <c r="H916" s="404">
        <v>39307</v>
      </c>
      <c r="I916" s="405" t="s">
        <v>672</v>
      </c>
      <c r="J916" s="406">
        <v>189.1</v>
      </c>
      <c r="K916" s="407">
        <v>36.9</v>
      </c>
      <c r="L916" s="280">
        <v>226</v>
      </c>
      <c r="M916" s="68">
        <v>37.82</v>
      </c>
      <c r="N916" s="68">
        <v>7.38</v>
      </c>
      <c r="O916" s="255">
        <f t="shared" si="201"/>
        <v>45.2</v>
      </c>
      <c r="P916" s="68"/>
      <c r="Q916" s="68"/>
      <c r="R916" s="255"/>
      <c r="S916" s="540" t="s">
        <v>1242</v>
      </c>
      <c r="T916" s="540"/>
    </row>
    <row r="917" spans="1:20" s="401" customFormat="1" ht="24" customHeight="1">
      <c r="A917" s="99" t="s">
        <v>840</v>
      </c>
      <c r="B917" s="100"/>
      <c r="C917" s="232" t="s">
        <v>890</v>
      </c>
      <c r="D917" s="402" t="s">
        <v>892</v>
      </c>
      <c r="E917" s="403"/>
      <c r="F917" s="403">
        <v>13275</v>
      </c>
      <c r="G917" s="404"/>
      <c r="H917" s="404"/>
      <c r="I917" s="405"/>
      <c r="J917" s="406">
        <v>27.89</v>
      </c>
      <c r="K917" s="407"/>
      <c r="L917" s="280">
        <v>27.89</v>
      </c>
      <c r="M917" s="68">
        <v>27.89</v>
      </c>
      <c r="N917" s="68"/>
      <c r="O917" s="255">
        <f t="shared" si="201"/>
        <v>27.89</v>
      </c>
      <c r="P917" s="68"/>
      <c r="Q917" s="68"/>
      <c r="R917" s="255"/>
      <c r="S917" s="540" t="s">
        <v>1242</v>
      </c>
      <c r="T917" s="540"/>
    </row>
    <row r="918" spans="1:20" s="401" customFormat="1" ht="24.75" customHeight="1">
      <c r="A918" s="99" t="s">
        <v>840</v>
      </c>
      <c r="B918" s="100"/>
      <c r="C918" s="232" t="s">
        <v>890</v>
      </c>
      <c r="D918" s="402" t="s">
        <v>893</v>
      </c>
      <c r="E918" s="403"/>
      <c r="F918" s="403">
        <v>14417</v>
      </c>
      <c r="G918" s="404"/>
      <c r="H918" s="404"/>
      <c r="I918" s="405"/>
      <c r="J918" s="406">
        <v>65.08</v>
      </c>
      <c r="K918" s="407"/>
      <c r="L918" s="280">
        <v>65.08</v>
      </c>
      <c r="M918" s="68">
        <v>65.08</v>
      </c>
      <c r="N918" s="68"/>
      <c r="O918" s="255">
        <f t="shared" si="201"/>
        <v>65.08</v>
      </c>
      <c r="P918" s="68"/>
      <c r="Q918" s="68"/>
      <c r="R918" s="255"/>
      <c r="S918" s="540" t="s">
        <v>1242</v>
      </c>
      <c r="T918" s="540"/>
    </row>
    <row r="919" spans="1:20" s="401" customFormat="1" ht="19.5" customHeight="1">
      <c r="A919" s="99" t="s">
        <v>840</v>
      </c>
      <c r="B919" s="100"/>
      <c r="C919" s="9" t="s">
        <v>65</v>
      </c>
      <c r="D919" s="402" t="s">
        <v>138</v>
      </c>
      <c r="E919" s="403" t="s">
        <v>76</v>
      </c>
      <c r="F919" s="403" t="s">
        <v>903</v>
      </c>
      <c r="G919" s="404">
        <v>39185</v>
      </c>
      <c r="H919" s="404">
        <v>39233</v>
      </c>
      <c r="I919" s="405" t="s">
        <v>61</v>
      </c>
      <c r="J919" s="406">
        <v>514</v>
      </c>
      <c r="K919" s="407">
        <v>0</v>
      </c>
      <c r="L919" s="280">
        <v>514</v>
      </c>
      <c r="M919" s="68">
        <v>514</v>
      </c>
      <c r="N919" s="68">
        <v>102.8</v>
      </c>
      <c r="O919" s="255">
        <f t="shared" si="201"/>
        <v>616.8</v>
      </c>
      <c r="P919" s="68"/>
      <c r="Q919" s="68"/>
      <c r="R919" s="255"/>
      <c r="S919" s="540" t="s">
        <v>1242</v>
      </c>
      <c r="T919" s="540"/>
    </row>
    <row r="920" spans="1:20" s="401" customFormat="1" ht="19.5" customHeight="1">
      <c r="A920" s="99" t="s">
        <v>840</v>
      </c>
      <c r="B920" s="100"/>
      <c r="C920" s="9" t="s">
        <v>65</v>
      </c>
      <c r="D920" s="402" t="s">
        <v>491</v>
      </c>
      <c r="E920" s="403" t="s">
        <v>69</v>
      </c>
      <c r="F920" s="403">
        <v>105077</v>
      </c>
      <c r="G920" s="404">
        <v>39123</v>
      </c>
      <c r="H920" s="404">
        <v>39151</v>
      </c>
      <c r="I920" s="405" t="s">
        <v>70</v>
      </c>
      <c r="J920" s="406">
        <v>57.4</v>
      </c>
      <c r="K920" s="407">
        <v>11.48</v>
      </c>
      <c r="L920" s="280">
        <v>68.88</v>
      </c>
      <c r="M920" s="68">
        <v>34.44</v>
      </c>
      <c r="N920" s="68">
        <v>6.888</v>
      </c>
      <c r="O920" s="255">
        <f t="shared" si="201"/>
        <v>41.327999999999996</v>
      </c>
      <c r="P920" s="68"/>
      <c r="Q920" s="68"/>
      <c r="R920" s="255"/>
      <c r="S920" s="540" t="s">
        <v>1242</v>
      </c>
      <c r="T920" s="540"/>
    </row>
    <row r="921" spans="1:20" s="401" customFormat="1" ht="19.5" customHeight="1">
      <c r="A921" s="99" t="s">
        <v>840</v>
      </c>
      <c r="B921" s="100"/>
      <c r="C921" s="9" t="s">
        <v>65</v>
      </c>
      <c r="D921" s="402" t="s">
        <v>491</v>
      </c>
      <c r="E921" s="403" t="s">
        <v>69</v>
      </c>
      <c r="F921" s="403">
        <v>155532</v>
      </c>
      <c r="G921" s="404">
        <v>39151</v>
      </c>
      <c r="H921" s="404">
        <v>39182</v>
      </c>
      <c r="I921" s="405" t="s">
        <v>70</v>
      </c>
      <c r="J921" s="406">
        <v>66.92</v>
      </c>
      <c r="K921" s="407">
        <v>13.384</v>
      </c>
      <c r="L921" s="280">
        <v>80.304</v>
      </c>
      <c r="M921" s="68">
        <v>40.152</v>
      </c>
      <c r="N921" s="68">
        <v>8.0304</v>
      </c>
      <c r="O921" s="255">
        <f t="shared" si="201"/>
        <v>48.1824</v>
      </c>
      <c r="P921" s="68"/>
      <c r="Q921" s="68"/>
      <c r="R921" s="255"/>
      <c r="S921" s="540" t="s">
        <v>1242</v>
      </c>
      <c r="T921" s="540"/>
    </row>
    <row r="922" spans="1:20" s="401" customFormat="1" ht="19.5" customHeight="1">
      <c r="A922" s="99" t="s">
        <v>840</v>
      </c>
      <c r="B922" s="100"/>
      <c r="C922" s="9" t="s">
        <v>65</v>
      </c>
      <c r="D922" s="402" t="s">
        <v>491</v>
      </c>
      <c r="E922" s="403" t="s">
        <v>69</v>
      </c>
      <c r="F922" s="403">
        <v>205991</v>
      </c>
      <c r="G922" s="404">
        <v>39180</v>
      </c>
      <c r="H922" s="404">
        <v>39210</v>
      </c>
      <c r="I922" s="405" t="s">
        <v>70</v>
      </c>
      <c r="J922" s="406">
        <v>68.04</v>
      </c>
      <c r="K922" s="407">
        <v>13.608000000000002</v>
      </c>
      <c r="L922" s="280">
        <v>81.64800000000001</v>
      </c>
      <c r="M922" s="68">
        <v>40.824000000000005</v>
      </c>
      <c r="N922" s="68">
        <v>8.164800000000001</v>
      </c>
      <c r="O922" s="255">
        <f t="shared" si="201"/>
        <v>48.988800000000005</v>
      </c>
      <c r="P922" s="68"/>
      <c r="Q922" s="68"/>
      <c r="R922" s="255"/>
      <c r="S922" s="540" t="s">
        <v>1242</v>
      </c>
      <c r="T922" s="540"/>
    </row>
    <row r="923" spans="1:20" s="401" customFormat="1" ht="19.5" customHeight="1">
      <c r="A923" s="99" t="s">
        <v>840</v>
      </c>
      <c r="B923" s="100"/>
      <c r="C923" s="9" t="s">
        <v>65</v>
      </c>
      <c r="D923" s="402" t="s">
        <v>491</v>
      </c>
      <c r="E923" s="403" t="s">
        <v>69</v>
      </c>
      <c r="F923" s="403">
        <v>257374</v>
      </c>
      <c r="G923" s="404">
        <v>39214</v>
      </c>
      <c r="H923" s="404">
        <v>39245</v>
      </c>
      <c r="I923" s="405" t="s">
        <v>70</v>
      </c>
      <c r="J923" s="406">
        <v>74.18</v>
      </c>
      <c r="K923" s="407">
        <v>14.836000000000002</v>
      </c>
      <c r="L923" s="280">
        <v>89.016</v>
      </c>
      <c r="M923" s="68">
        <v>44.508</v>
      </c>
      <c r="N923" s="68">
        <v>8.9016</v>
      </c>
      <c r="O923" s="255">
        <f t="shared" si="201"/>
        <v>53.409600000000005</v>
      </c>
      <c r="P923" s="68"/>
      <c r="Q923" s="68"/>
      <c r="R923" s="255"/>
      <c r="S923" s="540" t="s">
        <v>1242</v>
      </c>
      <c r="T923" s="540"/>
    </row>
    <row r="924" spans="1:20" s="401" customFormat="1" ht="19.5" customHeight="1">
      <c r="A924" s="99" t="s">
        <v>840</v>
      </c>
      <c r="B924" s="100"/>
      <c r="C924" s="9" t="s">
        <v>65</v>
      </c>
      <c r="D924" s="402" t="s">
        <v>491</v>
      </c>
      <c r="E924" s="403" t="s">
        <v>69</v>
      </c>
      <c r="F924" s="403">
        <v>307060</v>
      </c>
      <c r="G924" s="404">
        <v>39242</v>
      </c>
      <c r="H924" s="404">
        <v>39272</v>
      </c>
      <c r="I924" s="405" t="s">
        <v>70</v>
      </c>
      <c r="J924" s="406">
        <v>72.12</v>
      </c>
      <c r="K924" s="407">
        <v>14.424000000000001</v>
      </c>
      <c r="L924" s="280">
        <v>86.54400000000001</v>
      </c>
      <c r="M924" s="68">
        <v>43.272</v>
      </c>
      <c r="N924" s="68">
        <v>8.6544</v>
      </c>
      <c r="O924" s="255">
        <f t="shared" si="201"/>
        <v>51.9264</v>
      </c>
      <c r="P924" s="68"/>
      <c r="Q924" s="68"/>
      <c r="R924" s="255"/>
      <c r="S924" s="540" t="s">
        <v>1242</v>
      </c>
      <c r="T924" s="540"/>
    </row>
    <row r="925" spans="1:20" s="401" customFormat="1" ht="19.5" customHeight="1">
      <c r="A925" s="99" t="s">
        <v>840</v>
      </c>
      <c r="B925" s="100"/>
      <c r="C925" s="9" t="s">
        <v>65</v>
      </c>
      <c r="D925" s="402" t="s">
        <v>491</v>
      </c>
      <c r="E925" s="403" t="s">
        <v>69</v>
      </c>
      <c r="F925" s="403">
        <v>356899</v>
      </c>
      <c r="G925" s="404">
        <v>39270</v>
      </c>
      <c r="H925" s="404">
        <v>39301</v>
      </c>
      <c r="I925" s="405" t="s">
        <v>70</v>
      </c>
      <c r="J925" s="406">
        <v>61.62</v>
      </c>
      <c r="K925" s="407">
        <v>12.324</v>
      </c>
      <c r="L925" s="280">
        <v>73.944</v>
      </c>
      <c r="M925" s="68">
        <v>36.971999999999994</v>
      </c>
      <c r="N925" s="68">
        <v>7.394399999999999</v>
      </c>
      <c r="O925" s="255">
        <f t="shared" si="201"/>
        <v>44.36639999999999</v>
      </c>
      <c r="P925" s="68"/>
      <c r="Q925" s="68"/>
      <c r="R925" s="255"/>
      <c r="S925" s="540" t="s">
        <v>1242</v>
      </c>
      <c r="T925" s="540"/>
    </row>
    <row r="926" spans="1:20" s="401" customFormat="1" ht="19.5" customHeight="1">
      <c r="A926" s="99" t="s">
        <v>840</v>
      </c>
      <c r="B926" s="100"/>
      <c r="C926" s="9" t="s">
        <v>65</v>
      </c>
      <c r="D926" s="402" t="s">
        <v>72</v>
      </c>
      <c r="E926" s="403" t="s">
        <v>73</v>
      </c>
      <c r="F926" s="403" t="s">
        <v>74</v>
      </c>
      <c r="G926" s="404">
        <v>39157</v>
      </c>
      <c r="H926" s="404">
        <v>39177</v>
      </c>
      <c r="I926" s="405" t="s">
        <v>70</v>
      </c>
      <c r="J926" s="406">
        <v>229.08</v>
      </c>
      <c r="K926" s="407">
        <v>45.816</v>
      </c>
      <c r="L926" s="280">
        <v>274.896</v>
      </c>
      <c r="M926" s="68">
        <v>137.448</v>
      </c>
      <c r="N926" s="68">
        <v>6.8724</v>
      </c>
      <c r="O926" s="255">
        <f t="shared" si="201"/>
        <v>144.3204</v>
      </c>
      <c r="P926" s="68"/>
      <c r="Q926" s="68"/>
      <c r="R926" s="255"/>
      <c r="S926" s="540" t="s">
        <v>1242</v>
      </c>
      <c r="T926" s="540"/>
    </row>
    <row r="927" spans="1:20" s="401" customFormat="1" ht="19.5" customHeight="1">
      <c r="A927" s="99" t="s">
        <v>840</v>
      </c>
      <c r="B927" s="100"/>
      <c r="C927" s="9" t="s">
        <v>65</v>
      </c>
      <c r="D927" s="402" t="s">
        <v>72</v>
      </c>
      <c r="E927" s="403" t="s">
        <v>73</v>
      </c>
      <c r="F927" s="403" t="s">
        <v>904</v>
      </c>
      <c r="G927" s="404">
        <v>39218</v>
      </c>
      <c r="H927" s="404">
        <v>39238</v>
      </c>
      <c r="I927" s="405" t="s">
        <v>70</v>
      </c>
      <c r="J927" s="406">
        <v>258.16</v>
      </c>
      <c r="K927" s="407">
        <v>51.632000000000005</v>
      </c>
      <c r="L927" s="280">
        <v>309.79200000000003</v>
      </c>
      <c r="M927" s="68">
        <v>154.89600000000002</v>
      </c>
      <c r="N927" s="68">
        <v>7.744800000000001</v>
      </c>
      <c r="O927" s="255">
        <f t="shared" si="201"/>
        <v>162.6408</v>
      </c>
      <c r="P927" s="68"/>
      <c r="Q927" s="68"/>
      <c r="R927" s="255"/>
      <c r="S927" s="540" t="s">
        <v>1242</v>
      </c>
      <c r="T927" s="540"/>
    </row>
    <row r="928" spans="1:20" s="401" customFormat="1" ht="19.5" customHeight="1">
      <c r="A928" s="99" t="s">
        <v>840</v>
      </c>
      <c r="B928" s="100"/>
      <c r="C928" s="9" t="s">
        <v>65</v>
      </c>
      <c r="D928" s="402" t="s">
        <v>72</v>
      </c>
      <c r="E928" s="403" t="s">
        <v>73</v>
      </c>
      <c r="F928" s="403" t="s">
        <v>489</v>
      </c>
      <c r="G928" s="404">
        <v>39271</v>
      </c>
      <c r="H928" s="404">
        <v>39291</v>
      </c>
      <c r="I928" s="405" t="s">
        <v>70</v>
      </c>
      <c r="J928" s="406">
        <v>253.62</v>
      </c>
      <c r="K928" s="407">
        <v>50.724000000000004</v>
      </c>
      <c r="L928" s="280">
        <v>304.344</v>
      </c>
      <c r="M928" s="68">
        <v>152.172</v>
      </c>
      <c r="N928" s="68">
        <v>7.6086</v>
      </c>
      <c r="O928" s="255">
        <f t="shared" si="201"/>
        <v>159.7806</v>
      </c>
      <c r="P928" s="68"/>
      <c r="Q928" s="68"/>
      <c r="R928" s="255"/>
      <c r="S928" s="540" t="s">
        <v>1242</v>
      </c>
      <c r="T928" s="540"/>
    </row>
    <row r="929" spans="1:20" s="401" customFormat="1" ht="19.5" customHeight="1">
      <c r="A929" s="99" t="s">
        <v>840</v>
      </c>
      <c r="B929" s="100"/>
      <c r="C929" s="9" t="s">
        <v>65</v>
      </c>
      <c r="D929" s="402" t="s">
        <v>72</v>
      </c>
      <c r="E929" s="403" t="s">
        <v>73</v>
      </c>
      <c r="F929" s="403" t="s">
        <v>490</v>
      </c>
      <c r="G929" s="404">
        <v>39274</v>
      </c>
      <c r="H929" s="404">
        <v>39294</v>
      </c>
      <c r="I929" s="405" t="s">
        <v>70</v>
      </c>
      <c r="J929" s="406">
        <v>892.44</v>
      </c>
      <c r="K929" s="407">
        <v>178.48800000000003</v>
      </c>
      <c r="L929" s="280">
        <v>1070.928</v>
      </c>
      <c r="M929" s="68">
        <v>535.464</v>
      </c>
      <c r="N929" s="68">
        <v>26.773200000000003</v>
      </c>
      <c r="O929" s="255">
        <f t="shared" si="201"/>
        <v>562.2372</v>
      </c>
      <c r="P929" s="68"/>
      <c r="Q929" s="68"/>
      <c r="R929" s="255"/>
      <c r="S929" s="540" t="s">
        <v>1242</v>
      </c>
      <c r="T929" s="540"/>
    </row>
    <row r="930" spans="1:20" s="401" customFormat="1" ht="19.5" customHeight="1">
      <c r="A930" s="99" t="s">
        <v>840</v>
      </c>
      <c r="B930" s="100"/>
      <c r="C930" s="9" t="s">
        <v>65</v>
      </c>
      <c r="D930" s="402" t="s">
        <v>486</v>
      </c>
      <c r="E930" s="403" t="s">
        <v>816</v>
      </c>
      <c r="F930" s="403" t="s">
        <v>905</v>
      </c>
      <c r="G930" s="404">
        <v>39114</v>
      </c>
      <c r="H930" s="404">
        <v>39148</v>
      </c>
      <c r="I930" s="405" t="s">
        <v>82</v>
      </c>
      <c r="J930" s="406">
        <v>337.41</v>
      </c>
      <c r="K930" s="407">
        <v>67.48200000000001</v>
      </c>
      <c r="L930" s="280">
        <v>404.89200000000005</v>
      </c>
      <c r="M930" s="68">
        <v>202.446</v>
      </c>
      <c r="N930" s="68">
        <v>10.122300000000001</v>
      </c>
      <c r="O930" s="255">
        <f t="shared" si="201"/>
        <v>212.5683</v>
      </c>
      <c r="P930" s="68"/>
      <c r="Q930" s="68"/>
      <c r="R930" s="255"/>
      <c r="S930" s="540" t="s">
        <v>1242</v>
      </c>
      <c r="T930" s="540"/>
    </row>
    <row r="931" spans="1:20" s="401" customFormat="1" ht="19.5" customHeight="1">
      <c r="A931" s="99" t="s">
        <v>840</v>
      </c>
      <c r="B931" s="100"/>
      <c r="C931" s="9" t="s">
        <v>65</v>
      </c>
      <c r="D931" s="402" t="s">
        <v>486</v>
      </c>
      <c r="E931" s="403" t="s">
        <v>816</v>
      </c>
      <c r="F931" s="403" t="s">
        <v>906</v>
      </c>
      <c r="G931" s="404">
        <v>39142</v>
      </c>
      <c r="H931" s="404">
        <v>39168</v>
      </c>
      <c r="I931" s="405" t="s">
        <v>78</v>
      </c>
      <c r="J931" s="406">
        <v>306.72</v>
      </c>
      <c r="K931" s="407">
        <v>61.34400000000001</v>
      </c>
      <c r="L931" s="280">
        <v>368.064</v>
      </c>
      <c r="M931" s="68">
        <v>184.032</v>
      </c>
      <c r="N931" s="68">
        <v>9.201600000000001</v>
      </c>
      <c r="O931" s="255">
        <f t="shared" si="201"/>
        <v>193.23360000000002</v>
      </c>
      <c r="P931" s="68"/>
      <c r="Q931" s="68"/>
      <c r="R931" s="255"/>
      <c r="S931" s="540" t="s">
        <v>1242</v>
      </c>
      <c r="T931" s="540"/>
    </row>
    <row r="932" spans="1:20" s="401" customFormat="1" ht="19.5" customHeight="1">
      <c r="A932" s="99" t="s">
        <v>840</v>
      </c>
      <c r="B932" s="100"/>
      <c r="C932" s="9" t="s">
        <v>65</v>
      </c>
      <c r="D932" s="402" t="s">
        <v>486</v>
      </c>
      <c r="E932" s="403" t="s">
        <v>816</v>
      </c>
      <c r="F932" s="403" t="s">
        <v>907</v>
      </c>
      <c r="G932" s="404">
        <v>39173</v>
      </c>
      <c r="H932" s="404">
        <v>39202</v>
      </c>
      <c r="I932" s="405" t="s">
        <v>78</v>
      </c>
      <c r="J932" s="406">
        <v>337.41</v>
      </c>
      <c r="K932" s="407">
        <v>67.48200000000001</v>
      </c>
      <c r="L932" s="280">
        <v>404.89200000000005</v>
      </c>
      <c r="M932" s="68">
        <v>202.446</v>
      </c>
      <c r="N932" s="68">
        <v>10.122300000000001</v>
      </c>
      <c r="O932" s="255">
        <f t="shared" si="201"/>
        <v>212.5683</v>
      </c>
      <c r="P932" s="68"/>
      <c r="Q932" s="68"/>
      <c r="R932" s="255"/>
      <c r="S932" s="540" t="s">
        <v>1242</v>
      </c>
      <c r="T932" s="540"/>
    </row>
    <row r="933" spans="1:20" s="401" customFormat="1" ht="19.5" customHeight="1">
      <c r="A933" s="99" t="s">
        <v>840</v>
      </c>
      <c r="B933" s="100"/>
      <c r="C933" s="9" t="s">
        <v>65</v>
      </c>
      <c r="D933" s="402" t="s">
        <v>486</v>
      </c>
      <c r="E933" s="403" t="s">
        <v>816</v>
      </c>
      <c r="F933" s="403" t="s">
        <v>908</v>
      </c>
      <c r="G933" s="404">
        <v>39203</v>
      </c>
      <c r="H933" s="404">
        <v>39220</v>
      </c>
      <c r="I933" s="405" t="s">
        <v>78</v>
      </c>
      <c r="J933" s="406">
        <v>294.57</v>
      </c>
      <c r="K933" s="407">
        <v>58.914</v>
      </c>
      <c r="L933" s="280">
        <v>353.484</v>
      </c>
      <c r="M933" s="68">
        <v>176.742</v>
      </c>
      <c r="N933" s="68">
        <v>8.8371</v>
      </c>
      <c r="O933" s="255">
        <f t="shared" si="201"/>
        <v>185.57909999999998</v>
      </c>
      <c r="P933" s="68"/>
      <c r="Q933" s="68"/>
      <c r="R933" s="255"/>
      <c r="S933" s="540" t="s">
        <v>1242</v>
      </c>
      <c r="T933" s="540"/>
    </row>
    <row r="934" spans="1:20" s="401" customFormat="1" ht="19.5" customHeight="1">
      <c r="A934" s="99" t="s">
        <v>840</v>
      </c>
      <c r="B934" s="100"/>
      <c r="C934" s="9" t="s">
        <v>65</v>
      </c>
      <c r="D934" s="402" t="s">
        <v>486</v>
      </c>
      <c r="E934" s="403" t="s">
        <v>816</v>
      </c>
      <c r="F934" s="403">
        <v>374</v>
      </c>
      <c r="G934" s="404">
        <v>39234</v>
      </c>
      <c r="H934" s="404">
        <v>39245</v>
      </c>
      <c r="I934" s="405" t="s">
        <v>82</v>
      </c>
      <c r="J934" s="406">
        <v>322.02</v>
      </c>
      <c r="K934" s="407">
        <v>64.404</v>
      </c>
      <c r="L934" s="280">
        <v>386.424</v>
      </c>
      <c r="M934" s="68">
        <v>193.212</v>
      </c>
      <c r="N934" s="68">
        <v>9.660599999999999</v>
      </c>
      <c r="O934" s="255">
        <f t="shared" si="201"/>
        <v>202.87259999999998</v>
      </c>
      <c r="P934" s="68"/>
      <c r="Q934" s="68"/>
      <c r="R934" s="255"/>
      <c r="S934" s="540" t="s">
        <v>1242</v>
      </c>
      <c r="T934" s="540"/>
    </row>
    <row r="935" spans="1:20" s="401" customFormat="1" ht="19.5" customHeight="1">
      <c r="A935" s="99" t="s">
        <v>840</v>
      </c>
      <c r="B935" s="100"/>
      <c r="C935" s="9" t="s">
        <v>83</v>
      </c>
      <c r="D935" s="402" t="s">
        <v>912</v>
      </c>
      <c r="E935" s="403" t="s">
        <v>86</v>
      </c>
      <c r="F935" s="403"/>
      <c r="G935" s="404">
        <v>39114</v>
      </c>
      <c r="H935" s="404">
        <v>39118</v>
      </c>
      <c r="I935" s="405" t="s">
        <v>88</v>
      </c>
      <c r="J935" s="406">
        <v>587.96</v>
      </c>
      <c r="K935" s="407">
        <v>0</v>
      </c>
      <c r="L935" s="280">
        <v>587.96</v>
      </c>
      <c r="M935" s="68">
        <v>235.18400000000003</v>
      </c>
      <c r="N935" s="68">
        <v>0</v>
      </c>
      <c r="O935" s="255">
        <f t="shared" si="201"/>
        <v>235.18400000000003</v>
      </c>
      <c r="P935" s="68"/>
      <c r="Q935" s="68"/>
      <c r="R935" s="255"/>
      <c r="S935" s="540" t="s">
        <v>1242</v>
      </c>
      <c r="T935" s="540"/>
    </row>
    <row r="936" spans="1:20" s="401" customFormat="1" ht="19.5" customHeight="1">
      <c r="A936" s="99" t="s">
        <v>840</v>
      </c>
      <c r="B936" s="100"/>
      <c r="C936" s="9" t="s">
        <v>83</v>
      </c>
      <c r="D936" s="402" t="s">
        <v>913</v>
      </c>
      <c r="E936" s="403" t="s">
        <v>86</v>
      </c>
      <c r="F936" s="403"/>
      <c r="G936" s="404">
        <v>39142</v>
      </c>
      <c r="H936" s="404">
        <v>39145</v>
      </c>
      <c r="I936" s="405" t="s">
        <v>88</v>
      </c>
      <c r="J936" s="406">
        <v>587.96</v>
      </c>
      <c r="K936" s="407">
        <v>0</v>
      </c>
      <c r="L936" s="280">
        <v>587.96</v>
      </c>
      <c r="M936" s="68">
        <v>235.18400000000003</v>
      </c>
      <c r="N936" s="68">
        <v>0</v>
      </c>
      <c r="O936" s="255">
        <f t="shared" si="201"/>
        <v>235.18400000000003</v>
      </c>
      <c r="P936" s="68"/>
      <c r="Q936" s="68"/>
      <c r="R936" s="255"/>
      <c r="S936" s="540" t="s">
        <v>1242</v>
      </c>
      <c r="T936" s="540"/>
    </row>
    <row r="937" spans="1:20" s="401" customFormat="1" ht="19.5" customHeight="1">
      <c r="A937" s="99" t="s">
        <v>840</v>
      </c>
      <c r="B937" s="100"/>
      <c r="C937" s="9" t="s">
        <v>83</v>
      </c>
      <c r="D937" s="402" t="s">
        <v>914</v>
      </c>
      <c r="E937" s="403" t="s">
        <v>86</v>
      </c>
      <c r="F937" s="403" t="s">
        <v>915</v>
      </c>
      <c r="G937" s="404">
        <v>39173</v>
      </c>
      <c r="H937" s="404">
        <v>39174</v>
      </c>
      <c r="I937" s="405" t="s">
        <v>88</v>
      </c>
      <c r="J937" s="406">
        <v>694.86</v>
      </c>
      <c r="K937" s="407">
        <v>0</v>
      </c>
      <c r="L937" s="280">
        <v>694.86</v>
      </c>
      <c r="M937" s="68">
        <v>277.944</v>
      </c>
      <c r="N937" s="68">
        <v>0</v>
      </c>
      <c r="O937" s="255">
        <f t="shared" si="201"/>
        <v>277.944</v>
      </c>
      <c r="P937" s="68"/>
      <c r="Q937" s="68"/>
      <c r="R937" s="255"/>
      <c r="S937" s="540" t="s">
        <v>1242</v>
      </c>
      <c r="T937" s="540"/>
    </row>
    <row r="938" spans="1:20" s="401" customFormat="1" ht="19.5" customHeight="1">
      <c r="A938" s="99" t="s">
        <v>840</v>
      </c>
      <c r="B938" s="100"/>
      <c r="C938" s="9" t="s">
        <v>83</v>
      </c>
      <c r="D938" s="402" t="s">
        <v>916</v>
      </c>
      <c r="E938" s="403" t="s">
        <v>86</v>
      </c>
      <c r="F938" s="403" t="s">
        <v>917</v>
      </c>
      <c r="G938" s="404">
        <v>39203</v>
      </c>
      <c r="H938" s="404">
        <v>39205</v>
      </c>
      <c r="I938" s="405" t="s">
        <v>88</v>
      </c>
      <c r="J938" s="406">
        <v>591</v>
      </c>
      <c r="K938" s="407">
        <v>0</v>
      </c>
      <c r="L938" s="280">
        <v>591</v>
      </c>
      <c r="M938" s="68">
        <v>236.4</v>
      </c>
      <c r="N938" s="68">
        <v>0</v>
      </c>
      <c r="O938" s="255">
        <f t="shared" si="201"/>
        <v>236.4</v>
      </c>
      <c r="P938" s="68"/>
      <c r="Q938" s="68"/>
      <c r="R938" s="255"/>
      <c r="S938" s="540" t="s">
        <v>1242</v>
      </c>
      <c r="T938" s="540"/>
    </row>
    <row r="939" spans="1:20" s="401" customFormat="1" ht="19.5" customHeight="1">
      <c r="A939" s="99" t="s">
        <v>840</v>
      </c>
      <c r="B939" s="100"/>
      <c r="C939" s="9" t="s">
        <v>83</v>
      </c>
      <c r="D939" s="402" t="s">
        <v>918</v>
      </c>
      <c r="E939" s="403" t="s">
        <v>86</v>
      </c>
      <c r="F939" s="403" t="s">
        <v>919</v>
      </c>
      <c r="G939" s="404">
        <v>39234</v>
      </c>
      <c r="H939" s="404">
        <v>39237</v>
      </c>
      <c r="I939" s="405" t="s">
        <v>88</v>
      </c>
      <c r="J939" s="406">
        <v>591</v>
      </c>
      <c r="K939" s="407">
        <v>0</v>
      </c>
      <c r="L939" s="280">
        <v>591</v>
      </c>
      <c r="M939" s="68">
        <v>236.4</v>
      </c>
      <c r="N939" s="68">
        <v>0</v>
      </c>
      <c r="O939" s="255">
        <f t="shared" si="201"/>
        <v>236.4</v>
      </c>
      <c r="P939" s="68"/>
      <c r="Q939" s="68"/>
      <c r="R939" s="255"/>
      <c r="S939" s="540" t="s">
        <v>1242</v>
      </c>
      <c r="T939" s="540"/>
    </row>
    <row r="940" spans="1:20" s="401" customFormat="1" ht="19.5" customHeight="1">
      <c r="A940" s="99" t="s">
        <v>840</v>
      </c>
      <c r="B940" s="100"/>
      <c r="C940" s="9" t="s">
        <v>83</v>
      </c>
      <c r="D940" s="402" t="s">
        <v>920</v>
      </c>
      <c r="E940" s="403" t="s">
        <v>86</v>
      </c>
      <c r="F940" s="403" t="s">
        <v>921</v>
      </c>
      <c r="G940" s="404">
        <v>39264</v>
      </c>
      <c r="H940" s="404">
        <v>39265</v>
      </c>
      <c r="I940" s="405" t="s">
        <v>88</v>
      </c>
      <c r="J940" s="406">
        <v>581</v>
      </c>
      <c r="K940" s="407">
        <v>0</v>
      </c>
      <c r="L940" s="280">
        <v>581</v>
      </c>
      <c r="M940" s="68">
        <v>232.4</v>
      </c>
      <c r="N940" s="68">
        <v>0</v>
      </c>
      <c r="O940" s="255">
        <f t="shared" si="201"/>
        <v>232.4</v>
      </c>
      <c r="P940" s="68"/>
      <c r="Q940" s="68"/>
      <c r="R940" s="255"/>
      <c r="S940" s="540" t="s">
        <v>1242</v>
      </c>
      <c r="T940" s="540"/>
    </row>
    <row r="941" spans="1:20" s="401" customFormat="1" ht="19.5" customHeight="1">
      <c r="A941" s="99" t="s">
        <v>840</v>
      </c>
      <c r="B941" s="100"/>
      <c r="C941" s="9" t="s">
        <v>83</v>
      </c>
      <c r="D941" s="402" t="s">
        <v>922</v>
      </c>
      <c r="E941" s="403" t="s">
        <v>86</v>
      </c>
      <c r="F941" s="403" t="s">
        <v>923</v>
      </c>
      <c r="G941" s="404">
        <v>39295</v>
      </c>
      <c r="H941" s="404">
        <v>39295</v>
      </c>
      <c r="I941" s="405" t="s">
        <v>88</v>
      </c>
      <c r="J941" s="406">
        <v>591</v>
      </c>
      <c r="K941" s="407">
        <v>0</v>
      </c>
      <c r="L941" s="280">
        <v>591</v>
      </c>
      <c r="M941" s="68">
        <v>118.2</v>
      </c>
      <c r="N941" s="68">
        <v>0</v>
      </c>
      <c r="O941" s="255">
        <f t="shared" si="201"/>
        <v>118.2</v>
      </c>
      <c r="P941" s="68"/>
      <c r="Q941" s="68"/>
      <c r="R941" s="255"/>
      <c r="S941" s="540" t="s">
        <v>1242</v>
      </c>
      <c r="T941" s="540"/>
    </row>
    <row r="942" spans="1:20" s="401" customFormat="1" ht="19.5" customHeight="1">
      <c r="A942" s="99" t="s">
        <v>840</v>
      </c>
      <c r="B942" s="100"/>
      <c r="C942" s="9" t="s">
        <v>83</v>
      </c>
      <c r="D942" s="402" t="s">
        <v>924</v>
      </c>
      <c r="E942" s="403" t="s">
        <v>86</v>
      </c>
      <c r="F942" s="403" t="s">
        <v>925</v>
      </c>
      <c r="G942" s="404">
        <v>39326</v>
      </c>
      <c r="H942" s="404">
        <v>39331</v>
      </c>
      <c r="I942" s="405" t="s">
        <v>88</v>
      </c>
      <c r="J942" s="406">
        <v>591</v>
      </c>
      <c r="K942" s="407">
        <v>0</v>
      </c>
      <c r="L942" s="280">
        <v>591</v>
      </c>
      <c r="M942" s="68">
        <v>236.4</v>
      </c>
      <c r="N942" s="68">
        <v>0</v>
      </c>
      <c r="O942" s="255">
        <f t="shared" si="201"/>
        <v>236.4</v>
      </c>
      <c r="P942" s="68"/>
      <c r="Q942" s="68"/>
      <c r="R942" s="255"/>
      <c r="S942" s="540" t="s">
        <v>1242</v>
      </c>
      <c r="T942" s="540"/>
    </row>
    <row r="943" spans="1:20" s="401" customFormat="1" ht="19.5" customHeight="1">
      <c r="A943" s="99" t="s">
        <v>840</v>
      </c>
      <c r="B943" s="100"/>
      <c r="C943" s="9" t="s">
        <v>83</v>
      </c>
      <c r="D943" s="402" t="s">
        <v>499</v>
      </c>
      <c r="E943" s="403" t="s">
        <v>73</v>
      </c>
      <c r="F943" s="403" t="s">
        <v>926</v>
      </c>
      <c r="G943" s="404">
        <v>39127</v>
      </c>
      <c r="H943" s="404">
        <v>39147</v>
      </c>
      <c r="I943" s="405" t="s">
        <v>70</v>
      </c>
      <c r="J943" s="406">
        <v>59.69</v>
      </c>
      <c r="K943" s="407">
        <v>11.938</v>
      </c>
      <c r="L943" s="280">
        <v>71.628</v>
      </c>
      <c r="M943" s="68">
        <v>23.876</v>
      </c>
      <c r="N943" s="68">
        <v>4.775200000000001</v>
      </c>
      <c r="O943" s="255">
        <f t="shared" si="201"/>
        <v>28.651200000000003</v>
      </c>
      <c r="P943" s="68"/>
      <c r="Q943" s="68"/>
      <c r="R943" s="255"/>
      <c r="S943" s="540" t="s">
        <v>1242</v>
      </c>
      <c r="T943" s="540"/>
    </row>
    <row r="944" spans="1:20" s="401" customFormat="1" ht="19.5" customHeight="1">
      <c r="A944" s="99" t="s">
        <v>840</v>
      </c>
      <c r="B944" s="100"/>
      <c r="C944" s="9" t="s">
        <v>83</v>
      </c>
      <c r="D944" s="402" t="s">
        <v>499</v>
      </c>
      <c r="E944" s="403" t="s">
        <v>73</v>
      </c>
      <c r="F944" s="403" t="s">
        <v>927</v>
      </c>
      <c r="G944" s="404">
        <v>39186</v>
      </c>
      <c r="H944" s="404">
        <v>39206</v>
      </c>
      <c r="I944" s="405" t="s">
        <v>70</v>
      </c>
      <c r="J944" s="406">
        <v>51.87</v>
      </c>
      <c r="K944" s="407">
        <v>10.374000000000002</v>
      </c>
      <c r="L944" s="280">
        <v>62.24400000000001</v>
      </c>
      <c r="M944" s="68">
        <v>20.748000000000005</v>
      </c>
      <c r="N944" s="68">
        <v>4.149600000000001</v>
      </c>
      <c r="O944" s="255">
        <f t="shared" si="201"/>
        <v>24.897600000000004</v>
      </c>
      <c r="P944" s="68"/>
      <c r="Q944" s="68"/>
      <c r="R944" s="255"/>
      <c r="S944" s="540" t="s">
        <v>1242</v>
      </c>
      <c r="T944" s="540"/>
    </row>
    <row r="945" spans="1:20" s="401" customFormat="1" ht="19.5" customHeight="1">
      <c r="A945" s="99" t="s">
        <v>840</v>
      </c>
      <c r="B945" s="100"/>
      <c r="C945" s="9" t="s">
        <v>83</v>
      </c>
      <c r="D945" s="402" t="s">
        <v>499</v>
      </c>
      <c r="E945" s="403" t="s">
        <v>73</v>
      </c>
      <c r="F945" s="403" t="s">
        <v>928</v>
      </c>
      <c r="G945" s="404">
        <v>39247</v>
      </c>
      <c r="H945" s="404">
        <v>39267</v>
      </c>
      <c r="I945" s="405" t="s">
        <v>70</v>
      </c>
      <c r="J945" s="406">
        <v>180.88</v>
      </c>
      <c r="K945" s="407">
        <v>36.176</v>
      </c>
      <c r="L945" s="280">
        <v>217.05599999999998</v>
      </c>
      <c r="M945" s="68">
        <v>72.352</v>
      </c>
      <c r="N945" s="68">
        <v>14.470400000000001</v>
      </c>
      <c r="O945" s="255">
        <f t="shared" si="201"/>
        <v>86.8224</v>
      </c>
      <c r="P945" s="68"/>
      <c r="Q945" s="68"/>
      <c r="R945" s="255"/>
      <c r="S945" s="540" t="s">
        <v>1242</v>
      </c>
      <c r="T945" s="540"/>
    </row>
    <row r="946" spans="1:20" s="401" customFormat="1" ht="19.5" customHeight="1">
      <c r="A946" s="99" t="s">
        <v>840</v>
      </c>
      <c r="B946" s="100"/>
      <c r="C946" s="9" t="s">
        <v>83</v>
      </c>
      <c r="D946" s="402" t="s">
        <v>499</v>
      </c>
      <c r="E946" s="403" t="s">
        <v>73</v>
      </c>
      <c r="F946" s="403" t="s">
        <v>929</v>
      </c>
      <c r="G946" s="404">
        <v>39308</v>
      </c>
      <c r="H946" s="404">
        <v>39328</v>
      </c>
      <c r="I946" s="405" t="s">
        <v>70</v>
      </c>
      <c r="J946" s="406">
        <v>71</v>
      </c>
      <c r="K946" s="407">
        <v>14.2</v>
      </c>
      <c r="L946" s="280">
        <v>85.2</v>
      </c>
      <c r="M946" s="68">
        <v>14.2</v>
      </c>
      <c r="N946" s="68">
        <v>2.84</v>
      </c>
      <c r="O946" s="255">
        <f t="shared" si="201"/>
        <v>17.04</v>
      </c>
      <c r="P946" s="68"/>
      <c r="Q946" s="68"/>
      <c r="R946" s="255"/>
      <c r="S946" s="540" t="s">
        <v>1242</v>
      </c>
      <c r="T946" s="540"/>
    </row>
    <row r="947" spans="1:20" s="401" customFormat="1" ht="19.5" customHeight="1">
      <c r="A947" s="99" t="s">
        <v>840</v>
      </c>
      <c r="B947" s="100"/>
      <c r="C947" s="9" t="s">
        <v>83</v>
      </c>
      <c r="D947" s="402" t="s">
        <v>930</v>
      </c>
      <c r="E947" s="403" t="s">
        <v>99</v>
      </c>
      <c r="F947" s="403" t="s">
        <v>931</v>
      </c>
      <c r="G947" s="404">
        <v>39119</v>
      </c>
      <c r="H947" s="404">
        <v>39154</v>
      </c>
      <c r="I947" s="405" t="s">
        <v>70</v>
      </c>
      <c r="J947" s="406">
        <v>201.1</v>
      </c>
      <c r="K947" s="407">
        <v>40.22</v>
      </c>
      <c r="L947" s="280">
        <v>241.32</v>
      </c>
      <c r="M947" s="68">
        <v>80.44</v>
      </c>
      <c r="N947" s="68">
        <v>16.088</v>
      </c>
      <c r="O947" s="255">
        <f t="shared" si="201"/>
        <v>96.52799999999999</v>
      </c>
      <c r="P947" s="68"/>
      <c r="Q947" s="68"/>
      <c r="R947" s="255"/>
      <c r="S947" s="540" t="s">
        <v>1242</v>
      </c>
      <c r="T947" s="540"/>
    </row>
    <row r="948" spans="1:20" s="401" customFormat="1" ht="19.5" customHeight="1">
      <c r="A948" s="99" t="s">
        <v>840</v>
      </c>
      <c r="B948" s="100"/>
      <c r="C948" s="9" t="s">
        <v>83</v>
      </c>
      <c r="D948" s="402" t="s">
        <v>932</v>
      </c>
      <c r="E948" s="403" t="s">
        <v>99</v>
      </c>
      <c r="F948" s="403" t="s">
        <v>933</v>
      </c>
      <c r="G948" s="404">
        <v>39177</v>
      </c>
      <c r="H948" s="404">
        <v>39216</v>
      </c>
      <c r="I948" s="405" t="s">
        <v>70</v>
      </c>
      <c r="J948" s="406">
        <v>201.59</v>
      </c>
      <c r="K948" s="407">
        <v>40.318000000000005</v>
      </c>
      <c r="L948" s="280">
        <v>241.90800000000002</v>
      </c>
      <c r="M948" s="68">
        <v>80.63600000000001</v>
      </c>
      <c r="N948" s="68">
        <v>16.127200000000002</v>
      </c>
      <c r="O948" s="255">
        <f aca="true" t="shared" si="202" ref="O948:O959">+N948+M948</f>
        <v>96.76320000000001</v>
      </c>
      <c r="P948" s="68"/>
      <c r="Q948" s="68"/>
      <c r="R948" s="255"/>
      <c r="S948" s="540" t="s">
        <v>1242</v>
      </c>
      <c r="T948" s="540"/>
    </row>
    <row r="949" spans="1:20" s="401" customFormat="1" ht="19.5" customHeight="1">
      <c r="A949" s="99" t="s">
        <v>840</v>
      </c>
      <c r="B949" s="100"/>
      <c r="C949" s="9" t="s">
        <v>83</v>
      </c>
      <c r="D949" s="402" t="s">
        <v>934</v>
      </c>
      <c r="E949" s="403" t="s">
        <v>99</v>
      </c>
      <c r="F949" s="403" t="s">
        <v>935</v>
      </c>
      <c r="G949" s="404">
        <v>39239</v>
      </c>
      <c r="H949" s="404">
        <v>39276</v>
      </c>
      <c r="I949" s="405" t="s">
        <v>70</v>
      </c>
      <c r="J949" s="406">
        <v>190.86</v>
      </c>
      <c r="K949" s="407">
        <v>38.172</v>
      </c>
      <c r="L949" s="280">
        <v>229</v>
      </c>
      <c r="M949" s="68">
        <v>76.344</v>
      </c>
      <c r="N949" s="68">
        <v>15.268799999999999</v>
      </c>
      <c r="O949" s="255">
        <f t="shared" si="202"/>
        <v>91.6128</v>
      </c>
      <c r="P949" s="68"/>
      <c r="Q949" s="68"/>
      <c r="R949" s="255"/>
      <c r="S949" s="540" t="s">
        <v>1242</v>
      </c>
      <c r="T949" s="540"/>
    </row>
    <row r="950" spans="1:20" s="401" customFormat="1" ht="19.5" customHeight="1">
      <c r="A950" s="99" t="s">
        <v>840</v>
      </c>
      <c r="B950" s="100"/>
      <c r="C950" s="9" t="s">
        <v>83</v>
      </c>
      <c r="D950" s="402" t="s">
        <v>936</v>
      </c>
      <c r="E950" s="403" t="s">
        <v>99</v>
      </c>
      <c r="F950" s="403" t="s">
        <v>937</v>
      </c>
      <c r="G950" s="404">
        <v>39300</v>
      </c>
      <c r="H950" s="404">
        <v>39338</v>
      </c>
      <c r="I950" s="405" t="s">
        <v>70</v>
      </c>
      <c r="J950" s="406">
        <v>209.06</v>
      </c>
      <c r="K950" s="407">
        <v>41.812000000000005</v>
      </c>
      <c r="L950" s="280">
        <v>250.872</v>
      </c>
      <c r="M950" s="68">
        <v>83.62400000000001</v>
      </c>
      <c r="N950" s="68">
        <v>16.724800000000002</v>
      </c>
      <c r="O950" s="255">
        <f t="shared" si="202"/>
        <v>100.34880000000001</v>
      </c>
      <c r="P950" s="68"/>
      <c r="Q950" s="68"/>
      <c r="R950" s="255"/>
      <c r="S950" s="540" t="s">
        <v>1242</v>
      </c>
      <c r="T950" s="540"/>
    </row>
    <row r="951" spans="1:20" s="401" customFormat="1" ht="19.5" customHeight="1">
      <c r="A951" s="99" t="s">
        <v>840</v>
      </c>
      <c r="B951" s="100"/>
      <c r="C951" s="9" t="s">
        <v>83</v>
      </c>
      <c r="D951" s="402" t="s">
        <v>930</v>
      </c>
      <c r="E951" s="403">
        <v>3</v>
      </c>
      <c r="F951" s="403">
        <v>780060817</v>
      </c>
      <c r="G951" s="404">
        <v>39097</v>
      </c>
      <c r="H951" s="404">
        <v>39127</v>
      </c>
      <c r="I951" s="405" t="s">
        <v>70</v>
      </c>
      <c r="J951" s="406">
        <v>69.91</v>
      </c>
      <c r="K951" s="407">
        <v>11.4</v>
      </c>
      <c r="L951" s="280">
        <v>81.31</v>
      </c>
      <c r="M951" s="68">
        <v>27.964</v>
      </c>
      <c r="N951" s="68">
        <v>5.5928</v>
      </c>
      <c r="O951" s="255">
        <f t="shared" si="202"/>
        <v>33.556799999999996</v>
      </c>
      <c r="P951" s="68"/>
      <c r="Q951" s="68"/>
      <c r="R951" s="255"/>
      <c r="S951" s="540" t="s">
        <v>1242</v>
      </c>
      <c r="T951" s="540"/>
    </row>
    <row r="952" spans="1:20" s="401" customFormat="1" ht="19.5" customHeight="1">
      <c r="A952" s="99" t="s">
        <v>840</v>
      </c>
      <c r="B952" s="100"/>
      <c r="C952" s="9" t="s">
        <v>83</v>
      </c>
      <c r="D952" s="402" t="s">
        <v>932</v>
      </c>
      <c r="E952" s="403">
        <v>3</v>
      </c>
      <c r="F952" s="403">
        <v>780411222</v>
      </c>
      <c r="G952" s="404">
        <v>39128</v>
      </c>
      <c r="H952" s="404">
        <v>39158</v>
      </c>
      <c r="I952" s="405" t="s">
        <v>70</v>
      </c>
      <c r="J952" s="406">
        <v>69.91</v>
      </c>
      <c r="K952" s="407">
        <v>11.4</v>
      </c>
      <c r="L952" s="280">
        <v>81.31</v>
      </c>
      <c r="M952" s="68">
        <v>27.964</v>
      </c>
      <c r="N952" s="68">
        <v>5.5928</v>
      </c>
      <c r="O952" s="255">
        <f t="shared" si="202"/>
        <v>33.556799999999996</v>
      </c>
      <c r="P952" s="68"/>
      <c r="Q952" s="68"/>
      <c r="R952" s="255"/>
      <c r="S952" s="540" t="s">
        <v>1242</v>
      </c>
      <c r="T952" s="540"/>
    </row>
    <row r="953" spans="1:20" s="401" customFormat="1" ht="19.5" customHeight="1">
      <c r="A953" s="99" t="s">
        <v>840</v>
      </c>
      <c r="B953" s="100"/>
      <c r="C953" s="9" t="s">
        <v>83</v>
      </c>
      <c r="D953" s="402" t="s">
        <v>934</v>
      </c>
      <c r="E953" s="403">
        <v>3</v>
      </c>
      <c r="F953" s="403">
        <v>780635838</v>
      </c>
      <c r="G953" s="404">
        <v>39156</v>
      </c>
      <c r="H953" s="404">
        <v>39186</v>
      </c>
      <c r="I953" s="405" t="s">
        <v>70</v>
      </c>
      <c r="J953" s="406">
        <v>69.91</v>
      </c>
      <c r="K953" s="407">
        <v>11.4</v>
      </c>
      <c r="L953" s="280">
        <v>81.31</v>
      </c>
      <c r="M953" s="68">
        <v>27.964</v>
      </c>
      <c r="N953" s="68">
        <v>5.5928</v>
      </c>
      <c r="O953" s="255">
        <f t="shared" si="202"/>
        <v>33.556799999999996</v>
      </c>
      <c r="P953" s="68"/>
      <c r="Q953" s="68"/>
      <c r="R953" s="255"/>
      <c r="S953" s="540" t="s">
        <v>1242</v>
      </c>
      <c r="T953" s="540"/>
    </row>
    <row r="954" spans="1:20" s="401" customFormat="1" ht="19.5" customHeight="1">
      <c r="A954" s="99" t="s">
        <v>840</v>
      </c>
      <c r="B954" s="100"/>
      <c r="C954" s="9" t="s">
        <v>83</v>
      </c>
      <c r="D954" s="402" t="s">
        <v>936</v>
      </c>
      <c r="E954" s="403">
        <v>3</v>
      </c>
      <c r="F954" s="403">
        <v>780811635</v>
      </c>
      <c r="G954" s="404">
        <v>39187</v>
      </c>
      <c r="H954" s="404">
        <v>39217</v>
      </c>
      <c r="I954" s="405" t="s">
        <v>70</v>
      </c>
      <c r="J954" s="406">
        <v>71.89</v>
      </c>
      <c r="K954" s="407">
        <v>11.72</v>
      </c>
      <c r="L954" s="280">
        <v>83.61</v>
      </c>
      <c r="M954" s="68">
        <v>28.756</v>
      </c>
      <c r="N954" s="68">
        <v>5.751200000000001</v>
      </c>
      <c r="O954" s="255">
        <f t="shared" si="202"/>
        <v>34.5072</v>
      </c>
      <c r="P954" s="68"/>
      <c r="Q954" s="68"/>
      <c r="R954" s="255"/>
      <c r="S954" s="540" t="s">
        <v>1242</v>
      </c>
      <c r="T954" s="540"/>
    </row>
    <row r="955" spans="1:20" s="401" customFormat="1" ht="19.5" customHeight="1">
      <c r="A955" s="99" t="s">
        <v>840</v>
      </c>
      <c r="B955" s="100"/>
      <c r="C955" s="9" t="s">
        <v>83</v>
      </c>
      <c r="D955" s="402" t="s">
        <v>938</v>
      </c>
      <c r="E955" s="403">
        <v>3</v>
      </c>
      <c r="F955" s="403">
        <v>781162303</v>
      </c>
      <c r="G955" s="404">
        <v>39217</v>
      </c>
      <c r="H955" s="404">
        <v>39247</v>
      </c>
      <c r="I955" s="405" t="s">
        <v>70</v>
      </c>
      <c r="J955" s="406">
        <v>69.91</v>
      </c>
      <c r="K955" s="407">
        <v>11.4</v>
      </c>
      <c r="L955" s="280">
        <v>81.31</v>
      </c>
      <c r="M955" s="68">
        <v>27.964</v>
      </c>
      <c r="N955" s="68">
        <v>5.5928</v>
      </c>
      <c r="O955" s="255">
        <f t="shared" si="202"/>
        <v>33.556799999999996</v>
      </c>
      <c r="P955" s="68"/>
      <c r="Q955" s="68"/>
      <c r="R955" s="255"/>
      <c r="S955" s="540" t="s">
        <v>1242</v>
      </c>
      <c r="T955" s="540"/>
    </row>
    <row r="956" spans="1:20" s="401" customFormat="1" ht="19.5" customHeight="1">
      <c r="A956" s="99" t="s">
        <v>840</v>
      </c>
      <c r="B956" s="100"/>
      <c r="C956" s="9" t="s">
        <v>83</v>
      </c>
      <c r="D956" s="402" t="s">
        <v>939</v>
      </c>
      <c r="E956" s="403">
        <v>3</v>
      </c>
      <c r="F956" s="403">
        <v>781399542</v>
      </c>
      <c r="G956" s="404">
        <v>39248</v>
      </c>
      <c r="H956" s="404">
        <v>39278</v>
      </c>
      <c r="I956" s="405" t="s">
        <v>70</v>
      </c>
      <c r="J956" s="406">
        <v>69.91</v>
      </c>
      <c r="K956" s="407">
        <v>11.4</v>
      </c>
      <c r="L956" s="280">
        <v>81.31</v>
      </c>
      <c r="M956" s="68">
        <v>27.964</v>
      </c>
      <c r="N956" s="68">
        <v>5.5928</v>
      </c>
      <c r="O956" s="255">
        <f t="shared" si="202"/>
        <v>33.556799999999996</v>
      </c>
      <c r="P956" s="68"/>
      <c r="Q956" s="68"/>
      <c r="R956" s="255"/>
      <c r="S956" s="540" t="s">
        <v>1242</v>
      </c>
      <c r="T956" s="540"/>
    </row>
    <row r="957" spans="1:20" s="401" customFormat="1" ht="19.5" customHeight="1">
      <c r="A957" s="99" t="s">
        <v>840</v>
      </c>
      <c r="B957" s="100"/>
      <c r="C957" s="9" t="s">
        <v>83</v>
      </c>
      <c r="D957" s="402" t="s">
        <v>940</v>
      </c>
      <c r="E957" s="403">
        <v>3</v>
      </c>
      <c r="F957" s="403">
        <v>781646649</v>
      </c>
      <c r="G957" s="404">
        <v>39278</v>
      </c>
      <c r="H957" s="404">
        <v>39308</v>
      </c>
      <c r="I957" s="405" t="s">
        <v>70</v>
      </c>
      <c r="J957" s="406">
        <v>69.91</v>
      </c>
      <c r="K957" s="407">
        <v>11.4</v>
      </c>
      <c r="L957" s="280">
        <v>81.31</v>
      </c>
      <c r="M957" s="68">
        <v>13.982</v>
      </c>
      <c r="N957" s="68">
        <v>2.7964</v>
      </c>
      <c r="O957" s="255">
        <f t="shared" si="202"/>
        <v>16.778399999999998</v>
      </c>
      <c r="P957" s="68"/>
      <c r="Q957" s="68"/>
      <c r="R957" s="255"/>
      <c r="S957" s="540" t="s">
        <v>1242</v>
      </c>
      <c r="T957" s="540"/>
    </row>
    <row r="958" spans="1:20" s="401" customFormat="1" ht="19.5" customHeight="1">
      <c r="A958" s="99" t="s">
        <v>840</v>
      </c>
      <c r="B958" s="100"/>
      <c r="C958" s="9" t="s">
        <v>83</v>
      </c>
      <c r="D958" s="402" t="s">
        <v>941</v>
      </c>
      <c r="E958" s="403">
        <v>3</v>
      </c>
      <c r="F958" s="403">
        <v>781741770</v>
      </c>
      <c r="G958" s="404">
        <v>39309</v>
      </c>
      <c r="H958" s="404">
        <v>39339</v>
      </c>
      <c r="I958" s="405" t="s">
        <v>70</v>
      </c>
      <c r="J958" s="406">
        <v>76.34</v>
      </c>
      <c r="K958" s="407">
        <v>12.69</v>
      </c>
      <c r="L958" s="280">
        <v>89.03</v>
      </c>
      <c r="M958" s="68">
        <v>15.268</v>
      </c>
      <c r="N958" s="68">
        <v>3.0536000000000003</v>
      </c>
      <c r="O958" s="255">
        <f t="shared" si="202"/>
        <v>18.3216</v>
      </c>
      <c r="P958" s="68"/>
      <c r="Q958" s="68"/>
      <c r="R958" s="255"/>
      <c r="S958" s="540" t="s">
        <v>1242</v>
      </c>
      <c r="T958" s="540"/>
    </row>
    <row r="959" spans="1:20" s="401" customFormat="1" ht="19.5" customHeight="1">
      <c r="A959" s="99" t="s">
        <v>840</v>
      </c>
      <c r="B959" s="100"/>
      <c r="C959" s="9" t="s">
        <v>83</v>
      </c>
      <c r="D959" s="402" t="s">
        <v>942</v>
      </c>
      <c r="E959" s="403" t="s">
        <v>76</v>
      </c>
      <c r="F959" s="403">
        <v>12843</v>
      </c>
      <c r="G959" s="404">
        <v>39136</v>
      </c>
      <c r="H959" s="404">
        <v>39154</v>
      </c>
      <c r="I959" s="405" t="s">
        <v>670</v>
      </c>
      <c r="J959" s="406">
        <v>514.81</v>
      </c>
      <c r="K959" s="407">
        <v>102.96199999999999</v>
      </c>
      <c r="L959" s="280">
        <v>617.7719999999999</v>
      </c>
      <c r="M959" s="68">
        <v>514.81</v>
      </c>
      <c r="N959" s="68">
        <v>102.96199999999999</v>
      </c>
      <c r="O959" s="255">
        <f t="shared" si="202"/>
        <v>617.7719999999999</v>
      </c>
      <c r="P959" s="68"/>
      <c r="Q959" s="68"/>
      <c r="R959" s="255"/>
      <c r="S959" s="540" t="s">
        <v>1242</v>
      </c>
      <c r="T959" s="540"/>
    </row>
    <row r="960" spans="1:20" s="401" customFormat="1" ht="19.5" customHeight="1">
      <c r="A960" s="99" t="s">
        <v>840</v>
      </c>
      <c r="B960" s="100"/>
      <c r="C960" s="9" t="s">
        <v>184</v>
      </c>
      <c r="D960" s="402" t="s">
        <v>947</v>
      </c>
      <c r="E960" s="403" t="s">
        <v>677</v>
      </c>
      <c r="F960" s="403">
        <v>53</v>
      </c>
      <c r="G960" s="404">
        <v>39114</v>
      </c>
      <c r="H960" s="404">
        <v>39128</v>
      </c>
      <c r="I960" s="405" t="s">
        <v>61</v>
      </c>
      <c r="J960" s="406">
        <v>750</v>
      </c>
      <c r="K960" s="407">
        <v>150</v>
      </c>
      <c r="L960" s="280">
        <v>900</v>
      </c>
      <c r="M960" s="68">
        <v>300</v>
      </c>
      <c r="N960" s="68">
        <v>60</v>
      </c>
      <c r="O960" s="255">
        <f>+N960+M960</f>
        <v>360</v>
      </c>
      <c r="P960" s="68"/>
      <c r="Q960" s="68"/>
      <c r="R960" s="255"/>
      <c r="S960" s="540" t="s">
        <v>1242</v>
      </c>
      <c r="T960" s="540"/>
    </row>
    <row r="961" spans="1:20" s="401" customFormat="1" ht="19.5" customHeight="1">
      <c r="A961" s="99" t="s">
        <v>840</v>
      </c>
      <c r="B961" s="100"/>
      <c r="C961" s="9" t="s">
        <v>184</v>
      </c>
      <c r="D961" s="402" t="s">
        <v>948</v>
      </c>
      <c r="E961" s="403" t="s">
        <v>677</v>
      </c>
      <c r="F961" s="403">
        <v>77</v>
      </c>
      <c r="G961" s="404">
        <v>39142</v>
      </c>
      <c r="H961" s="404">
        <v>39156</v>
      </c>
      <c r="I961" s="405" t="s">
        <v>61</v>
      </c>
      <c r="J961" s="406">
        <v>750</v>
      </c>
      <c r="K961" s="407">
        <v>150</v>
      </c>
      <c r="L961" s="280">
        <v>900</v>
      </c>
      <c r="M961" s="68">
        <v>300</v>
      </c>
      <c r="N961" s="68">
        <v>60</v>
      </c>
      <c r="O961" s="255">
        <f aca="true" t="shared" si="203" ref="O961:O979">+N961+M961</f>
        <v>360</v>
      </c>
      <c r="P961" s="68"/>
      <c r="Q961" s="68"/>
      <c r="R961" s="255"/>
      <c r="S961" s="540" t="s">
        <v>1242</v>
      </c>
      <c r="T961" s="540"/>
    </row>
    <row r="962" spans="1:20" s="401" customFormat="1" ht="19.5" customHeight="1">
      <c r="A962" s="99" t="s">
        <v>840</v>
      </c>
      <c r="B962" s="100"/>
      <c r="C962" s="9" t="s">
        <v>184</v>
      </c>
      <c r="D962" s="402" t="s">
        <v>949</v>
      </c>
      <c r="E962" s="403" t="s">
        <v>677</v>
      </c>
      <c r="F962" s="403">
        <v>105</v>
      </c>
      <c r="G962" s="404">
        <v>39174</v>
      </c>
      <c r="H962" s="404">
        <v>39185</v>
      </c>
      <c r="I962" s="405" t="s">
        <v>61</v>
      </c>
      <c r="J962" s="406">
        <v>750</v>
      </c>
      <c r="K962" s="407">
        <v>150</v>
      </c>
      <c r="L962" s="280">
        <v>900</v>
      </c>
      <c r="M962" s="68">
        <v>300</v>
      </c>
      <c r="N962" s="68">
        <v>60</v>
      </c>
      <c r="O962" s="255">
        <f t="shared" si="203"/>
        <v>360</v>
      </c>
      <c r="P962" s="68"/>
      <c r="Q962" s="68"/>
      <c r="R962" s="255"/>
      <c r="S962" s="540" t="s">
        <v>1242</v>
      </c>
      <c r="T962" s="540"/>
    </row>
    <row r="963" spans="1:20" s="401" customFormat="1" ht="19.5" customHeight="1">
      <c r="A963" s="99" t="s">
        <v>840</v>
      </c>
      <c r="B963" s="100"/>
      <c r="C963" s="9" t="s">
        <v>184</v>
      </c>
      <c r="D963" s="402" t="s">
        <v>950</v>
      </c>
      <c r="E963" s="403" t="s">
        <v>677</v>
      </c>
      <c r="F963" s="403">
        <v>137</v>
      </c>
      <c r="G963" s="404">
        <v>39204</v>
      </c>
      <c r="H963" s="404">
        <v>39258</v>
      </c>
      <c r="I963" s="405" t="s">
        <v>61</v>
      </c>
      <c r="J963" s="406">
        <v>750</v>
      </c>
      <c r="K963" s="407">
        <v>150</v>
      </c>
      <c r="L963" s="280">
        <v>900</v>
      </c>
      <c r="M963" s="68">
        <v>300</v>
      </c>
      <c r="N963" s="68">
        <v>60</v>
      </c>
      <c r="O963" s="255">
        <f t="shared" si="203"/>
        <v>360</v>
      </c>
      <c r="P963" s="68"/>
      <c r="Q963" s="68"/>
      <c r="R963" s="255"/>
      <c r="S963" s="540" t="s">
        <v>1242</v>
      </c>
      <c r="T963" s="540"/>
    </row>
    <row r="964" spans="1:20" s="401" customFormat="1" ht="19.5" customHeight="1">
      <c r="A964" s="99" t="s">
        <v>840</v>
      </c>
      <c r="B964" s="100"/>
      <c r="C964" s="9" t="s">
        <v>184</v>
      </c>
      <c r="D964" s="402" t="s">
        <v>951</v>
      </c>
      <c r="E964" s="403" t="s">
        <v>677</v>
      </c>
      <c r="F964" s="403">
        <v>170</v>
      </c>
      <c r="G964" s="404">
        <v>39234</v>
      </c>
      <c r="H964" s="404">
        <v>39258</v>
      </c>
      <c r="I964" s="405" t="s">
        <v>61</v>
      </c>
      <c r="J964" s="406">
        <v>750</v>
      </c>
      <c r="K964" s="407">
        <v>150</v>
      </c>
      <c r="L964" s="280">
        <v>900</v>
      </c>
      <c r="M964" s="68">
        <v>300</v>
      </c>
      <c r="N964" s="68">
        <v>60</v>
      </c>
      <c r="O964" s="255">
        <f t="shared" si="203"/>
        <v>360</v>
      </c>
      <c r="P964" s="68"/>
      <c r="Q964" s="68"/>
      <c r="R964" s="255"/>
      <c r="S964" s="540" t="s">
        <v>1242</v>
      </c>
      <c r="T964" s="540"/>
    </row>
    <row r="965" spans="1:20" s="401" customFormat="1" ht="19.5" customHeight="1">
      <c r="A965" s="99" t="s">
        <v>840</v>
      </c>
      <c r="B965" s="100"/>
      <c r="C965" s="9" t="s">
        <v>184</v>
      </c>
      <c r="D965" s="402" t="s">
        <v>952</v>
      </c>
      <c r="E965" s="403" t="s">
        <v>677</v>
      </c>
      <c r="F965" s="403">
        <v>194</v>
      </c>
      <c r="G965" s="404">
        <v>39265</v>
      </c>
      <c r="H965" s="404">
        <v>39276</v>
      </c>
      <c r="I965" s="405" t="s">
        <v>61</v>
      </c>
      <c r="J965" s="406">
        <v>757.87</v>
      </c>
      <c r="K965" s="407">
        <v>151.574</v>
      </c>
      <c r="L965" s="280">
        <v>909.444</v>
      </c>
      <c r="M965" s="68">
        <v>303.148</v>
      </c>
      <c r="N965" s="68">
        <v>60.62960000000001</v>
      </c>
      <c r="O965" s="255">
        <f t="shared" si="203"/>
        <v>363.7776</v>
      </c>
      <c r="P965" s="68"/>
      <c r="Q965" s="68"/>
      <c r="R965" s="255"/>
      <c r="S965" s="540" t="s">
        <v>1242</v>
      </c>
      <c r="T965" s="540"/>
    </row>
    <row r="966" spans="1:20" s="401" customFormat="1" ht="19.5" customHeight="1">
      <c r="A966" s="99" t="s">
        <v>840</v>
      </c>
      <c r="B966" s="100"/>
      <c r="C966" s="9" t="s">
        <v>184</v>
      </c>
      <c r="D966" s="402" t="s">
        <v>953</v>
      </c>
      <c r="E966" s="403" t="s">
        <v>677</v>
      </c>
      <c r="F966" s="403">
        <v>223</v>
      </c>
      <c r="G966" s="404">
        <v>39295</v>
      </c>
      <c r="H966" s="404">
        <v>39339</v>
      </c>
      <c r="I966" s="405" t="s">
        <v>61</v>
      </c>
      <c r="J966" s="406">
        <v>757.87</v>
      </c>
      <c r="K966" s="407">
        <v>151.574</v>
      </c>
      <c r="L966" s="280">
        <v>909.444</v>
      </c>
      <c r="M966" s="68">
        <v>303.148</v>
      </c>
      <c r="N966" s="68">
        <v>60.62960000000001</v>
      </c>
      <c r="O966" s="255">
        <f t="shared" si="203"/>
        <v>363.7776</v>
      </c>
      <c r="P966" s="68"/>
      <c r="Q966" s="68"/>
      <c r="R966" s="255"/>
      <c r="S966" s="540" t="s">
        <v>1242</v>
      </c>
      <c r="T966" s="540"/>
    </row>
    <row r="967" spans="1:20" s="401" customFormat="1" ht="19.5" customHeight="1">
      <c r="A967" s="99" t="s">
        <v>840</v>
      </c>
      <c r="B967" s="100"/>
      <c r="C967" s="9" t="s">
        <v>184</v>
      </c>
      <c r="D967" s="402" t="s">
        <v>954</v>
      </c>
      <c r="E967" s="403" t="s">
        <v>677</v>
      </c>
      <c r="F967" s="403">
        <v>250</v>
      </c>
      <c r="G967" s="404">
        <v>39326</v>
      </c>
      <c r="H967" s="404">
        <v>39339</v>
      </c>
      <c r="I967" s="405" t="s">
        <v>61</v>
      </c>
      <c r="J967" s="406">
        <v>757.87</v>
      </c>
      <c r="K967" s="407">
        <v>151.574</v>
      </c>
      <c r="L967" s="280">
        <v>909.444</v>
      </c>
      <c r="M967" s="68">
        <v>303.148</v>
      </c>
      <c r="N967" s="68">
        <v>60.62960000000001</v>
      </c>
      <c r="O967" s="255">
        <f t="shared" si="203"/>
        <v>363.7776</v>
      </c>
      <c r="P967" s="68"/>
      <c r="Q967" s="68"/>
      <c r="R967" s="255"/>
      <c r="S967" s="540" t="s">
        <v>1242</v>
      </c>
      <c r="T967" s="540"/>
    </row>
    <row r="968" spans="1:20" s="401" customFormat="1" ht="19.5" customHeight="1">
      <c r="A968" s="99" t="s">
        <v>840</v>
      </c>
      <c r="B968" s="100"/>
      <c r="C968" s="9" t="s">
        <v>184</v>
      </c>
      <c r="D968" s="402" t="s">
        <v>955</v>
      </c>
      <c r="E968" s="403" t="s">
        <v>73</v>
      </c>
      <c r="F968" s="403" t="s">
        <v>956</v>
      </c>
      <c r="G968" s="404">
        <v>39227</v>
      </c>
      <c r="H968" s="404">
        <v>39244</v>
      </c>
      <c r="I968" s="405" t="s">
        <v>196</v>
      </c>
      <c r="J968" s="406">
        <v>107.93</v>
      </c>
      <c r="K968" s="407">
        <v>21.586000000000002</v>
      </c>
      <c r="L968" s="280">
        <v>129.51600000000002</v>
      </c>
      <c r="M968" s="68">
        <v>43.172000000000004</v>
      </c>
      <c r="N968" s="68">
        <v>8.634400000000001</v>
      </c>
      <c r="O968" s="255">
        <f t="shared" si="203"/>
        <v>51.806400000000004</v>
      </c>
      <c r="P968" s="68"/>
      <c r="Q968" s="68"/>
      <c r="R968" s="255"/>
      <c r="S968" s="540" t="s">
        <v>1242</v>
      </c>
      <c r="T968" s="540"/>
    </row>
    <row r="969" spans="1:20" s="401" customFormat="1" ht="19.5" customHeight="1">
      <c r="A969" s="99" t="s">
        <v>840</v>
      </c>
      <c r="B969" s="100"/>
      <c r="C969" s="9" t="s">
        <v>184</v>
      </c>
      <c r="D969" s="402" t="s">
        <v>957</v>
      </c>
      <c r="E969" s="403" t="s">
        <v>73</v>
      </c>
      <c r="F969" s="403" t="s">
        <v>958</v>
      </c>
      <c r="G969" s="404">
        <v>39227</v>
      </c>
      <c r="H969" s="404">
        <v>39244</v>
      </c>
      <c r="I969" s="405" t="s">
        <v>196</v>
      </c>
      <c r="J969" s="406">
        <v>90.66</v>
      </c>
      <c r="K969" s="407">
        <v>18.132</v>
      </c>
      <c r="L969" s="280">
        <v>108.792</v>
      </c>
      <c r="M969" s="68">
        <v>36.264</v>
      </c>
      <c r="N969" s="68">
        <v>7.252800000000001</v>
      </c>
      <c r="O969" s="255">
        <f t="shared" si="203"/>
        <v>43.5168</v>
      </c>
      <c r="P969" s="68"/>
      <c r="Q969" s="68"/>
      <c r="R969" s="255"/>
      <c r="S969" s="540" t="s">
        <v>1242</v>
      </c>
      <c r="T969" s="540"/>
    </row>
    <row r="970" spans="1:20" s="401" customFormat="1" ht="19.5" customHeight="1">
      <c r="A970" s="99" t="s">
        <v>840</v>
      </c>
      <c r="B970" s="100"/>
      <c r="C970" s="9" t="s">
        <v>184</v>
      </c>
      <c r="D970" s="402" t="s">
        <v>959</v>
      </c>
      <c r="E970" s="403" t="s">
        <v>73</v>
      </c>
      <c r="F970" s="403" t="s">
        <v>960</v>
      </c>
      <c r="G970" s="404">
        <v>39253</v>
      </c>
      <c r="H970" s="404">
        <v>39268</v>
      </c>
      <c r="I970" s="405" t="s">
        <v>196</v>
      </c>
      <c r="J970" s="406">
        <v>107.59</v>
      </c>
      <c r="K970" s="407">
        <v>21.518</v>
      </c>
      <c r="L970" s="280">
        <v>129.108</v>
      </c>
      <c r="M970" s="68">
        <v>43.036</v>
      </c>
      <c r="N970" s="68">
        <v>8.6072</v>
      </c>
      <c r="O970" s="255">
        <f t="shared" si="203"/>
        <v>51.6432</v>
      </c>
      <c r="P970" s="68"/>
      <c r="Q970" s="68"/>
      <c r="R970" s="255"/>
      <c r="S970" s="540" t="s">
        <v>1242</v>
      </c>
      <c r="T970" s="540"/>
    </row>
    <row r="971" spans="1:20" s="401" customFormat="1" ht="19.5" customHeight="1">
      <c r="A971" s="99" t="s">
        <v>840</v>
      </c>
      <c r="B971" s="100"/>
      <c r="C971" s="9" t="s">
        <v>184</v>
      </c>
      <c r="D971" s="402" t="s">
        <v>961</v>
      </c>
      <c r="E971" s="403" t="s">
        <v>73</v>
      </c>
      <c r="F971" s="403" t="s">
        <v>962</v>
      </c>
      <c r="G971" s="404">
        <v>39280</v>
      </c>
      <c r="H971" s="404">
        <v>39295</v>
      </c>
      <c r="I971" s="405" t="s">
        <v>196</v>
      </c>
      <c r="J971" s="406">
        <v>135.98</v>
      </c>
      <c r="K971" s="407">
        <v>27.195999999999998</v>
      </c>
      <c r="L971" s="280">
        <v>163.176</v>
      </c>
      <c r="M971" s="68">
        <v>54.391999999999996</v>
      </c>
      <c r="N971" s="68">
        <v>10.8784</v>
      </c>
      <c r="O971" s="255">
        <f t="shared" si="203"/>
        <v>65.2704</v>
      </c>
      <c r="P971" s="68"/>
      <c r="Q971" s="68"/>
      <c r="R971" s="255"/>
      <c r="S971" s="540" t="s">
        <v>1242</v>
      </c>
      <c r="T971" s="540"/>
    </row>
    <row r="972" spans="1:20" s="401" customFormat="1" ht="19.5" customHeight="1">
      <c r="A972" s="99" t="s">
        <v>840</v>
      </c>
      <c r="B972" s="100"/>
      <c r="C972" s="9" t="s">
        <v>184</v>
      </c>
      <c r="D972" s="402" t="s">
        <v>963</v>
      </c>
      <c r="E972" s="403" t="s">
        <v>73</v>
      </c>
      <c r="F972" s="403" t="s">
        <v>964</v>
      </c>
      <c r="G972" s="404">
        <v>39311</v>
      </c>
      <c r="H972" s="404">
        <v>39328</v>
      </c>
      <c r="I972" s="405" t="s">
        <v>196</v>
      </c>
      <c r="J972" s="406">
        <v>154.59</v>
      </c>
      <c r="K972" s="407">
        <v>30.918000000000003</v>
      </c>
      <c r="L972" s="280">
        <v>185.508</v>
      </c>
      <c r="M972" s="68">
        <v>61.836000000000006</v>
      </c>
      <c r="N972" s="68">
        <v>12.367200000000002</v>
      </c>
      <c r="O972" s="255">
        <f t="shared" si="203"/>
        <v>74.20320000000001</v>
      </c>
      <c r="P972" s="68"/>
      <c r="Q972" s="68"/>
      <c r="R972" s="255"/>
      <c r="S972" s="540" t="s">
        <v>1242</v>
      </c>
      <c r="T972" s="540"/>
    </row>
    <row r="973" spans="1:20" s="401" customFormat="1" ht="19.5" customHeight="1">
      <c r="A973" s="99" t="s">
        <v>840</v>
      </c>
      <c r="B973" s="100"/>
      <c r="C973" s="9" t="s">
        <v>184</v>
      </c>
      <c r="D973" s="402" t="s">
        <v>128</v>
      </c>
      <c r="E973" s="403" t="s">
        <v>197</v>
      </c>
      <c r="F973" s="403" t="s">
        <v>965</v>
      </c>
      <c r="G973" s="404">
        <v>39112</v>
      </c>
      <c r="H973" s="404">
        <v>39134</v>
      </c>
      <c r="I973" s="405" t="s">
        <v>196</v>
      </c>
      <c r="J973" s="406">
        <v>139.01</v>
      </c>
      <c r="K973" s="407">
        <v>27.802</v>
      </c>
      <c r="L973" s="280">
        <v>166.81199999999998</v>
      </c>
      <c r="M973" s="68">
        <v>55.604</v>
      </c>
      <c r="N973" s="68">
        <v>11.120800000000001</v>
      </c>
      <c r="O973" s="255">
        <f t="shared" si="203"/>
        <v>66.7248</v>
      </c>
      <c r="P973" s="68"/>
      <c r="Q973" s="68"/>
      <c r="R973" s="255"/>
      <c r="S973" s="540" t="s">
        <v>1242</v>
      </c>
      <c r="T973" s="540"/>
    </row>
    <row r="974" spans="1:20" s="401" customFormat="1" ht="19.5" customHeight="1">
      <c r="A974" s="99" t="s">
        <v>840</v>
      </c>
      <c r="B974" s="100"/>
      <c r="C974" s="9" t="s">
        <v>184</v>
      </c>
      <c r="D974" s="402" t="s">
        <v>128</v>
      </c>
      <c r="E974" s="403" t="s">
        <v>197</v>
      </c>
      <c r="F974" s="403" t="s">
        <v>965</v>
      </c>
      <c r="G974" s="404">
        <v>39112</v>
      </c>
      <c r="H974" s="404">
        <v>39134</v>
      </c>
      <c r="I974" s="405" t="s">
        <v>196</v>
      </c>
      <c r="J974" s="406">
        <v>139.01</v>
      </c>
      <c r="K974" s="407">
        <v>27.802</v>
      </c>
      <c r="L974" s="280">
        <v>166.81199999999998</v>
      </c>
      <c r="M974" s="68">
        <v>55.604</v>
      </c>
      <c r="N974" s="68">
        <v>11.120800000000001</v>
      </c>
      <c r="O974" s="255">
        <f t="shared" si="203"/>
        <v>66.7248</v>
      </c>
      <c r="P974" s="68"/>
      <c r="Q974" s="68"/>
      <c r="R974" s="255"/>
      <c r="S974" s="540" t="s">
        <v>1242</v>
      </c>
      <c r="T974" s="540"/>
    </row>
    <row r="975" spans="1:20" s="401" customFormat="1" ht="19.5" customHeight="1">
      <c r="A975" s="99" t="s">
        <v>840</v>
      </c>
      <c r="B975" s="100"/>
      <c r="C975" s="9" t="s">
        <v>184</v>
      </c>
      <c r="D975" s="402" t="s">
        <v>131</v>
      </c>
      <c r="E975" s="403" t="s">
        <v>966</v>
      </c>
      <c r="F975" s="403">
        <v>403053</v>
      </c>
      <c r="G975" s="404">
        <v>39113</v>
      </c>
      <c r="H975" s="404">
        <v>39136</v>
      </c>
      <c r="I975" s="405" t="s">
        <v>800</v>
      </c>
      <c r="J975" s="406">
        <v>384.99</v>
      </c>
      <c r="K975" s="407">
        <v>76.998</v>
      </c>
      <c r="L975" s="280">
        <v>461.988</v>
      </c>
      <c r="M975" s="68">
        <v>153.996</v>
      </c>
      <c r="N975" s="68">
        <v>30.799200000000003</v>
      </c>
      <c r="O975" s="255">
        <f t="shared" si="203"/>
        <v>184.79520000000002</v>
      </c>
      <c r="P975" s="68"/>
      <c r="Q975" s="68"/>
      <c r="R975" s="255"/>
      <c r="S975" s="540" t="s">
        <v>1242</v>
      </c>
      <c r="T975" s="540"/>
    </row>
    <row r="976" spans="1:20" s="401" customFormat="1" ht="19.5" customHeight="1">
      <c r="A976" s="99" t="s">
        <v>840</v>
      </c>
      <c r="B976" s="100"/>
      <c r="C976" s="9" t="s">
        <v>184</v>
      </c>
      <c r="D976" s="402" t="s">
        <v>131</v>
      </c>
      <c r="E976" s="403" t="s">
        <v>966</v>
      </c>
      <c r="F976" s="403">
        <v>2326862</v>
      </c>
      <c r="G976" s="404">
        <v>39233</v>
      </c>
      <c r="H976" s="404">
        <v>39274</v>
      </c>
      <c r="I976" s="405" t="s">
        <v>800</v>
      </c>
      <c r="J976" s="406">
        <v>424.79</v>
      </c>
      <c r="K976" s="407">
        <v>84.95800000000001</v>
      </c>
      <c r="L976" s="280">
        <v>509.74800000000005</v>
      </c>
      <c r="M976" s="68">
        <v>169.91600000000003</v>
      </c>
      <c r="N976" s="68">
        <v>33.983200000000004</v>
      </c>
      <c r="O976" s="255">
        <f t="shared" si="203"/>
        <v>203.89920000000004</v>
      </c>
      <c r="P976" s="68"/>
      <c r="Q976" s="68"/>
      <c r="R976" s="255"/>
      <c r="S976" s="540" t="s">
        <v>1242</v>
      </c>
      <c r="T976" s="540"/>
    </row>
    <row r="977" spans="1:20" s="401" customFormat="1" ht="19.5" customHeight="1">
      <c r="A977" s="99" t="s">
        <v>840</v>
      </c>
      <c r="B977" s="100"/>
      <c r="C977" s="9" t="s">
        <v>184</v>
      </c>
      <c r="D977" s="402" t="s">
        <v>131</v>
      </c>
      <c r="E977" s="403" t="s">
        <v>966</v>
      </c>
      <c r="F977" s="403">
        <v>1337879</v>
      </c>
      <c r="G977" s="404">
        <v>39172</v>
      </c>
      <c r="H977" s="404">
        <v>39213</v>
      </c>
      <c r="I977" s="405" t="s">
        <v>800</v>
      </c>
      <c r="J977" s="406">
        <v>486.65</v>
      </c>
      <c r="K977" s="407">
        <v>97.33</v>
      </c>
      <c r="L977" s="280">
        <v>583.98</v>
      </c>
      <c r="M977" s="68">
        <v>194.66</v>
      </c>
      <c r="N977" s="68">
        <v>38.932</v>
      </c>
      <c r="O977" s="255">
        <f t="shared" si="203"/>
        <v>233.59199999999998</v>
      </c>
      <c r="P977" s="68"/>
      <c r="Q977" s="68"/>
      <c r="R977" s="255"/>
      <c r="S977" s="540" t="s">
        <v>1242</v>
      </c>
      <c r="T977" s="540"/>
    </row>
    <row r="978" spans="1:20" s="401" customFormat="1" ht="19.5" customHeight="1">
      <c r="A978" s="99" t="s">
        <v>840</v>
      </c>
      <c r="B978" s="100"/>
      <c r="C978" s="9" t="s">
        <v>184</v>
      </c>
      <c r="D978" s="402" t="s">
        <v>690</v>
      </c>
      <c r="E978" s="403"/>
      <c r="F978" s="403">
        <v>737</v>
      </c>
      <c r="G978" s="404">
        <v>39204</v>
      </c>
      <c r="H978" s="404">
        <v>39217</v>
      </c>
      <c r="I978" s="405" t="s">
        <v>691</v>
      </c>
      <c r="J978" s="406">
        <v>159</v>
      </c>
      <c r="K978" s="407">
        <v>0</v>
      </c>
      <c r="L978" s="280">
        <v>159</v>
      </c>
      <c r="M978" s="68">
        <v>63.6</v>
      </c>
      <c r="N978" s="68"/>
      <c r="O978" s="255">
        <f t="shared" si="203"/>
        <v>63.6</v>
      </c>
      <c r="P978" s="68"/>
      <c r="Q978" s="68"/>
      <c r="R978" s="255"/>
      <c r="S978" s="540" t="s">
        <v>1242</v>
      </c>
      <c r="T978" s="540"/>
    </row>
    <row r="979" spans="1:20" s="401" customFormat="1" ht="19.5" customHeight="1">
      <c r="A979" s="99" t="s">
        <v>840</v>
      </c>
      <c r="B979" s="100"/>
      <c r="C979" s="9" t="s">
        <v>184</v>
      </c>
      <c r="D979" s="402" t="s">
        <v>690</v>
      </c>
      <c r="E979" s="403"/>
      <c r="F979" s="403">
        <v>756</v>
      </c>
      <c r="G979" s="404">
        <v>39265</v>
      </c>
      <c r="H979" s="404">
        <v>39272</v>
      </c>
      <c r="I979" s="405" t="s">
        <v>691</v>
      </c>
      <c r="J979" s="406">
        <v>159</v>
      </c>
      <c r="K979" s="407">
        <v>0</v>
      </c>
      <c r="L979" s="280">
        <v>159</v>
      </c>
      <c r="M979" s="68">
        <v>63.6</v>
      </c>
      <c r="N979" s="68"/>
      <c r="O979" s="255">
        <f t="shared" si="203"/>
        <v>63.6</v>
      </c>
      <c r="P979" s="68"/>
      <c r="Q979" s="68"/>
      <c r="R979" s="255"/>
      <c r="S979" s="540" t="s">
        <v>1242</v>
      </c>
      <c r="T979" s="540"/>
    </row>
    <row r="980" spans="1:20" s="401" customFormat="1" ht="19.5" customHeight="1">
      <c r="A980" s="480" t="s">
        <v>977</v>
      </c>
      <c r="B980" s="481"/>
      <c r="C980" s="484" t="s">
        <v>980</v>
      </c>
      <c r="D980" s="492"/>
      <c r="E980" s="493"/>
      <c r="F980" s="493"/>
      <c r="G980" s="494"/>
      <c r="H980" s="494"/>
      <c r="I980" s="495"/>
      <c r="J980" s="496"/>
      <c r="K980" s="496"/>
      <c r="L980" s="498"/>
      <c r="M980" s="496">
        <f>SUM(M884:M979)-M883</f>
        <v>-1931.659000000007</v>
      </c>
      <c r="N980" s="496">
        <f>SUM(N884:N979)-N883</f>
        <v>-128.82450000000154</v>
      </c>
      <c r="O980" s="498">
        <f>+N980+M980</f>
        <v>-2060.4835000000085</v>
      </c>
      <c r="P980" s="68">
        <f aca="true" t="shared" si="204" ref="P980:P1043">+M980*0.65</f>
        <v>-1255.5783500000045</v>
      </c>
      <c r="Q980" s="409">
        <f>+N980*0.65</f>
        <v>-83.735925000001</v>
      </c>
      <c r="R980" s="256">
        <f aca="true" t="shared" si="205" ref="R980:R1043">+Q980+P980</f>
        <v>-1339.3142750000056</v>
      </c>
      <c r="S980" s="540" t="s">
        <v>1242</v>
      </c>
      <c r="T980" s="540"/>
    </row>
    <row r="981" spans="1:20" s="401" customFormat="1" ht="19.5" customHeight="1">
      <c r="A981" s="99" t="s">
        <v>977</v>
      </c>
      <c r="B981" s="100"/>
      <c r="C981" s="9" t="s">
        <v>65</v>
      </c>
      <c r="D981" s="402" t="s">
        <v>138</v>
      </c>
      <c r="E981" s="403" t="s">
        <v>76</v>
      </c>
      <c r="F981" s="403" t="s">
        <v>994</v>
      </c>
      <c r="G981" s="404">
        <v>39346</v>
      </c>
      <c r="H981" s="404">
        <v>39401</v>
      </c>
      <c r="I981" s="405" t="s">
        <v>61</v>
      </c>
      <c r="J981" s="506">
        <v>399.2</v>
      </c>
      <c r="K981" s="506">
        <v>0</v>
      </c>
      <c r="L981" s="280">
        <v>399.2</v>
      </c>
      <c r="M981" s="68"/>
      <c r="N981" s="68"/>
      <c r="O981" s="255"/>
      <c r="P981" s="68">
        <f t="shared" si="204"/>
        <v>0</v>
      </c>
      <c r="Q981" s="409">
        <f aca="true" t="shared" si="206" ref="Q981:Q1044">+N981*0.65</f>
        <v>0</v>
      </c>
      <c r="R981" s="256">
        <f t="shared" si="205"/>
        <v>0</v>
      </c>
      <c r="S981" s="540"/>
      <c r="T981" s="540"/>
    </row>
    <row r="982" spans="1:20" s="401" customFormat="1" ht="19.5" customHeight="1">
      <c r="A982" s="99" t="s">
        <v>977</v>
      </c>
      <c r="B982" s="100"/>
      <c r="C982" s="9" t="s">
        <v>65</v>
      </c>
      <c r="D982" s="402" t="s">
        <v>491</v>
      </c>
      <c r="E982" s="403" t="s">
        <v>69</v>
      </c>
      <c r="F982" s="403">
        <v>449754</v>
      </c>
      <c r="G982" s="404">
        <v>39333</v>
      </c>
      <c r="H982" s="404">
        <v>39363</v>
      </c>
      <c r="I982" s="405" t="s">
        <v>70</v>
      </c>
      <c r="J982" s="406">
        <v>45.49</v>
      </c>
      <c r="K982" s="407">
        <v>9.098</v>
      </c>
      <c r="L982" s="280">
        <v>54.588</v>
      </c>
      <c r="M982" s="68">
        <v>27.294</v>
      </c>
      <c r="N982" s="68">
        <v>5.4588</v>
      </c>
      <c r="O982" s="255">
        <v>32.7528</v>
      </c>
      <c r="P982" s="68">
        <f t="shared" si="204"/>
        <v>17.7411</v>
      </c>
      <c r="Q982" s="409">
        <f t="shared" si="206"/>
        <v>3.54822</v>
      </c>
      <c r="R982" s="256">
        <f t="shared" si="205"/>
        <v>21.28932</v>
      </c>
      <c r="S982" s="540" t="s">
        <v>1242</v>
      </c>
      <c r="T982" s="540"/>
    </row>
    <row r="983" spans="1:20" s="401" customFormat="1" ht="19.5" customHeight="1">
      <c r="A983" s="99" t="s">
        <v>977</v>
      </c>
      <c r="B983" s="100"/>
      <c r="C983" s="9" t="s">
        <v>65</v>
      </c>
      <c r="D983" s="402" t="s">
        <v>491</v>
      </c>
      <c r="E983" s="403" t="s">
        <v>69</v>
      </c>
      <c r="F983" s="403">
        <v>496083</v>
      </c>
      <c r="G983" s="404">
        <v>39361</v>
      </c>
      <c r="H983" s="404">
        <v>39392</v>
      </c>
      <c r="I983" s="405" t="s">
        <v>70</v>
      </c>
      <c r="J983" s="406">
        <v>62.27</v>
      </c>
      <c r="K983" s="407">
        <v>12.454</v>
      </c>
      <c r="L983" s="280">
        <v>74.724</v>
      </c>
      <c r="M983" s="68">
        <v>37.362</v>
      </c>
      <c r="N983" s="68">
        <v>7.4724</v>
      </c>
      <c r="O983" s="255">
        <v>44.8344</v>
      </c>
      <c r="P983" s="68">
        <f t="shared" si="204"/>
        <v>24.285300000000003</v>
      </c>
      <c r="Q983" s="409">
        <f t="shared" si="206"/>
        <v>4.857060000000001</v>
      </c>
      <c r="R983" s="256">
        <f t="shared" si="205"/>
        <v>29.142360000000004</v>
      </c>
      <c r="S983" s="540" t="s">
        <v>1242</v>
      </c>
      <c r="T983" s="540"/>
    </row>
    <row r="984" spans="1:20" s="401" customFormat="1" ht="19.5" customHeight="1">
      <c r="A984" s="99" t="s">
        <v>977</v>
      </c>
      <c r="B984" s="100"/>
      <c r="C984" s="9" t="s">
        <v>65</v>
      </c>
      <c r="D984" s="402" t="s">
        <v>491</v>
      </c>
      <c r="E984" s="403" t="s">
        <v>69</v>
      </c>
      <c r="F984" s="403">
        <v>545857</v>
      </c>
      <c r="G984" s="404">
        <v>39396</v>
      </c>
      <c r="H984" s="404">
        <v>39426</v>
      </c>
      <c r="I984" s="405" t="s">
        <v>70</v>
      </c>
      <c r="J984" s="406">
        <v>66.28</v>
      </c>
      <c r="K984" s="407">
        <v>13.256</v>
      </c>
      <c r="L984" s="280">
        <v>79.536</v>
      </c>
      <c r="M984" s="68">
        <v>39.768</v>
      </c>
      <c r="N984" s="68">
        <v>7.953600000000001</v>
      </c>
      <c r="O984" s="255">
        <v>47.7216</v>
      </c>
      <c r="P984" s="68">
        <f t="shared" si="204"/>
        <v>25.8492</v>
      </c>
      <c r="Q984" s="409">
        <f t="shared" si="206"/>
        <v>5.169840000000001</v>
      </c>
      <c r="R984" s="256">
        <f t="shared" si="205"/>
        <v>31.01904</v>
      </c>
      <c r="S984" s="540" t="s">
        <v>1242</v>
      </c>
      <c r="T984" s="540"/>
    </row>
    <row r="985" spans="1:20" s="401" customFormat="1" ht="19.5" customHeight="1">
      <c r="A985" s="99" t="s">
        <v>977</v>
      </c>
      <c r="B985" s="100"/>
      <c r="C985" s="9" t="s">
        <v>65</v>
      </c>
      <c r="D985" s="402" t="s">
        <v>491</v>
      </c>
      <c r="E985" s="403" t="s">
        <v>69</v>
      </c>
      <c r="F985" s="403">
        <v>591909</v>
      </c>
      <c r="G985" s="404">
        <v>39424</v>
      </c>
      <c r="H985" s="404">
        <v>39455</v>
      </c>
      <c r="I985" s="405" t="s">
        <v>70</v>
      </c>
      <c r="J985" s="406">
        <v>56.54</v>
      </c>
      <c r="K985" s="407">
        <v>11.308</v>
      </c>
      <c r="L985" s="280">
        <v>67.848</v>
      </c>
      <c r="M985" s="68">
        <v>33.924</v>
      </c>
      <c r="N985" s="68">
        <v>6.784800000000001</v>
      </c>
      <c r="O985" s="255">
        <v>40.7088</v>
      </c>
      <c r="P985" s="68">
        <f t="shared" si="204"/>
        <v>22.0506</v>
      </c>
      <c r="Q985" s="409">
        <f t="shared" si="206"/>
        <v>4.410120000000001</v>
      </c>
      <c r="R985" s="256">
        <f t="shared" si="205"/>
        <v>26.460720000000002</v>
      </c>
      <c r="S985" s="540" t="s">
        <v>1242</v>
      </c>
      <c r="T985" s="540"/>
    </row>
    <row r="986" spans="1:20" s="401" customFormat="1" ht="19.5" customHeight="1">
      <c r="A986" s="99" t="s">
        <v>977</v>
      </c>
      <c r="B986" s="100"/>
      <c r="C986" s="9" t="s">
        <v>65</v>
      </c>
      <c r="D986" s="402" t="s">
        <v>72</v>
      </c>
      <c r="E986" s="403" t="s">
        <v>73</v>
      </c>
      <c r="F986" s="403" t="s">
        <v>814</v>
      </c>
      <c r="G986" s="404">
        <v>39418</v>
      </c>
      <c r="H986" s="404">
        <v>39438</v>
      </c>
      <c r="I986" s="405" t="s">
        <v>70</v>
      </c>
      <c r="J986" s="406">
        <v>325.96</v>
      </c>
      <c r="K986" s="407">
        <v>65.192</v>
      </c>
      <c r="L986" s="280">
        <v>391.152</v>
      </c>
      <c r="M986" s="68">
        <v>195.576</v>
      </c>
      <c r="N986" s="68">
        <v>9.778799999999999</v>
      </c>
      <c r="O986" s="255">
        <v>205.35479999999998</v>
      </c>
      <c r="P986" s="68">
        <f t="shared" si="204"/>
        <v>127.1244</v>
      </c>
      <c r="Q986" s="409">
        <f t="shared" si="206"/>
        <v>6.3562199999999995</v>
      </c>
      <c r="R986" s="256">
        <f t="shared" si="205"/>
        <v>133.48062</v>
      </c>
      <c r="S986" s="540" t="s">
        <v>1242</v>
      </c>
      <c r="T986" s="540"/>
    </row>
    <row r="987" spans="1:20" s="401" customFormat="1" ht="19.5" customHeight="1">
      <c r="A987" s="99" t="s">
        <v>977</v>
      </c>
      <c r="B987" s="100"/>
      <c r="C987" s="9" t="s">
        <v>65</v>
      </c>
      <c r="D987" s="402" t="s">
        <v>72</v>
      </c>
      <c r="E987" s="403" t="s">
        <v>73</v>
      </c>
      <c r="F987" s="403" t="s">
        <v>815</v>
      </c>
      <c r="G987" s="404">
        <v>39389</v>
      </c>
      <c r="H987" s="404">
        <v>39409</v>
      </c>
      <c r="I987" s="405" t="s">
        <v>70</v>
      </c>
      <c r="J987" s="406">
        <v>307.13</v>
      </c>
      <c r="K987" s="407">
        <v>61.426</v>
      </c>
      <c r="L987" s="280">
        <v>368.556</v>
      </c>
      <c r="M987" s="68">
        <v>184.278</v>
      </c>
      <c r="N987" s="68">
        <v>9.2139</v>
      </c>
      <c r="O987" s="255">
        <v>193.4919</v>
      </c>
      <c r="P987" s="68">
        <f t="shared" si="204"/>
        <v>119.7807</v>
      </c>
      <c r="Q987" s="409">
        <f t="shared" si="206"/>
        <v>5.989035</v>
      </c>
      <c r="R987" s="256">
        <f t="shared" si="205"/>
        <v>125.769735</v>
      </c>
      <c r="S987" s="540" t="s">
        <v>1242</v>
      </c>
      <c r="T987" s="540"/>
    </row>
    <row r="988" spans="1:20" s="401" customFormat="1" ht="19.5" customHeight="1">
      <c r="A988" s="99" t="s">
        <v>977</v>
      </c>
      <c r="B988" s="100"/>
      <c r="C988" s="9" t="s">
        <v>65</v>
      </c>
      <c r="D988" s="402" t="s">
        <v>72</v>
      </c>
      <c r="E988" s="403" t="s">
        <v>73</v>
      </c>
      <c r="F988" s="403" t="s">
        <v>647</v>
      </c>
      <c r="G988" s="404">
        <v>39357</v>
      </c>
      <c r="H988" s="404">
        <v>39377</v>
      </c>
      <c r="I988" s="405" t="s">
        <v>70</v>
      </c>
      <c r="J988" s="406">
        <v>240.79</v>
      </c>
      <c r="K988" s="407">
        <v>48.158</v>
      </c>
      <c r="L988" s="280">
        <v>288.948</v>
      </c>
      <c r="M988" s="68">
        <v>144.474</v>
      </c>
      <c r="N988" s="68">
        <v>7.2237</v>
      </c>
      <c r="O988" s="255">
        <v>151.6977</v>
      </c>
      <c r="P988" s="68">
        <f t="shared" si="204"/>
        <v>93.90809999999999</v>
      </c>
      <c r="Q988" s="409">
        <f t="shared" si="206"/>
        <v>4.695405</v>
      </c>
      <c r="R988" s="256">
        <f t="shared" si="205"/>
        <v>98.60350499999998</v>
      </c>
      <c r="S988" s="540" t="s">
        <v>1242</v>
      </c>
      <c r="T988" s="540"/>
    </row>
    <row r="989" spans="1:20" s="401" customFormat="1" ht="19.5" customHeight="1">
      <c r="A989" s="99" t="s">
        <v>977</v>
      </c>
      <c r="B989" s="100"/>
      <c r="C989" s="9" t="s">
        <v>65</v>
      </c>
      <c r="D989" s="402" t="s">
        <v>486</v>
      </c>
      <c r="E989" s="403" t="s">
        <v>816</v>
      </c>
      <c r="F989" s="403" t="s">
        <v>995</v>
      </c>
      <c r="G989" s="404">
        <v>39356</v>
      </c>
      <c r="H989" s="404">
        <v>39360</v>
      </c>
      <c r="I989" s="405" t="s">
        <v>82</v>
      </c>
      <c r="J989" s="406">
        <v>333.72</v>
      </c>
      <c r="K989" s="407">
        <v>66.74400000000001</v>
      </c>
      <c r="L989" s="280">
        <v>400.46400000000006</v>
      </c>
      <c r="M989" s="68">
        <v>200.232</v>
      </c>
      <c r="N989" s="68">
        <v>10.011600000000001</v>
      </c>
      <c r="O989" s="255">
        <v>210.24360000000001</v>
      </c>
      <c r="P989" s="68">
        <f t="shared" si="204"/>
        <v>130.1508</v>
      </c>
      <c r="Q989" s="409">
        <f t="shared" si="206"/>
        <v>6.507540000000001</v>
      </c>
      <c r="R989" s="256">
        <f t="shared" si="205"/>
        <v>136.65834</v>
      </c>
      <c r="S989" s="540" t="s">
        <v>1242</v>
      </c>
      <c r="T989" s="540"/>
    </row>
    <row r="990" spans="1:20" s="401" customFormat="1" ht="19.5" customHeight="1">
      <c r="A990" s="99" t="s">
        <v>977</v>
      </c>
      <c r="B990" s="100"/>
      <c r="C990" s="9" t="s">
        <v>65</v>
      </c>
      <c r="D990" s="402" t="s">
        <v>486</v>
      </c>
      <c r="E990" s="403" t="s">
        <v>816</v>
      </c>
      <c r="F990" s="403" t="s">
        <v>996</v>
      </c>
      <c r="G990" s="404">
        <v>39387</v>
      </c>
      <c r="H990" s="404">
        <v>39415</v>
      </c>
      <c r="I990" s="405" t="s">
        <v>82</v>
      </c>
      <c r="J990" s="406">
        <v>352.71</v>
      </c>
      <c r="K990" s="407">
        <v>70.542</v>
      </c>
      <c r="L990" s="280">
        <v>423.25199999999995</v>
      </c>
      <c r="M990" s="68">
        <v>211.62599999999998</v>
      </c>
      <c r="N990" s="68">
        <v>10.5813</v>
      </c>
      <c r="O990" s="255">
        <v>222.20729999999998</v>
      </c>
      <c r="P990" s="68">
        <f t="shared" si="204"/>
        <v>137.55689999999998</v>
      </c>
      <c r="Q990" s="409">
        <f t="shared" si="206"/>
        <v>6.877845000000001</v>
      </c>
      <c r="R990" s="256">
        <f t="shared" si="205"/>
        <v>144.434745</v>
      </c>
      <c r="S990" s="540" t="s">
        <v>1242</v>
      </c>
      <c r="T990" s="540"/>
    </row>
    <row r="991" spans="1:20" s="401" customFormat="1" ht="19.5" customHeight="1">
      <c r="A991" s="99" t="s">
        <v>977</v>
      </c>
      <c r="B991" s="100"/>
      <c r="C991" s="9" t="s">
        <v>65</v>
      </c>
      <c r="D991" s="402" t="s">
        <v>486</v>
      </c>
      <c r="E991" s="403" t="s">
        <v>816</v>
      </c>
      <c r="F991" s="403" t="s">
        <v>997</v>
      </c>
      <c r="G991" s="404">
        <v>39417</v>
      </c>
      <c r="H991" s="404">
        <v>39428</v>
      </c>
      <c r="I991" s="405" t="s">
        <v>82</v>
      </c>
      <c r="J991" s="406">
        <v>306.72</v>
      </c>
      <c r="K991" s="407">
        <v>61.34400000000001</v>
      </c>
      <c r="L991" s="280">
        <v>368.064</v>
      </c>
      <c r="M991" s="68">
        <v>184.032</v>
      </c>
      <c r="N991" s="68">
        <v>9.201600000000001</v>
      </c>
      <c r="O991" s="255">
        <v>193.23360000000002</v>
      </c>
      <c r="P991" s="68">
        <f t="shared" si="204"/>
        <v>119.62080000000002</v>
      </c>
      <c r="Q991" s="409">
        <f t="shared" si="206"/>
        <v>5.981040000000001</v>
      </c>
      <c r="R991" s="256">
        <f t="shared" si="205"/>
        <v>125.60184000000002</v>
      </c>
      <c r="S991" s="540" t="s">
        <v>1242</v>
      </c>
      <c r="T991" s="540"/>
    </row>
    <row r="992" spans="1:20" s="401" customFormat="1" ht="19.5" customHeight="1">
      <c r="A992" s="99" t="s">
        <v>977</v>
      </c>
      <c r="B992" s="100"/>
      <c r="C992" s="9" t="s">
        <v>83</v>
      </c>
      <c r="D992" s="402" t="s">
        <v>1000</v>
      </c>
      <c r="E992" s="403" t="s">
        <v>86</v>
      </c>
      <c r="F992" s="403" t="s">
        <v>1001</v>
      </c>
      <c r="G992" s="404">
        <v>39356</v>
      </c>
      <c r="H992" s="404">
        <v>39358</v>
      </c>
      <c r="I992" s="405" t="s">
        <v>88</v>
      </c>
      <c r="J992" s="406">
        <v>591</v>
      </c>
      <c r="K992" s="407">
        <v>0</v>
      </c>
      <c r="L992" s="280">
        <v>591</v>
      </c>
      <c r="M992" s="68">
        <v>147.75</v>
      </c>
      <c r="N992" s="68">
        <v>0</v>
      </c>
      <c r="O992" s="255">
        <v>147.75</v>
      </c>
      <c r="P992" s="68">
        <f t="shared" si="204"/>
        <v>96.03750000000001</v>
      </c>
      <c r="Q992" s="409">
        <f t="shared" si="206"/>
        <v>0</v>
      </c>
      <c r="R992" s="256">
        <f t="shared" si="205"/>
        <v>96.03750000000001</v>
      </c>
      <c r="S992" s="540" t="s">
        <v>1242</v>
      </c>
      <c r="T992" s="540"/>
    </row>
    <row r="993" spans="1:20" s="401" customFormat="1" ht="19.5" customHeight="1">
      <c r="A993" s="99" t="s">
        <v>977</v>
      </c>
      <c r="B993" s="100"/>
      <c r="C993" s="9" t="s">
        <v>83</v>
      </c>
      <c r="D993" s="402" t="s">
        <v>1002</v>
      </c>
      <c r="E993" s="403" t="s">
        <v>86</v>
      </c>
      <c r="F993" s="403" t="s">
        <v>1003</v>
      </c>
      <c r="G993" s="404">
        <v>39083</v>
      </c>
      <c r="H993" s="404">
        <v>39393</v>
      </c>
      <c r="I993" s="405" t="s">
        <v>88</v>
      </c>
      <c r="J993" s="406">
        <v>591</v>
      </c>
      <c r="K993" s="407">
        <v>0</v>
      </c>
      <c r="L993" s="280">
        <v>591</v>
      </c>
      <c r="M993" s="68">
        <v>147.75</v>
      </c>
      <c r="N993" s="68">
        <v>0</v>
      </c>
      <c r="O993" s="255">
        <v>147.75</v>
      </c>
      <c r="P993" s="68">
        <f t="shared" si="204"/>
        <v>96.03750000000001</v>
      </c>
      <c r="Q993" s="409">
        <f t="shared" si="206"/>
        <v>0</v>
      </c>
      <c r="R993" s="256">
        <f t="shared" si="205"/>
        <v>96.03750000000001</v>
      </c>
      <c r="S993" s="540" t="s">
        <v>1242</v>
      </c>
      <c r="T993" s="540"/>
    </row>
    <row r="994" spans="1:20" s="401" customFormat="1" ht="19.5" customHeight="1">
      <c r="A994" s="99" t="s">
        <v>977</v>
      </c>
      <c r="B994" s="100"/>
      <c r="C994" s="9" t="s">
        <v>83</v>
      </c>
      <c r="D994" s="402" t="s">
        <v>1004</v>
      </c>
      <c r="E994" s="403" t="s">
        <v>86</v>
      </c>
      <c r="F994" s="403" t="s">
        <v>1005</v>
      </c>
      <c r="G994" s="404">
        <v>39417</v>
      </c>
      <c r="H994" s="404">
        <v>39422</v>
      </c>
      <c r="I994" s="405" t="s">
        <v>88</v>
      </c>
      <c r="J994" s="406">
        <v>591</v>
      </c>
      <c r="K994" s="407">
        <v>0</v>
      </c>
      <c r="L994" s="280">
        <v>591</v>
      </c>
      <c r="M994" s="68">
        <v>147.75</v>
      </c>
      <c r="N994" s="68">
        <v>0</v>
      </c>
      <c r="O994" s="255">
        <v>147.75</v>
      </c>
      <c r="P994" s="68">
        <f t="shared" si="204"/>
        <v>96.03750000000001</v>
      </c>
      <c r="Q994" s="409">
        <f t="shared" si="206"/>
        <v>0</v>
      </c>
      <c r="R994" s="256">
        <f t="shared" si="205"/>
        <v>96.03750000000001</v>
      </c>
      <c r="S994" s="540" t="s">
        <v>1242</v>
      </c>
      <c r="T994" s="540"/>
    </row>
    <row r="995" spans="1:20" s="401" customFormat="1" ht="19.5" customHeight="1">
      <c r="A995" s="99" t="s">
        <v>977</v>
      </c>
      <c r="B995" s="100"/>
      <c r="C995" s="9" t="s">
        <v>83</v>
      </c>
      <c r="D995" s="402" t="s">
        <v>1006</v>
      </c>
      <c r="E995" s="403" t="s">
        <v>86</v>
      </c>
      <c r="F995" s="403" t="s">
        <v>1007</v>
      </c>
      <c r="G995" s="404">
        <v>39448</v>
      </c>
      <c r="H995" s="404"/>
      <c r="I995" s="405" t="s">
        <v>88</v>
      </c>
      <c r="J995" s="406">
        <v>591</v>
      </c>
      <c r="K995" s="407">
        <v>0</v>
      </c>
      <c r="L995" s="280">
        <v>591</v>
      </c>
      <c r="M995" s="68"/>
      <c r="N995" s="68">
        <v>0</v>
      </c>
      <c r="O995" s="255"/>
      <c r="P995" s="68">
        <f t="shared" si="204"/>
        <v>0</v>
      </c>
      <c r="Q995" s="409">
        <f t="shared" si="206"/>
        <v>0</v>
      </c>
      <c r="R995" s="256">
        <f t="shared" si="205"/>
        <v>0</v>
      </c>
      <c r="S995" s="540" t="s">
        <v>1242</v>
      </c>
      <c r="T995" s="540"/>
    </row>
    <row r="996" spans="1:20" s="401" customFormat="1" ht="19.5" customHeight="1">
      <c r="A996" s="99" t="s">
        <v>977</v>
      </c>
      <c r="B996" s="100"/>
      <c r="C996" s="9" t="s">
        <v>83</v>
      </c>
      <c r="D996" s="402" t="s">
        <v>499</v>
      </c>
      <c r="E996" s="403" t="s">
        <v>73</v>
      </c>
      <c r="F996" s="403" t="s">
        <v>513</v>
      </c>
      <c r="G996" s="404">
        <v>39369</v>
      </c>
      <c r="H996" s="404">
        <v>39389</v>
      </c>
      <c r="I996" s="405" t="s">
        <v>70</v>
      </c>
      <c r="J996" s="406">
        <v>69.06</v>
      </c>
      <c r="K996" s="407">
        <v>13.812000000000001</v>
      </c>
      <c r="L996" s="280">
        <v>82.872</v>
      </c>
      <c r="M996" s="68">
        <v>17.265</v>
      </c>
      <c r="N996" s="68">
        <v>3.4530000000000003</v>
      </c>
      <c r="O996" s="255">
        <v>20.718</v>
      </c>
      <c r="P996" s="68">
        <f t="shared" si="204"/>
        <v>11.22225</v>
      </c>
      <c r="Q996" s="409">
        <f t="shared" si="206"/>
        <v>2.24445</v>
      </c>
      <c r="R996" s="256">
        <f t="shared" si="205"/>
        <v>13.466700000000001</v>
      </c>
      <c r="S996" s="540" t="s">
        <v>1242</v>
      </c>
      <c r="T996" s="540"/>
    </row>
    <row r="997" spans="1:20" s="401" customFormat="1" ht="19.5" customHeight="1">
      <c r="A997" s="99" t="s">
        <v>977</v>
      </c>
      <c r="B997" s="100"/>
      <c r="C997" s="9" t="s">
        <v>83</v>
      </c>
      <c r="D997" s="402" t="s">
        <v>499</v>
      </c>
      <c r="E997" s="403" t="s">
        <v>73</v>
      </c>
      <c r="F997" s="403" t="s">
        <v>661</v>
      </c>
      <c r="G997" s="404">
        <v>39430</v>
      </c>
      <c r="H997" s="404">
        <v>39450</v>
      </c>
      <c r="I997" s="405" t="s">
        <v>70</v>
      </c>
      <c r="J997" s="406">
        <v>72.67</v>
      </c>
      <c r="K997" s="407">
        <v>14.534</v>
      </c>
      <c r="L997" s="280">
        <v>87.20400000000001</v>
      </c>
      <c r="M997" s="68">
        <v>18.1675</v>
      </c>
      <c r="N997" s="68">
        <v>3.6335</v>
      </c>
      <c r="O997" s="255">
        <v>21.801000000000002</v>
      </c>
      <c r="P997" s="68">
        <f t="shared" si="204"/>
        <v>11.808875</v>
      </c>
      <c r="Q997" s="409">
        <f t="shared" si="206"/>
        <v>2.361775</v>
      </c>
      <c r="R997" s="256">
        <f t="shared" si="205"/>
        <v>14.17065</v>
      </c>
      <c r="S997" s="540" t="s">
        <v>1242</v>
      </c>
      <c r="T997" s="540"/>
    </row>
    <row r="998" spans="1:20" s="401" customFormat="1" ht="19.5" customHeight="1">
      <c r="A998" s="99" t="s">
        <v>977</v>
      </c>
      <c r="B998" s="100"/>
      <c r="C998" s="9" t="s">
        <v>83</v>
      </c>
      <c r="D998" s="402" t="s">
        <v>1008</v>
      </c>
      <c r="E998" s="403" t="s">
        <v>99</v>
      </c>
      <c r="F998" s="403" t="s">
        <v>1009</v>
      </c>
      <c r="G998" s="404">
        <v>39422</v>
      </c>
      <c r="H998" s="404">
        <v>39461</v>
      </c>
      <c r="I998" s="405" t="s">
        <v>70</v>
      </c>
      <c r="J998" s="406">
        <v>214.08</v>
      </c>
      <c r="K998" s="407">
        <v>42.416000000000004</v>
      </c>
      <c r="L998" s="280">
        <v>256.49600000000004</v>
      </c>
      <c r="M998" s="68">
        <v>53.52</v>
      </c>
      <c r="N998" s="68">
        <v>10.704</v>
      </c>
      <c r="O998" s="255">
        <v>64.224</v>
      </c>
      <c r="P998" s="68">
        <f t="shared" si="204"/>
        <v>34.788000000000004</v>
      </c>
      <c r="Q998" s="409">
        <f t="shared" si="206"/>
        <v>6.9576</v>
      </c>
      <c r="R998" s="256">
        <f t="shared" si="205"/>
        <v>41.7456</v>
      </c>
      <c r="S998" s="540" t="s">
        <v>1242</v>
      </c>
      <c r="T998" s="540"/>
    </row>
    <row r="999" spans="1:20" s="401" customFormat="1" ht="19.5" customHeight="1">
      <c r="A999" s="99" t="s">
        <v>977</v>
      </c>
      <c r="B999" s="100"/>
      <c r="C999" s="9" t="s">
        <v>83</v>
      </c>
      <c r="D999" s="402" t="s">
        <v>938</v>
      </c>
      <c r="E999" s="403" t="s">
        <v>99</v>
      </c>
      <c r="F999" s="403" t="s">
        <v>1010</v>
      </c>
      <c r="G999" s="404">
        <v>39360</v>
      </c>
      <c r="H999" s="404">
        <v>39399</v>
      </c>
      <c r="I999" s="405" t="s">
        <v>70</v>
      </c>
      <c r="J999" s="406">
        <v>194.61</v>
      </c>
      <c r="K999" s="407">
        <v>38.891999999999996</v>
      </c>
      <c r="L999" s="280">
        <v>233.50199999999998</v>
      </c>
      <c r="M999" s="68">
        <v>48.6525</v>
      </c>
      <c r="N999" s="68">
        <v>9.7305</v>
      </c>
      <c r="O999" s="255">
        <v>58.382999999999996</v>
      </c>
      <c r="P999" s="68">
        <f t="shared" si="204"/>
        <v>31.624125000000003</v>
      </c>
      <c r="Q999" s="409">
        <f t="shared" si="206"/>
        <v>6.324825</v>
      </c>
      <c r="R999" s="256">
        <f t="shared" si="205"/>
        <v>37.94895</v>
      </c>
      <c r="S999" s="540" t="s">
        <v>1242</v>
      </c>
      <c r="T999" s="540"/>
    </row>
    <row r="1000" spans="1:20" s="401" customFormat="1" ht="19.5" customHeight="1">
      <c r="A1000" s="99" t="s">
        <v>977</v>
      </c>
      <c r="B1000" s="100"/>
      <c r="C1000" s="9" t="s">
        <v>83</v>
      </c>
      <c r="D1000" s="402" t="s">
        <v>1011</v>
      </c>
      <c r="E1000" s="403">
        <v>3</v>
      </c>
      <c r="F1000" s="403">
        <v>782458020</v>
      </c>
      <c r="G1000" s="404">
        <v>39401</v>
      </c>
      <c r="H1000" s="404">
        <v>39431</v>
      </c>
      <c r="I1000" s="405" t="s">
        <v>70</v>
      </c>
      <c r="J1000" s="406">
        <v>77.19</v>
      </c>
      <c r="K1000" s="407">
        <v>12.86</v>
      </c>
      <c r="L1000" s="280">
        <v>90.05</v>
      </c>
      <c r="M1000" s="68">
        <v>19.2975</v>
      </c>
      <c r="N1000" s="68">
        <v>3.8595</v>
      </c>
      <c r="O1000" s="255">
        <v>23.157</v>
      </c>
      <c r="P1000" s="68">
        <f t="shared" si="204"/>
        <v>12.543375</v>
      </c>
      <c r="Q1000" s="409">
        <f t="shared" si="206"/>
        <v>2.508675</v>
      </c>
      <c r="R1000" s="256">
        <f t="shared" si="205"/>
        <v>15.05205</v>
      </c>
      <c r="S1000" s="540" t="s">
        <v>1242</v>
      </c>
      <c r="T1000" s="540"/>
    </row>
    <row r="1001" spans="1:20" s="401" customFormat="1" ht="19.5" customHeight="1">
      <c r="A1001" s="99" t="s">
        <v>977</v>
      </c>
      <c r="B1001" s="100"/>
      <c r="C1001" s="9" t="s">
        <v>83</v>
      </c>
      <c r="D1001" s="402" t="s">
        <v>1012</v>
      </c>
      <c r="E1001" s="403">
        <v>3</v>
      </c>
      <c r="F1001" s="403">
        <v>782359329</v>
      </c>
      <c r="G1001" s="404">
        <v>39370</v>
      </c>
      <c r="H1001" s="404">
        <v>39400</v>
      </c>
      <c r="I1001" s="405" t="s">
        <v>70</v>
      </c>
      <c r="J1001" s="406">
        <v>69.91</v>
      </c>
      <c r="K1001" s="407">
        <v>11.4</v>
      </c>
      <c r="L1001" s="280">
        <v>81.31</v>
      </c>
      <c r="M1001" s="68">
        <v>17.4775</v>
      </c>
      <c r="N1001" s="68">
        <v>3.4955</v>
      </c>
      <c r="O1001" s="255">
        <v>20.973</v>
      </c>
      <c r="P1001" s="68">
        <f t="shared" si="204"/>
        <v>11.360375</v>
      </c>
      <c r="Q1001" s="409">
        <f t="shared" si="206"/>
        <v>2.272075</v>
      </c>
      <c r="R1001" s="256">
        <f t="shared" si="205"/>
        <v>13.632449999999999</v>
      </c>
      <c r="S1001" s="540" t="s">
        <v>1242</v>
      </c>
      <c r="T1001" s="540"/>
    </row>
    <row r="1002" spans="1:20" s="401" customFormat="1" ht="19.5" customHeight="1">
      <c r="A1002" s="99" t="s">
        <v>977</v>
      </c>
      <c r="B1002" s="100"/>
      <c r="C1002" s="9" t="s">
        <v>83</v>
      </c>
      <c r="D1002" s="402" t="s">
        <v>941</v>
      </c>
      <c r="E1002" s="403">
        <v>3</v>
      </c>
      <c r="F1002" s="403">
        <v>781994508</v>
      </c>
      <c r="G1002" s="404">
        <v>39340</v>
      </c>
      <c r="H1002" s="404">
        <v>39370</v>
      </c>
      <c r="I1002" s="405" t="s">
        <v>70</v>
      </c>
      <c r="J1002" s="406">
        <v>69.91</v>
      </c>
      <c r="K1002" s="407">
        <v>11.4</v>
      </c>
      <c r="L1002" s="280">
        <v>81.31</v>
      </c>
      <c r="M1002" s="68">
        <v>17.4775</v>
      </c>
      <c r="N1002" s="68">
        <v>3.4955</v>
      </c>
      <c r="O1002" s="255">
        <v>20.973</v>
      </c>
      <c r="P1002" s="68">
        <f t="shared" si="204"/>
        <v>11.360375</v>
      </c>
      <c r="Q1002" s="409">
        <f t="shared" si="206"/>
        <v>2.272075</v>
      </c>
      <c r="R1002" s="256">
        <f t="shared" si="205"/>
        <v>13.632449999999999</v>
      </c>
      <c r="S1002" s="540" t="s">
        <v>1242</v>
      </c>
      <c r="T1002" s="540"/>
    </row>
    <row r="1003" spans="1:20" s="401" customFormat="1" ht="19.5" customHeight="1">
      <c r="A1003" s="99" t="s">
        <v>977</v>
      </c>
      <c r="B1003" s="100"/>
      <c r="C1003" s="9" t="s">
        <v>83</v>
      </c>
      <c r="D1003" s="402" t="s">
        <v>1013</v>
      </c>
      <c r="E1003" s="403">
        <v>3</v>
      </c>
      <c r="F1003" s="403">
        <v>782735758</v>
      </c>
      <c r="G1003" s="404">
        <v>39431</v>
      </c>
      <c r="H1003" s="404">
        <v>39461</v>
      </c>
      <c r="I1003" s="405" t="s">
        <v>70</v>
      </c>
      <c r="J1003" s="406">
        <v>74.91</v>
      </c>
      <c r="K1003" s="407">
        <v>12.4</v>
      </c>
      <c r="L1003" s="280">
        <v>87.31</v>
      </c>
      <c r="M1003" s="68">
        <v>18.7275</v>
      </c>
      <c r="N1003" s="68">
        <v>3.7455</v>
      </c>
      <c r="O1003" s="255">
        <v>22.473</v>
      </c>
      <c r="P1003" s="68">
        <f t="shared" si="204"/>
        <v>12.172875</v>
      </c>
      <c r="Q1003" s="409">
        <f t="shared" si="206"/>
        <v>2.434575</v>
      </c>
      <c r="R1003" s="256">
        <f t="shared" si="205"/>
        <v>14.60745</v>
      </c>
      <c r="S1003" s="540" t="s">
        <v>1242</v>
      </c>
      <c r="T1003" s="540"/>
    </row>
    <row r="1004" spans="1:20" s="401" customFormat="1" ht="19.5" customHeight="1">
      <c r="A1004" s="99" t="s">
        <v>977</v>
      </c>
      <c r="B1004" s="100"/>
      <c r="C1004" s="9" t="s">
        <v>83</v>
      </c>
      <c r="D1004" s="402" t="s">
        <v>942</v>
      </c>
      <c r="E1004" s="403" t="s">
        <v>76</v>
      </c>
      <c r="F1004" s="403">
        <v>70962</v>
      </c>
      <c r="G1004" s="404">
        <v>39367</v>
      </c>
      <c r="H1004" s="404">
        <v>39381</v>
      </c>
      <c r="I1004" s="405" t="s">
        <v>670</v>
      </c>
      <c r="J1004" s="406">
        <v>527.6</v>
      </c>
      <c r="K1004" s="407">
        <v>105.52</v>
      </c>
      <c r="L1004" s="280">
        <v>633.12</v>
      </c>
      <c r="M1004" s="68">
        <v>131.9</v>
      </c>
      <c r="N1004" s="68">
        <v>26.38</v>
      </c>
      <c r="O1004" s="255">
        <v>158.28</v>
      </c>
      <c r="P1004" s="68">
        <f t="shared" si="204"/>
        <v>85.73500000000001</v>
      </c>
      <c r="Q1004" s="409">
        <f t="shared" si="206"/>
        <v>17.147</v>
      </c>
      <c r="R1004" s="256">
        <f t="shared" si="205"/>
        <v>102.882</v>
      </c>
      <c r="S1004" s="540" t="s">
        <v>1242</v>
      </c>
      <c r="T1004" s="540"/>
    </row>
    <row r="1005" spans="1:20" s="401" customFormat="1" ht="19.5" customHeight="1">
      <c r="A1005" s="99" t="s">
        <v>977</v>
      </c>
      <c r="B1005" s="100"/>
      <c r="C1005" s="9" t="s">
        <v>123</v>
      </c>
      <c r="D1005" s="402" t="s">
        <v>1023</v>
      </c>
      <c r="E1005" s="403" t="s">
        <v>1024</v>
      </c>
      <c r="F1005" s="403">
        <v>1</v>
      </c>
      <c r="G1005" s="404">
        <v>39449</v>
      </c>
      <c r="H1005" s="404">
        <v>39456</v>
      </c>
      <c r="I1005" s="405" t="s">
        <v>82</v>
      </c>
      <c r="J1005" s="406">
        <v>220</v>
      </c>
      <c r="K1005" s="407">
        <v>44</v>
      </c>
      <c r="L1005" s="280">
        <v>264</v>
      </c>
      <c r="M1005" s="68">
        <v>44</v>
      </c>
      <c r="N1005" s="68">
        <v>8.8</v>
      </c>
      <c r="O1005" s="255">
        <v>52.8</v>
      </c>
      <c r="P1005" s="68">
        <f t="shared" si="204"/>
        <v>28.6</v>
      </c>
      <c r="Q1005" s="409">
        <f t="shared" si="206"/>
        <v>5.720000000000001</v>
      </c>
      <c r="R1005" s="256">
        <f t="shared" si="205"/>
        <v>34.32</v>
      </c>
      <c r="S1005" s="540" t="s">
        <v>1242</v>
      </c>
      <c r="T1005" s="540"/>
    </row>
    <row r="1006" spans="1:20" s="401" customFormat="1" ht="19.5" customHeight="1">
      <c r="A1006" s="99" t="s">
        <v>977</v>
      </c>
      <c r="B1006" s="100"/>
      <c r="C1006" s="9" t="s">
        <v>123</v>
      </c>
      <c r="D1006" s="402" t="s">
        <v>1025</v>
      </c>
      <c r="E1006" s="403" t="s">
        <v>1024</v>
      </c>
      <c r="F1006" s="403">
        <v>908</v>
      </c>
      <c r="G1006" s="404">
        <v>39416</v>
      </c>
      <c r="H1006" s="404">
        <v>39430</v>
      </c>
      <c r="I1006" s="405" t="s">
        <v>82</v>
      </c>
      <c r="J1006" s="406">
        <v>220</v>
      </c>
      <c r="K1006" s="407">
        <v>44</v>
      </c>
      <c r="L1006" s="280">
        <v>264</v>
      </c>
      <c r="M1006" s="68">
        <v>44</v>
      </c>
      <c r="N1006" s="68">
        <v>8.8</v>
      </c>
      <c r="O1006" s="255">
        <v>52.8</v>
      </c>
      <c r="P1006" s="68">
        <f t="shared" si="204"/>
        <v>28.6</v>
      </c>
      <c r="Q1006" s="409">
        <f t="shared" si="206"/>
        <v>5.720000000000001</v>
      </c>
      <c r="R1006" s="256">
        <f t="shared" si="205"/>
        <v>34.32</v>
      </c>
      <c r="S1006" s="540" t="s">
        <v>1242</v>
      </c>
      <c r="T1006" s="540"/>
    </row>
    <row r="1007" spans="1:20" s="401" customFormat="1" ht="19.5" customHeight="1">
      <c r="A1007" s="99" t="s">
        <v>977</v>
      </c>
      <c r="B1007" s="100"/>
      <c r="C1007" s="9" t="s">
        <v>123</v>
      </c>
      <c r="D1007" s="402" t="s">
        <v>1026</v>
      </c>
      <c r="E1007" s="403" t="s">
        <v>1024</v>
      </c>
      <c r="F1007" s="403">
        <v>853</v>
      </c>
      <c r="G1007" s="404">
        <v>39393</v>
      </c>
      <c r="H1007" s="404">
        <v>39387</v>
      </c>
      <c r="I1007" s="405" t="s">
        <v>82</v>
      </c>
      <c r="J1007" s="406">
        <v>220</v>
      </c>
      <c r="K1007" s="407">
        <v>44</v>
      </c>
      <c r="L1007" s="280">
        <v>264</v>
      </c>
      <c r="M1007" s="68">
        <v>44</v>
      </c>
      <c r="N1007" s="68">
        <v>8.8</v>
      </c>
      <c r="O1007" s="255">
        <v>52.8</v>
      </c>
      <c r="P1007" s="68">
        <f t="shared" si="204"/>
        <v>28.6</v>
      </c>
      <c r="Q1007" s="409">
        <f t="shared" si="206"/>
        <v>5.720000000000001</v>
      </c>
      <c r="R1007" s="256">
        <f t="shared" si="205"/>
        <v>34.32</v>
      </c>
      <c r="S1007" s="540" t="s">
        <v>1242</v>
      </c>
      <c r="T1007" s="540"/>
    </row>
    <row r="1008" spans="1:20" s="401" customFormat="1" ht="19.5" customHeight="1">
      <c r="A1008" s="99" t="s">
        <v>977</v>
      </c>
      <c r="B1008" s="100"/>
      <c r="C1008" s="9" t="s">
        <v>123</v>
      </c>
      <c r="D1008" s="402" t="s">
        <v>1027</v>
      </c>
      <c r="E1008" s="403" t="s">
        <v>1028</v>
      </c>
      <c r="F1008" s="403"/>
      <c r="G1008" s="404">
        <v>39385</v>
      </c>
      <c r="H1008" s="404">
        <v>39385</v>
      </c>
      <c r="I1008" s="405" t="s">
        <v>1029</v>
      </c>
      <c r="J1008" s="406">
        <v>117</v>
      </c>
      <c r="K1008" s="407">
        <v>0</v>
      </c>
      <c r="L1008" s="280">
        <v>117</v>
      </c>
      <c r="M1008" s="68">
        <v>23.4</v>
      </c>
      <c r="N1008" s="68">
        <v>0</v>
      </c>
      <c r="O1008" s="255">
        <v>23.4</v>
      </c>
      <c r="P1008" s="68">
        <f t="shared" si="204"/>
        <v>15.209999999999999</v>
      </c>
      <c r="Q1008" s="409">
        <f t="shared" si="206"/>
        <v>0</v>
      </c>
      <c r="R1008" s="256">
        <f t="shared" si="205"/>
        <v>15.209999999999999</v>
      </c>
      <c r="S1008" s="540" t="s">
        <v>1242</v>
      </c>
      <c r="T1008" s="540"/>
    </row>
    <row r="1009" spans="1:20" s="401" customFormat="1" ht="19.5" customHeight="1">
      <c r="A1009" s="99" t="s">
        <v>977</v>
      </c>
      <c r="B1009" s="100"/>
      <c r="C1009" s="9" t="s">
        <v>123</v>
      </c>
      <c r="D1009" s="402" t="s">
        <v>1027</v>
      </c>
      <c r="E1009" s="403" t="s">
        <v>1028</v>
      </c>
      <c r="F1009" s="403"/>
      <c r="G1009" s="404">
        <v>39415</v>
      </c>
      <c r="H1009" s="404">
        <v>39415</v>
      </c>
      <c r="I1009" s="405" t="s">
        <v>1029</v>
      </c>
      <c r="J1009" s="406">
        <v>117</v>
      </c>
      <c r="K1009" s="407">
        <v>0</v>
      </c>
      <c r="L1009" s="280">
        <v>117</v>
      </c>
      <c r="M1009" s="68">
        <v>23.4</v>
      </c>
      <c r="N1009" s="68">
        <v>0</v>
      </c>
      <c r="O1009" s="255">
        <v>23.4</v>
      </c>
      <c r="P1009" s="68">
        <f t="shared" si="204"/>
        <v>15.209999999999999</v>
      </c>
      <c r="Q1009" s="409">
        <f t="shared" si="206"/>
        <v>0</v>
      </c>
      <c r="R1009" s="256">
        <f t="shared" si="205"/>
        <v>15.209999999999999</v>
      </c>
      <c r="S1009" s="540" t="s">
        <v>1242</v>
      </c>
      <c r="T1009" s="540"/>
    </row>
    <row r="1010" spans="1:20" s="401" customFormat="1" ht="19.5" customHeight="1">
      <c r="A1010" s="99" t="s">
        <v>977</v>
      </c>
      <c r="B1010" s="100"/>
      <c r="C1010" s="9" t="s">
        <v>123</v>
      </c>
      <c r="D1010" s="402" t="s">
        <v>1027</v>
      </c>
      <c r="E1010" s="403" t="s">
        <v>1028</v>
      </c>
      <c r="F1010" s="403"/>
      <c r="G1010" s="404">
        <v>39444</v>
      </c>
      <c r="H1010" s="404">
        <v>39444</v>
      </c>
      <c r="I1010" s="405" t="s">
        <v>1029</v>
      </c>
      <c r="J1010" s="406">
        <v>117</v>
      </c>
      <c r="K1010" s="407">
        <v>0</v>
      </c>
      <c r="L1010" s="280">
        <v>117</v>
      </c>
      <c r="M1010" s="68">
        <v>23.4</v>
      </c>
      <c r="N1010" s="68">
        <v>0</v>
      </c>
      <c r="O1010" s="255">
        <v>23.4</v>
      </c>
      <c r="P1010" s="68">
        <f t="shared" si="204"/>
        <v>15.209999999999999</v>
      </c>
      <c r="Q1010" s="409">
        <f t="shared" si="206"/>
        <v>0</v>
      </c>
      <c r="R1010" s="256">
        <f t="shared" si="205"/>
        <v>15.209999999999999</v>
      </c>
      <c r="S1010" s="540" t="s">
        <v>1242</v>
      </c>
      <c r="T1010" s="540"/>
    </row>
    <row r="1011" spans="1:20" s="401" customFormat="1" ht="19.5" customHeight="1">
      <c r="A1011" s="99" t="s">
        <v>977</v>
      </c>
      <c r="B1011" s="100"/>
      <c r="C1011" s="9" t="s">
        <v>123</v>
      </c>
      <c r="D1011" s="402" t="s">
        <v>131</v>
      </c>
      <c r="E1011" s="403" t="s">
        <v>224</v>
      </c>
      <c r="F1011" s="403" t="s">
        <v>1030</v>
      </c>
      <c r="G1011" s="404">
        <v>39335</v>
      </c>
      <c r="H1011" s="404">
        <v>39370</v>
      </c>
      <c r="I1011" s="405" t="s">
        <v>78</v>
      </c>
      <c r="J1011" s="406">
        <v>229.4</v>
      </c>
      <c r="K1011" s="407">
        <v>45.88</v>
      </c>
      <c r="L1011" s="280">
        <v>275.28</v>
      </c>
      <c r="M1011" s="68">
        <v>45.88</v>
      </c>
      <c r="N1011" s="68">
        <v>9.176</v>
      </c>
      <c r="O1011" s="255">
        <v>55.056000000000004</v>
      </c>
      <c r="P1011" s="68">
        <f t="shared" si="204"/>
        <v>29.822000000000003</v>
      </c>
      <c r="Q1011" s="409">
        <f t="shared" si="206"/>
        <v>5.9644</v>
      </c>
      <c r="R1011" s="256">
        <f t="shared" si="205"/>
        <v>35.7864</v>
      </c>
      <c r="S1011" s="540" t="s">
        <v>1242</v>
      </c>
      <c r="T1011" s="540"/>
    </row>
    <row r="1012" spans="1:20" s="401" customFormat="1" ht="19.5" customHeight="1">
      <c r="A1012" s="99" t="s">
        <v>977</v>
      </c>
      <c r="B1012" s="100"/>
      <c r="C1012" s="9" t="s">
        <v>123</v>
      </c>
      <c r="D1012" s="402" t="s">
        <v>131</v>
      </c>
      <c r="E1012" s="403" t="s">
        <v>224</v>
      </c>
      <c r="F1012" s="403" t="s">
        <v>1031</v>
      </c>
      <c r="G1012" s="404">
        <v>39335</v>
      </c>
      <c r="H1012" s="404">
        <v>39370</v>
      </c>
      <c r="I1012" s="405" t="s">
        <v>78</v>
      </c>
      <c r="J1012" s="406">
        <v>46.67</v>
      </c>
      <c r="K1012" s="407">
        <v>9.334000000000001</v>
      </c>
      <c r="L1012" s="280">
        <v>56.004000000000005</v>
      </c>
      <c r="M1012" s="68">
        <v>9.334000000000001</v>
      </c>
      <c r="N1012" s="68">
        <v>1.8668000000000005</v>
      </c>
      <c r="O1012" s="255">
        <v>11.200800000000001</v>
      </c>
      <c r="P1012" s="68">
        <f t="shared" si="204"/>
        <v>6.067100000000001</v>
      </c>
      <c r="Q1012" s="409">
        <f t="shared" si="206"/>
        <v>1.2134200000000004</v>
      </c>
      <c r="R1012" s="256">
        <f t="shared" si="205"/>
        <v>7.280520000000001</v>
      </c>
      <c r="S1012" s="540" t="s">
        <v>1242</v>
      </c>
      <c r="T1012" s="540"/>
    </row>
    <row r="1013" spans="1:20" s="401" customFormat="1" ht="19.5" customHeight="1">
      <c r="A1013" s="99" t="s">
        <v>977</v>
      </c>
      <c r="B1013" s="100"/>
      <c r="C1013" s="9" t="s">
        <v>123</v>
      </c>
      <c r="D1013" s="402" t="s">
        <v>131</v>
      </c>
      <c r="E1013" s="403" t="s">
        <v>224</v>
      </c>
      <c r="F1013" s="403" t="s">
        <v>1032</v>
      </c>
      <c r="G1013" s="404">
        <v>39395</v>
      </c>
      <c r="H1013" s="404">
        <v>39427</v>
      </c>
      <c r="I1013" s="405" t="s">
        <v>78</v>
      </c>
      <c r="J1013" s="406">
        <v>196.68</v>
      </c>
      <c r="K1013" s="407">
        <v>39.32</v>
      </c>
      <c r="L1013" s="280">
        <v>236</v>
      </c>
      <c r="M1013" s="68">
        <v>39.336000000000006</v>
      </c>
      <c r="N1013" s="68">
        <v>7.864000000000001</v>
      </c>
      <c r="O1013" s="255">
        <v>47.2</v>
      </c>
      <c r="P1013" s="68">
        <f t="shared" si="204"/>
        <v>25.568400000000004</v>
      </c>
      <c r="Q1013" s="409">
        <f t="shared" si="206"/>
        <v>5.111600000000001</v>
      </c>
      <c r="R1013" s="256">
        <f t="shared" si="205"/>
        <v>30.680000000000007</v>
      </c>
      <c r="S1013" s="540" t="s">
        <v>1242</v>
      </c>
      <c r="T1013" s="540"/>
    </row>
    <row r="1014" spans="1:20" s="401" customFormat="1" ht="19.5" customHeight="1">
      <c r="A1014" s="99" t="s">
        <v>977</v>
      </c>
      <c r="B1014" s="100"/>
      <c r="C1014" s="9" t="s">
        <v>123</v>
      </c>
      <c r="D1014" s="402" t="s">
        <v>131</v>
      </c>
      <c r="E1014" s="403" t="s">
        <v>224</v>
      </c>
      <c r="F1014" s="403" t="s">
        <v>1033</v>
      </c>
      <c r="G1014" s="404">
        <v>39395</v>
      </c>
      <c r="H1014" s="404">
        <v>39427</v>
      </c>
      <c r="I1014" s="405" t="s">
        <v>78</v>
      </c>
      <c r="J1014" s="406">
        <v>49.12</v>
      </c>
      <c r="K1014" s="407">
        <v>9.88</v>
      </c>
      <c r="L1014" s="280">
        <v>59</v>
      </c>
      <c r="M1014" s="68">
        <v>9.824</v>
      </c>
      <c r="N1014" s="68">
        <v>1.9760000000000002</v>
      </c>
      <c r="O1014" s="255">
        <v>11.8</v>
      </c>
      <c r="P1014" s="68">
        <f t="shared" si="204"/>
        <v>6.3856</v>
      </c>
      <c r="Q1014" s="409">
        <f t="shared" si="206"/>
        <v>1.2844000000000002</v>
      </c>
      <c r="R1014" s="256">
        <f t="shared" si="205"/>
        <v>7.67</v>
      </c>
      <c r="S1014" s="540" t="s">
        <v>1242</v>
      </c>
      <c r="T1014" s="540"/>
    </row>
    <row r="1015" spans="1:20" s="401" customFormat="1" ht="19.5" customHeight="1">
      <c r="A1015" s="99" t="s">
        <v>977</v>
      </c>
      <c r="B1015" s="100"/>
      <c r="C1015" s="9" t="s">
        <v>123</v>
      </c>
      <c r="D1015" s="402" t="s">
        <v>1034</v>
      </c>
      <c r="E1015" s="403" t="s">
        <v>73</v>
      </c>
      <c r="F1015" s="403" t="s">
        <v>1035</v>
      </c>
      <c r="G1015" s="404">
        <v>39402</v>
      </c>
      <c r="H1015" s="404">
        <v>39422</v>
      </c>
      <c r="I1015" s="405" t="s">
        <v>78</v>
      </c>
      <c r="J1015" s="406">
        <v>130.89</v>
      </c>
      <c r="K1015" s="407">
        <v>26.177999999999997</v>
      </c>
      <c r="L1015" s="280">
        <v>157.06799999999998</v>
      </c>
      <c r="M1015" s="68">
        <v>26.177999999999997</v>
      </c>
      <c r="N1015" s="68">
        <v>5.2356</v>
      </c>
      <c r="O1015" s="255">
        <v>31.413599999999995</v>
      </c>
      <c r="P1015" s="68">
        <f t="shared" si="204"/>
        <v>17.0157</v>
      </c>
      <c r="Q1015" s="409">
        <f t="shared" si="206"/>
        <v>3.40314</v>
      </c>
      <c r="R1015" s="256">
        <f t="shared" si="205"/>
        <v>20.41884</v>
      </c>
      <c r="S1015" s="540" t="s">
        <v>1242</v>
      </c>
      <c r="T1015" s="540"/>
    </row>
    <row r="1016" spans="1:20" s="401" customFormat="1" ht="19.5" customHeight="1">
      <c r="A1016" s="99" t="s">
        <v>977</v>
      </c>
      <c r="B1016" s="100"/>
      <c r="C1016" s="9" t="s">
        <v>123</v>
      </c>
      <c r="D1016" s="402" t="s">
        <v>1036</v>
      </c>
      <c r="E1016" s="403" t="s">
        <v>1037</v>
      </c>
      <c r="F1016" s="403"/>
      <c r="G1016" s="404">
        <v>39385</v>
      </c>
      <c r="H1016" s="404">
        <v>39385</v>
      </c>
      <c r="I1016" s="405" t="s">
        <v>1029</v>
      </c>
      <c r="J1016" s="406">
        <v>940.76</v>
      </c>
      <c r="K1016" s="407"/>
      <c r="L1016" s="280">
        <v>940.76</v>
      </c>
      <c r="M1016" s="68">
        <v>188.15200000000002</v>
      </c>
      <c r="N1016" s="68">
        <v>0</v>
      </c>
      <c r="O1016" s="255">
        <v>188.15200000000002</v>
      </c>
      <c r="P1016" s="68">
        <f t="shared" si="204"/>
        <v>122.29880000000001</v>
      </c>
      <c r="Q1016" s="409">
        <f t="shared" si="206"/>
        <v>0</v>
      </c>
      <c r="R1016" s="256">
        <f t="shared" si="205"/>
        <v>122.29880000000001</v>
      </c>
      <c r="S1016" s="540" t="s">
        <v>1242</v>
      </c>
      <c r="T1016" s="540"/>
    </row>
    <row r="1017" spans="1:20" s="401" customFormat="1" ht="19.5" customHeight="1">
      <c r="A1017" s="99" t="s">
        <v>977</v>
      </c>
      <c r="B1017" s="100"/>
      <c r="C1017" s="9" t="s">
        <v>123</v>
      </c>
      <c r="D1017" s="402" t="s">
        <v>1036</v>
      </c>
      <c r="E1017" s="403" t="s">
        <v>1037</v>
      </c>
      <c r="F1017" s="403"/>
      <c r="G1017" s="404">
        <v>39416</v>
      </c>
      <c r="H1017" s="404">
        <v>39416</v>
      </c>
      <c r="I1017" s="405" t="s">
        <v>1029</v>
      </c>
      <c r="J1017" s="406">
        <v>940.76</v>
      </c>
      <c r="K1017" s="407"/>
      <c r="L1017" s="280">
        <v>940.76</v>
      </c>
      <c r="M1017" s="68">
        <v>188.15200000000002</v>
      </c>
      <c r="N1017" s="68">
        <v>0</v>
      </c>
      <c r="O1017" s="255">
        <v>188.15200000000002</v>
      </c>
      <c r="P1017" s="68">
        <f t="shared" si="204"/>
        <v>122.29880000000001</v>
      </c>
      <c r="Q1017" s="409">
        <f t="shared" si="206"/>
        <v>0</v>
      </c>
      <c r="R1017" s="256">
        <f t="shared" si="205"/>
        <v>122.29880000000001</v>
      </c>
      <c r="S1017" s="540" t="s">
        <v>1242</v>
      </c>
      <c r="T1017" s="540"/>
    </row>
    <row r="1018" spans="1:20" s="401" customFormat="1" ht="19.5" customHeight="1">
      <c r="A1018" s="99" t="s">
        <v>977</v>
      </c>
      <c r="B1018" s="100"/>
      <c r="C1018" s="9" t="s">
        <v>123</v>
      </c>
      <c r="D1018" s="402" t="s">
        <v>1036</v>
      </c>
      <c r="E1018" s="403" t="s">
        <v>1037</v>
      </c>
      <c r="F1018" s="403"/>
      <c r="G1018" s="404">
        <v>39449</v>
      </c>
      <c r="H1018" s="404">
        <v>39449</v>
      </c>
      <c r="I1018" s="405" t="s">
        <v>1029</v>
      </c>
      <c r="J1018" s="406">
        <v>940.76</v>
      </c>
      <c r="K1018" s="407"/>
      <c r="L1018" s="280">
        <v>940.76</v>
      </c>
      <c r="M1018" s="68">
        <v>188.15200000000002</v>
      </c>
      <c r="N1018" s="68">
        <v>0</v>
      </c>
      <c r="O1018" s="255">
        <v>188.15200000000002</v>
      </c>
      <c r="P1018" s="68">
        <f t="shared" si="204"/>
        <v>122.29880000000001</v>
      </c>
      <c r="Q1018" s="409">
        <f t="shared" si="206"/>
        <v>0</v>
      </c>
      <c r="R1018" s="256">
        <f t="shared" si="205"/>
        <v>122.29880000000001</v>
      </c>
      <c r="S1018" s="540" t="s">
        <v>1242</v>
      </c>
      <c r="T1018" s="540"/>
    </row>
    <row r="1019" spans="1:20" s="401" customFormat="1" ht="19.5" customHeight="1">
      <c r="A1019" s="99" t="s">
        <v>977</v>
      </c>
      <c r="B1019" s="100"/>
      <c r="C1019" s="9" t="s">
        <v>123</v>
      </c>
      <c r="D1019" s="402" t="s">
        <v>1036</v>
      </c>
      <c r="E1019" s="403" t="s">
        <v>1037</v>
      </c>
      <c r="F1019" s="403"/>
      <c r="G1019" s="404">
        <v>39478</v>
      </c>
      <c r="H1019" s="404">
        <v>39478</v>
      </c>
      <c r="I1019" s="405" t="s">
        <v>1029</v>
      </c>
      <c r="J1019" s="406">
        <v>940.76</v>
      </c>
      <c r="K1019" s="407"/>
      <c r="L1019" s="280">
        <v>940.76</v>
      </c>
      <c r="M1019" s="68">
        <v>188.15200000000002</v>
      </c>
      <c r="N1019" s="68">
        <v>0</v>
      </c>
      <c r="O1019" s="255">
        <v>188.15200000000002</v>
      </c>
      <c r="P1019" s="68">
        <f t="shared" si="204"/>
        <v>122.29880000000001</v>
      </c>
      <c r="Q1019" s="409">
        <f t="shared" si="206"/>
        <v>0</v>
      </c>
      <c r="R1019" s="256">
        <f t="shared" si="205"/>
        <v>122.29880000000001</v>
      </c>
      <c r="S1019" s="540" t="s">
        <v>1242</v>
      </c>
      <c r="T1019" s="540"/>
    </row>
    <row r="1020" spans="1:20" s="401" customFormat="1" ht="19.5" customHeight="1">
      <c r="A1020" s="99" t="s">
        <v>977</v>
      </c>
      <c r="B1020" s="100" t="s">
        <v>729</v>
      </c>
      <c r="C1020" s="9" t="s">
        <v>123</v>
      </c>
      <c r="D1020" s="402" t="s">
        <v>1038</v>
      </c>
      <c r="E1020" s="403" t="s">
        <v>1039</v>
      </c>
      <c r="F1020" s="403">
        <v>13</v>
      </c>
      <c r="G1020" s="404">
        <v>39408</v>
      </c>
      <c r="H1020" s="404">
        <v>39400</v>
      </c>
      <c r="I1020" s="405" t="s">
        <v>82</v>
      </c>
      <c r="J1020" s="406">
        <v>2500</v>
      </c>
      <c r="K1020" s="407">
        <v>500</v>
      </c>
      <c r="L1020" s="280">
        <v>3000</v>
      </c>
      <c r="M1020" s="406">
        <v>2500</v>
      </c>
      <c r="N1020" s="407">
        <v>500</v>
      </c>
      <c r="O1020" s="255">
        <f>+N1020+M1020</f>
        <v>3000</v>
      </c>
      <c r="P1020" s="68">
        <f t="shared" si="204"/>
        <v>1625</v>
      </c>
      <c r="Q1020" s="409">
        <f t="shared" si="206"/>
        <v>325</v>
      </c>
      <c r="R1020" s="256">
        <f t="shared" si="205"/>
        <v>1950</v>
      </c>
      <c r="S1020" s="540" t="s">
        <v>1242</v>
      </c>
      <c r="T1020" s="540"/>
    </row>
    <row r="1021" spans="1:20" s="401" customFormat="1" ht="19.5" customHeight="1">
      <c r="A1021" s="99" t="s">
        <v>977</v>
      </c>
      <c r="B1021" s="100" t="s">
        <v>729</v>
      </c>
      <c r="C1021" s="9" t="s">
        <v>123</v>
      </c>
      <c r="D1021" s="402" t="s">
        <v>1038</v>
      </c>
      <c r="E1021" s="403" t="s">
        <v>1039</v>
      </c>
      <c r="F1021" s="403">
        <v>17</v>
      </c>
      <c r="G1021" s="404">
        <v>39419</v>
      </c>
      <c r="H1021" s="404">
        <v>39433</v>
      </c>
      <c r="I1021" s="405" t="s">
        <v>82</v>
      </c>
      <c r="J1021" s="406">
        <v>4470</v>
      </c>
      <c r="K1021" s="407">
        <v>894</v>
      </c>
      <c r="L1021" s="280">
        <v>5364</v>
      </c>
      <c r="M1021" s="406">
        <v>4470</v>
      </c>
      <c r="N1021" s="407">
        <v>894</v>
      </c>
      <c r="O1021" s="255">
        <f>+N1021+M1021</f>
        <v>5364</v>
      </c>
      <c r="P1021" s="68">
        <f t="shared" si="204"/>
        <v>2905.5</v>
      </c>
      <c r="Q1021" s="409">
        <f t="shared" si="206"/>
        <v>581.1</v>
      </c>
      <c r="R1021" s="256">
        <f t="shared" si="205"/>
        <v>3486.6</v>
      </c>
      <c r="S1021" s="540" t="s">
        <v>1242</v>
      </c>
      <c r="T1021" s="540"/>
    </row>
    <row r="1022" spans="1:20" s="401" customFormat="1" ht="19.5" customHeight="1">
      <c r="A1022" s="99" t="s">
        <v>977</v>
      </c>
      <c r="B1022" s="100" t="s">
        <v>729</v>
      </c>
      <c r="C1022" s="9" t="s">
        <v>123</v>
      </c>
      <c r="D1022" s="402" t="s">
        <v>1040</v>
      </c>
      <c r="E1022" s="403" t="s">
        <v>1039</v>
      </c>
      <c r="F1022" s="403">
        <v>18</v>
      </c>
      <c r="G1022" s="404">
        <v>39419</v>
      </c>
      <c r="H1022" s="404">
        <v>39433</v>
      </c>
      <c r="I1022" s="405" t="s">
        <v>82</v>
      </c>
      <c r="J1022" s="406">
        <v>121</v>
      </c>
      <c r="K1022" s="407"/>
      <c r="L1022" s="280">
        <v>121</v>
      </c>
      <c r="M1022" s="406">
        <v>121</v>
      </c>
      <c r="N1022" s="407"/>
      <c r="O1022" s="255">
        <f>+N1022+M1022</f>
        <v>121</v>
      </c>
      <c r="P1022" s="68">
        <f t="shared" si="204"/>
        <v>78.65</v>
      </c>
      <c r="Q1022" s="409">
        <f t="shared" si="206"/>
        <v>0</v>
      </c>
      <c r="R1022" s="256">
        <f t="shared" si="205"/>
        <v>78.65</v>
      </c>
      <c r="S1022" s="540" t="s">
        <v>1242</v>
      </c>
      <c r="T1022" s="540"/>
    </row>
    <row r="1023" spans="1:20" s="401" customFormat="1" ht="22.5">
      <c r="A1023" s="99" t="s">
        <v>977</v>
      </c>
      <c r="B1023" s="100"/>
      <c r="C1023" s="232" t="s">
        <v>890</v>
      </c>
      <c r="D1023" s="402" t="s">
        <v>1041</v>
      </c>
      <c r="E1023" s="403"/>
      <c r="F1023" s="403">
        <v>53304</v>
      </c>
      <c r="G1023" s="404"/>
      <c r="H1023" s="404"/>
      <c r="I1023" s="405"/>
      <c r="J1023" s="406">
        <v>27.89</v>
      </c>
      <c r="K1023" s="407"/>
      <c r="L1023" s="280">
        <v>27.89</v>
      </c>
      <c r="M1023" s="406">
        <v>27.89</v>
      </c>
      <c r="N1023" s="407"/>
      <c r="O1023" s="255">
        <f>+N1023+M1023</f>
        <v>27.89</v>
      </c>
      <c r="P1023" s="68">
        <f t="shared" si="204"/>
        <v>18.128500000000003</v>
      </c>
      <c r="Q1023" s="409">
        <f t="shared" si="206"/>
        <v>0</v>
      </c>
      <c r="R1023" s="256">
        <f t="shared" si="205"/>
        <v>18.128500000000003</v>
      </c>
      <c r="S1023" s="540" t="s">
        <v>1242</v>
      </c>
      <c r="T1023" s="540"/>
    </row>
    <row r="1024" spans="1:20" s="401" customFormat="1" ht="22.5">
      <c r="A1024" s="99" t="s">
        <v>977</v>
      </c>
      <c r="B1024" s="100"/>
      <c r="C1024" s="232" t="s">
        <v>890</v>
      </c>
      <c r="D1024" s="402" t="s">
        <v>1042</v>
      </c>
      <c r="E1024" s="403"/>
      <c r="F1024" s="403">
        <v>59489</v>
      </c>
      <c r="G1024" s="404"/>
      <c r="H1024" s="404"/>
      <c r="I1024" s="405"/>
      <c r="J1024" s="406">
        <v>67.82</v>
      </c>
      <c r="K1024" s="407"/>
      <c r="L1024" s="280">
        <v>67.82</v>
      </c>
      <c r="M1024" s="406">
        <v>67.82</v>
      </c>
      <c r="N1024" s="407"/>
      <c r="O1024" s="255">
        <f>+N1024+M1024</f>
        <v>67.82</v>
      </c>
      <c r="P1024" s="68">
        <f t="shared" si="204"/>
        <v>44.083</v>
      </c>
      <c r="Q1024" s="409">
        <f t="shared" si="206"/>
        <v>0</v>
      </c>
      <c r="R1024" s="256">
        <f t="shared" si="205"/>
        <v>44.083</v>
      </c>
      <c r="S1024" s="540" t="s">
        <v>1242</v>
      </c>
      <c r="T1024" s="540"/>
    </row>
    <row r="1025" spans="1:20" s="401" customFormat="1" ht="19.5" customHeight="1">
      <c r="A1025" s="99" t="s">
        <v>977</v>
      </c>
      <c r="B1025" s="100"/>
      <c r="C1025" s="9" t="s">
        <v>152</v>
      </c>
      <c r="D1025" s="402" t="s">
        <v>168</v>
      </c>
      <c r="E1025" s="403" t="s">
        <v>1052</v>
      </c>
      <c r="F1025" s="403" t="s">
        <v>1053</v>
      </c>
      <c r="G1025" s="404">
        <v>39289</v>
      </c>
      <c r="H1025" s="404">
        <v>39367</v>
      </c>
      <c r="I1025" s="405" t="s">
        <v>157</v>
      </c>
      <c r="J1025" s="406">
        <v>1058.74</v>
      </c>
      <c r="K1025" s="407">
        <v>211.74800000000002</v>
      </c>
      <c r="L1025" s="280">
        <v>1270.488</v>
      </c>
      <c r="M1025" s="68">
        <v>264.685</v>
      </c>
      <c r="N1025" s="68">
        <v>52.937000000000005</v>
      </c>
      <c r="O1025" s="255">
        <v>317.622</v>
      </c>
      <c r="P1025" s="68">
        <f t="shared" si="204"/>
        <v>172.04525</v>
      </c>
      <c r="Q1025" s="409">
        <f t="shared" si="206"/>
        <v>34.40905000000001</v>
      </c>
      <c r="R1025" s="256">
        <f t="shared" si="205"/>
        <v>206.45430000000002</v>
      </c>
      <c r="S1025" s="540" t="s">
        <v>1242</v>
      </c>
      <c r="T1025" s="540"/>
    </row>
    <row r="1026" spans="1:20" s="401" customFormat="1" ht="19.5" customHeight="1">
      <c r="A1026" s="99" t="s">
        <v>977</v>
      </c>
      <c r="B1026" s="100"/>
      <c r="C1026" s="9" t="s">
        <v>152</v>
      </c>
      <c r="D1026" s="402" t="s">
        <v>432</v>
      </c>
      <c r="E1026" s="403" t="s">
        <v>1052</v>
      </c>
      <c r="F1026" s="403" t="s">
        <v>1054</v>
      </c>
      <c r="G1026" s="404">
        <v>39289</v>
      </c>
      <c r="H1026" s="404">
        <v>39406</v>
      </c>
      <c r="I1026" s="405" t="s">
        <v>157</v>
      </c>
      <c r="J1026" s="406">
        <v>1058.74</v>
      </c>
      <c r="K1026" s="407">
        <v>211.74800000000002</v>
      </c>
      <c r="L1026" s="280">
        <v>1270.488</v>
      </c>
      <c r="M1026" s="68">
        <v>264.685</v>
      </c>
      <c r="N1026" s="68">
        <v>52.937000000000005</v>
      </c>
      <c r="O1026" s="255">
        <v>317.622</v>
      </c>
      <c r="P1026" s="68">
        <f t="shared" si="204"/>
        <v>172.04525</v>
      </c>
      <c r="Q1026" s="409">
        <f t="shared" si="206"/>
        <v>34.40905000000001</v>
      </c>
      <c r="R1026" s="256">
        <f t="shared" si="205"/>
        <v>206.45430000000002</v>
      </c>
      <c r="S1026" s="540" t="s">
        <v>1242</v>
      </c>
      <c r="T1026" s="540"/>
    </row>
    <row r="1027" spans="1:20" s="401" customFormat="1" ht="19.5" customHeight="1">
      <c r="A1027" s="99" t="s">
        <v>977</v>
      </c>
      <c r="B1027" s="100"/>
      <c r="C1027" s="9" t="s">
        <v>152</v>
      </c>
      <c r="D1027" s="402" t="s">
        <v>435</v>
      </c>
      <c r="E1027" s="403" t="s">
        <v>1052</v>
      </c>
      <c r="F1027" s="403">
        <v>116238</v>
      </c>
      <c r="G1027" s="404">
        <v>39373</v>
      </c>
      <c r="H1027" s="404">
        <v>39471</v>
      </c>
      <c r="I1027" s="405" t="s">
        <v>157</v>
      </c>
      <c r="J1027" s="406">
        <v>1058.74</v>
      </c>
      <c r="K1027" s="407">
        <v>211.74800000000002</v>
      </c>
      <c r="L1027" s="280">
        <v>1270.488</v>
      </c>
      <c r="M1027" s="68">
        <v>264.685</v>
      </c>
      <c r="N1027" s="68">
        <v>52.937000000000005</v>
      </c>
      <c r="O1027" s="255">
        <v>317.622</v>
      </c>
      <c r="P1027" s="68">
        <f t="shared" si="204"/>
        <v>172.04525</v>
      </c>
      <c r="Q1027" s="409">
        <f t="shared" si="206"/>
        <v>34.40905000000001</v>
      </c>
      <c r="R1027" s="256">
        <f t="shared" si="205"/>
        <v>206.45430000000002</v>
      </c>
      <c r="S1027" s="540" t="s">
        <v>1242</v>
      </c>
      <c r="T1027" s="540"/>
    </row>
    <row r="1028" spans="1:20" s="401" customFormat="1" ht="19.5" customHeight="1">
      <c r="A1028" s="99" t="s">
        <v>977</v>
      </c>
      <c r="B1028" s="100"/>
      <c r="C1028" s="9" t="s">
        <v>152</v>
      </c>
      <c r="D1028" s="402" t="s">
        <v>177</v>
      </c>
      <c r="E1028" s="403" t="s">
        <v>178</v>
      </c>
      <c r="F1028" s="403">
        <v>45021</v>
      </c>
      <c r="G1028" s="404">
        <v>39347</v>
      </c>
      <c r="H1028" s="404">
        <v>39367</v>
      </c>
      <c r="I1028" s="405" t="s">
        <v>179</v>
      </c>
      <c r="J1028" s="406">
        <v>172.93</v>
      </c>
      <c r="K1028" s="407">
        <v>34.586000000000006</v>
      </c>
      <c r="L1028" s="280">
        <v>207.51600000000002</v>
      </c>
      <c r="M1028" s="68">
        <v>43.2325</v>
      </c>
      <c r="N1028" s="68">
        <v>8.646500000000001</v>
      </c>
      <c r="O1028" s="255">
        <v>51.879000000000005</v>
      </c>
      <c r="P1028" s="68">
        <f t="shared" si="204"/>
        <v>28.101125000000003</v>
      </c>
      <c r="Q1028" s="409">
        <f t="shared" si="206"/>
        <v>5.620225000000001</v>
      </c>
      <c r="R1028" s="256">
        <f t="shared" si="205"/>
        <v>33.72135</v>
      </c>
      <c r="S1028" s="540" t="s">
        <v>1242</v>
      </c>
      <c r="T1028" s="540"/>
    </row>
    <row r="1029" spans="1:20" s="401" customFormat="1" ht="19.5" customHeight="1">
      <c r="A1029" s="99" t="s">
        <v>977</v>
      </c>
      <c r="B1029" s="100"/>
      <c r="C1029" s="9" t="s">
        <v>152</v>
      </c>
      <c r="D1029" s="402" t="s">
        <v>177</v>
      </c>
      <c r="E1029" s="403" t="s">
        <v>178</v>
      </c>
      <c r="F1029" s="403">
        <v>45022</v>
      </c>
      <c r="G1029" s="404">
        <v>39413</v>
      </c>
      <c r="H1029" s="404">
        <v>39433</v>
      </c>
      <c r="I1029" s="405" t="s">
        <v>179</v>
      </c>
      <c r="J1029" s="406">
        <v>191.7</v>
      </c>
      <c r="K1029" s="407">
        <v>38.34</v>
      </c>
      <c r="L1029" s="280">
        <v>230.04</v>
      </c>
      <c r="M1029" s="68">
        <v>47.925</v>
      </c>
      <c r="N1029" s="68">
        <v>9.585</v>
      </c>
      <c r="O1029" s="255">
        <v>57.51</v>
      </c>
      <c r="P1029" s="68">
        <f t="shared" si="204"/>
        <v>31.151249999999997</v>
      </c>
      <c r="Q1029" s="409">
        <f t="shared" si="206"/>
        <v>6.230250000000001</v>
      </c>
      <c r="R1029" s="256">
        <f t="shared" si="205"/>
        <v>37.381499999999996</v>
      </c>
      <c r="S1029" s="540" t="s">
        <v>1242</v>
      </c>
      <c r="T1029" s="540"/>
    </row>
    <row r="1030" spans="1:20" s="401" customFormat="1" ht="19.5" customHeight="1">
      <c r="A1030" s="99" t="s">
        <v>977</v>
      </c>
      <c r="B1030" s="100"/>
      <c r="C1030" s="9" t="s">
        <v>152</v>
      </c>
      <c r="D1030" s="402" t="s">
        <v>181</v>
      </c>
      <c r="E1030" s="403" t="s">
        <v>182</v>
      </c>
      <c r="F1030" s="403">
        <v>4345</v>
      </c>
      <c r="G1030" s="404">
        <v>39335</v>
      </c>
      <c r="H1030" s="404">
        <v>39370</v>
      </c>
      <c r="I1030" s="405" t="s">
        <v>1055</v>
      </c>
      <c r="J1030" s="406">
        <v>486.74</v>
      </c>
      <c r="K1030" s="407">
        <v>97.34800000000001</v>
      </c>
      <c r="L1030" s="280">
        <v>610</v>
      </c>
      <c r="M1030" s="68">
        <v>121.685</v>
      </c>
      <c r="N1030" s="68">
        <v>24.337000000000003</v>
      </c>
      <c r="O1030" s="255">
        <v>146.022</v>
      </c>
      <c r="P1030" s="68">
        <f t="shared" si="204"/>
        <v>79.09525000000001</v>
      </c>
      <c r="Q1030" s="409">
        <f t="shared" si="206"/>
        <v>15.819050000000002</v>
      </c>
      <c r="R1030" s="256">
        <f t="shared" si="205"/>
        <v>94.91430000000001</v>
      </c>
      <c r="S1030" s="540" t="s">
        <v>1242</v>
      </c>
      <c r="T1030" s="540"/>
    </row>
    <row r="1031" spans="1:20" s="401" customFormat="1" ht="19.5" customHeight="1">
      <c r="A1031" s="99" t="s">
        <v>977</v>
      </c>
      <c r="B1031" s="100"/>
      <c r="C1031" s="9" t="s">
        <v>152</v>
      </c>
      <c r="D1031" s="402" t="s">
        <v>181</v>
      </c>
      <c r="E1031" s="403" t="s">
        <v>182</v>
      </c>
      <c r="F1031" s="403">
        <v>8162</v>
      </c>
      <c r="G1031" s="404">
        <v>39395</v>
      </c>
      <c r="H1031" s="404">
        <v>39430</v>
      </c>
      <c r="I1031" s="405" t="s">
        <v>1055</v>
      </c>
      <c r="J1031" s="406">
        <v>120.73</v>
      </c>
      <c r="K1031" s="407">
        <v>24.146</v>
      </c>
      <c r="L1031" s="280">
        <v>145</v>
      </c>
      <c r="M1031" s="68">
        <v>30.1825</v>
      </c>
      <c r="N1031" s="68">
        <v>6.0365</v>
      </c>
      <c r="O1031" s="255">
        <v>36.219</v>
      </c>
      <c r="P1031" s="68">
        <f t="shared" si="204"/>
        <v>19.618625</v>
      </c>
      <c r="Q1031" s="409">
        <f t="shared" si="206"/>
        <v>3.923725</v>
      </c>
      <c r="R1031" s="256">
        <f t="shared" si="205"/>
        <v>23.542350000000003</v>
      </c>
      <c r="S1031" s="540" t="s">
        <v>1242</v>
      </c>
      <c r="T1031" s="540"/>
    </row>
    <row r="1032" spans="1:20" s="401" customFormat="1" ht="19.5" customHeight="1">
      <c r="A1032" s="99" t="s">
        <v>977</v>
      </c>
      <c r="B1032" s="100"/>
      <c r="C1032" s="9" t="s">
        <v>152</v>
      </c>
      <c r="D1032" s="402" t="s">
        <v>181</v>
      </c>
      <c r="E1032" s="403" t="s">
        <v>182</v>
      </c>
      <c r="F1032" s="403">
        <v>8141</v>
      </c>
      <c r="G1032" s="404">
        <v>39395</v>
      </c>
      <c r="H1032" s="404">
        <v>39430</v>
      </c>
      <c r="I1032" s="405" t="s">
        <v>1055</v>
      </c>
      <c r="J1032" s="406">
        <v>521.19</v>
      </c>
      <c r="K1032" s="407">
        <v>104.23800000000001</v>
      </c>
      <c r="L1032" s="280">
        <v>625.5</v>
      </c>
      <c r="M1032" s="68">
        <v>130.2975</v>
      </c>
      <c r="N1032" s="68">
        <v>26.059500000000003</v>
      </c>
      <c r="O1032" s="255">
        <v>156.35700000000003</v>
      </c>
      <c r="P1032" s="68">
        <f t="shared" si="204"/>
        <v>84.69337500000002</v>
      </c>
      <c r="Q1032" s="409">
        <f t="shared" si="206"/>
        <v>16.938675000000003</v>
      </c>
      <c r="R1032" s="256">
        <f t="shared" si="205"/>
        <v>101.63205000000002</v>
      </c>
      <c r="S1032" s="540" t="s">
        <v>1242</v>
      </c>
      <c r="T1032" s="540"/>
    </row>
    <row r="1033" spans="1:20" s="401" customFormat="1" ht="19.5" customHeight="1">
      <c r="A1033" s="99" t="s">
        <v>977</v>
      </c>
      <c r="B1033" s="100"/>
      <c r="C1033" s="9" t="s">
        <v>184</v>
      </c>
      <c r="D1033" s="402" t="s">
        <v>1059</v>
      </c>
      <c r="E1033" s="403" t="s">
        <v>677</v>
      </c>
      <c r="F1033" s="403">
        <v>283</v>
      </c>
      <c r="G1033" s="404">
        <v>39356</v>
      </c>
      <c r="H1033" s="404">
        <v>39365</v>
      </c>
      <c r="I1033" s="405" t="s">
        <v>61</v>
      </c>
      <c r="J1033" s="406">
        <v>757.87</v>
      </c>
      <c r="K1033" s="407">
        <v>151.574</v>
      </c>
      <c r="L1033" s="280">
        <v>909.444</v>
      </c>
      <c r="M1033" s="68">
        <v>151.574</v>
      </c>
      <c r="N1033" s="68">
        <v>30.314800000000005</v>
      </c>
      <c r="O1033" s="255">
        <v>181.8888</v>
      </c>
      <c r="P1033" s="68">
        <f t="shared" si="204"/>
        <v>98.52310000000001</v>
      </c>
      <c r="Q1033" s="409">
        <f t="shared" si="206"/>
        <v>19.704620000000006</v>
      </c>
      <c r="R1033" s="256">
        <f t="shared" si="205"/>
        <v>118.22772000000002</v>
      </c>
      <c r="S1033" s="540" t="s">
        <v>1242</v>
      </c>
      <c r="T1033" s="540"/>
    </row>
    <row r="1034" spans="1:20" s="401" customFormat="1" ht="19.5" customHeight="1">
      <c r="A1034" s="99" t="s">
        <v>977</v>
      </c>
      <c r="B1034" s="100"/>
      <c r="C1034" s="9" t="s">
        <v>184</v>
      </c>
      <c r="D1034" s="402" t="s">
        <v>1060</v>
      </c>
      <c r="E1034" s="403" t="s">
        <v>677</v>
      </c>
      <c r="F1034" s="403">
        <v>306</v>
      </c>
      <c r="G1034" s="404">
        <v>39387</v>
      </c>
      <c r="H1034" s="404">
        <v>39407</v>
      </c>
      <c r="I1034" s="405" t="s">
        <v>61</v>
      </c>
      <c r="J1034" s="406">
        <v>757.87</v>
      </c>
      <c r="K1034" s="407">
        <v>151.574</v>
      </c>
      <c r="L1034" s="280">
        <v>909.444</v>
      </c>
      <c r="M1034" s="68">
        <v>151.574</v>
      </c>
      <c r="N1034" s="68">
        <v>30.314800000000005</v>
      </c>
      <c r="O1034" s="255">
        <v>181.8888</v>
      </c>
      <c r="P1034" s="68">
        <f t="shared" si="204"/>
        <v>98.52310000000001</v>
      </c>
      <c r="Q1034" s="409">
        <f t="shared" si="206"/>
        <v>19.704620000000006</v>
      </c>
      <c r="R1034" s="256">
        <f t="shared" si="205"/>
        <v>118.22772000000002</v>
      </c>
      <c r="S1034" s="540" t="s">
        <v>1242</v>
      </c>
      <c r="T1034" s="540"/>
    </row>
    <row r="1035" spans="1:20" s="401" customFormat="1" ht="19.5" customHeight="1">
      <c r="A1035" s="99" t="s">
        <v>977</v>
      </c>
      <c r="B1035" s="100"/>
      <c r="C1035" s="9" t="s">
        <v>184</v>
      </c>
      <c r="D1035" s="402" t="s">
        <v>1061</v>
      </c>
      <c r="E1035" s="403" t="s">
        <v>677</v>
      </c>
      <c r="F1035" s="403">
        <v>334</v>
      </c>
      <c r="G1035" s="404">
        <v>39417</v>
      </c>
      <c r="H1035" s="404">
        <v>39434</v>
      </c>
      <c r="I1035" s="405" t="s">
        <v>61</v>
      </c>
      <c r="J1035" s="406">
        <v>757.87</v>
      </c>
      <c r="K1035" s="407">
        <v>151.574</v>
      </c>
      <c r="L1035" s="280">
        <v>909.444</v>
      </c>
      <c r="M1035" s="68">
        <v>151.574</v>
      </c>
      <c r="N1035" s="68">
        <v>30.314800000000005</v>
      </c>
      <c r="O1035" s="255">
        <v>181.8888</v>
      </c>
      <c r="P1035" s="68">
        <f t="shared" si="204"/>
        <v>98.52310000000001</v>
      </c>
      <c r="Q1035" s="409">
        <f t="shared" si="206"/>
        <v>19.704620000000006</v>
      </c>
      <c r="R1035" s="256">
        <f t="shared" si="205"/>
        <v>118.22772000000002</v>
      </c>
      <c r="S1035" s="540" t="s">
        <v>1242</v>
      </c>
      <c r="T1035" s="540"/>
    </row>
    <row r="1036" spans="1:20" s="401" customFormat="1" ht="19.5" customHeight="1">
      <c r="A1036" s="99" t="s">
        <v>977</v>
      </c>
      <c r="B1036" s="100"/>
      <c r="C1036" s="9" t="s">
        <v>184</v>
      </c>
      <c r="D1036" s="402" t="s">
        <v>1062</v>
      </c>
      <c r="E1036" s="403" t="s">
        <v>677</v>
      </c>
      <c r="F1036" s="403">
        <v>13</v>
      </c>
      <c r="G1036" s="404">
        <v>39449</v>
      </c>
      <c r="H1036" s="404">
        <v>39461</v>
      </c>
      <c r="I1036" s="405" t="s">
        <v>61</v>
      </c>
      <c r="J1036" s="406">
        <v>757.87</v>
      </c>
      <c r="K1036" s="407">
        <v>151.574</v>
      </c>
      <c r="L1036" s="280">
        <v>909.444</v>
      </c>
      <c r="M1036" s="68">
        <v>151.574</v>
      </c>
      <c r="N1036" s="68">
        <v>30.314800000000005</v>
      </c>
      <c r="O1036" s="255">
        <v>181.8888</v>
      </c>
      <c r="P1036" s="68">
        <f t="shared" si="204"/>
        <v>98.52310000000001</v>
      </c>
      <c r="Q1036" s="409">
        <f t="shared" si="206"/>
        <v>19.704620000000006</v>
      </c>
      <c r="R1036" s="256">
        <f t="shared" si="205"/>
        <v>118.22772000000002</v>
      </c>
      <c r="S1036" s="540" t="s">
        <v>1242</v>
      </c>
      <c r="T1036" s="540"/>
    </row>
    <row r="1037" spans="1:20" s="401" customFormat="1" ht="19.5" customHeight="1">
      <c r="A1037" s="99" t="s">
        <v>977</v>
      </c>
      <c r="B1037" s="100"/>
      <c r="C1037" s="9" t="s">
        <v>184</v>
      </c>
      <c r="D1037" s="402" t="s">
        <v>1063</v>
      </c>
      <c r="E1037" s="403" t="s">
        <v>73</v>
      </c>
      <c r="F1037" s="403" t="s">
        <v>1064</v>
      </c>
      <c r="G1037" s="404">
        <v>39380</v>
      </c>
      <c r="H1037" s="404">
        <v>39395</v>
      </c>
      <c r="I1037" s="405" t="s">
        <v>196</v>
      </c>
      <c r="J1037" s="406">
        <v>73.92</v>
      </c>
      <c r="K1037" s="407">
        <v>14.784</v>
      </c>
      <c r="L1037" s="280">
        <v>88.70400000000001</v>
      </c>
      <c r="M1037" s="68">
        <v>14.784</v>
      </c>
      <c r="N1037" s="68">
        <v>2.9568000000000003</v>
      </c>
      <c r="O1037" s="255">
        <v>17.7408</v>
      </c>
      <c r="P1037" s="68">
        <f t="shared" si="204"/>
        <v>9.6096</v>
      </c>
      <c r="Q1037" s="409">
        <f t="shared" si="206"/>
        <v>1.9219200000000003</v>
      </c>
      <c r="R1037" s="256">
        <f t="shared" si="205"/>
        <v>11.53152</v>
      </c>
      <c r="S1037" s="540" t="s">
        <v>1242</v>
      </c>
      <c r="T1037" s="540"/>
    </row>
    <row r="1038" spans="1:20" s="401" customFormat="1" ht="19.5" customHeight="1">
      <c r="A1038" s="99" t="s">
        <v>977</v>
      </c>
      <c r="B1038" s="100"/>
      <c r="C1038" s="9" t="s">
        <v>184</v>
      </c>
      <c r="D1038" s="402" t="s">
        <v>1065</v>
      </c>
      <c r="E1038" s="403" t="s">
        <v>73</v>
      </c>
      <c r="F1038" s="403" t="s">
        <v>1066</v>
      </c>
      <c r="G1038" s="404">
        <v>39406</v>
      </c>
      <c r="H1038" s="404">
        <v>39421</v>
      </c>
      <c r="I1038" s="405" t="s">
        <v>196</v>
      </c>
      <c r="J1038" s="406">
        <v>138.19</v>
      </c>
      <c r="K1038" s="407">
        <v>27.638</v>
      </c>
      <c r="L1038" s="280">
        <v>165.828</v>
      </c>
      <c r="M1038" s="68">
        <v>27.638</v>
      </c>
      <c r="N1038" s="68">
        <v>5.5276000000000005</v>
      </c>
      <c r="O1038" s="255">
        <v>33.165600000000005</v>
      </c>
      <c r="P1038" s="68">
        <f t="shared" si="204"/>
        <v>17.9647</v>
      </c>
      <c r="Q1038" s="409">
        <f t="shared" si="206"/>
        <v>3.5929400000000005</v>
      </c>
      <c r="R1038" s="256">
        <f t="shared" si="205"/>
        <v>21.55764</v>
      </c>
      <c r="S1038" s="540" t="s">
        <v>1242</v>
      </c>
      <c r="T1038" s="540"/>
    </row>
    <row r="1039" spans="1:20" s="401" customFormat="1" ht="19.5" customHeight="1">
      <c r="A1039" s="99" t="s">
        <v>977</v>
      </c>
      <c r="B1039" s="100"/>
      <c r="C1039" s="9" t="s">
        <v>184</v>
      </c>
      <c r="D1039" s="402" t="s">
        <v>1067</v>
      </c>
      <c r="E1039" s="403" t="s">
        <v>73</v>
      </c>
      <c r="F1039" s="403" t="s">
        <v>1068</v>
      </c>
      <c r="G1039" s="404">
        <v>39426</v>
      </c>
      <c r="H1039" s="404">
        <v>39443</v>
      </c>
      <c r="I1039" s="405" t="s">
        <v>196</v>
      </c>
      <c r="J1039" s="406">
        <v>123.26</v>
      </c>
      <c r="K1039" s="407">
        <v>24.652</v>
      </c>
      <c r="L1039" s="280">
        <v>147.912</v>
      </c>
      <c r="M1039" s="68">
        <v>24.652</v>
      </c>
      <c r="N1039" s="68">
        <v>4.930400000000001</v>
      </c>
      <c r="O1039" s="255">
        <v>29.5824</v>
      </c>
      <c r="P1039" s="68">
        <f t="shared" si="204"/>
        <v>16.0238</v>
      </c>
      <c r="Q1039" s="409">
        <f t="shared" si="206"/>
        <v>3.2047600000000003</v>
      </c>
      <c r="R1039" s="256">
        <f t="shared" si="205"/>
        <v>19.22856</v>
      </c>
      <c r="S1039" s="540" t="s">
        <v>1242</v>
      </c>
      <c r="T1039" s="540"/>
    </row>
    <row r="1040" spans="1:20" s="401" customFormat="1" ht="19.5" customHeight="1">
      <c r="A1040" s="99" t="s">
        <v>977</v>
      </c>
      <c r="B1040" s="100"/>
      <c r="C1040" s="9" t="s">
        <v>184</v>
      </c>
      <c r="D1040" s="402" t="s">
        <v>1069</v>
      </c>
      <c r="E1040" s="403" t="s">
        <v>73</v>
      </c>
      <c r="F1040" s="403" t="s">
        <v>1070</v>
      </c>
      <c r="G1040" s="404">
        <v>39463</v>
      </c>
      <c r="H1040" s="404">
        <v>39478</v>
      </c>
      <c r="I1040" s="405" t="s">
        <v>196</v>
      </c>
      <c r="J1040" s="406">
        <v>114.95</v>
      </c>
      <c r="K1040" s="407">
        <v>22.99</v>
      </c>
      <c r="L1040" s="280">
        <v>137.94</v>
      </c>
      <c r="M1040" s="68">
        <v>22.99</v>
      </c>
      <c r="N1040" s="68">
        <v>4.598000000000001</v>
      </c>
      <c r="O1040" s="255">
        <v>27.588</v>
      </c>
      <c r="P1040" s="68">
        <f t="shared" si="204"/>
        <v>14.9435</v>
      </c>
      <c r="Q1040" s="409">
        <f t="shared" si="206"/>
        <v>2.9887000000000006</v>
      </c>
      <c r="R1040" s="256">
        <f t="shared" si="205"/>
        <v>17.9322</v>
      </c>
      <c r="S1040" s="540" t="s">
        <v>1242</v>
      </c>
      <c r="T1040" s="540"/>
    </row>
    <row r="1041" spans="1:20" s="401" customFormat="1" ht="19.5" customHeight="1">
      <c r="A1041" s="99" t="s">
        <v>977</v>
      </c>
      <c r="B1041" s="100"/>
      <c r="C1041" s="9" t="s">
        <v>184</v>
      </c>
      <c r="D1041" s="402" t="s">
        <v>131</v>
      </c>
      <c r="E1041" s="403" t="s">
        <v>966</v>
      </c>
      <c r="F1041" s="403">
        <v>5467099</v>
      </c>
      <c r="G1041" s="404">
        <v>39416</v>
      </c>
      <c r="H1041" s="404">
        <v>39477</v>
      </c>
      <c r="I1041" s="405" t="s">
        <v>800</v>
      </c>
      <c r="J1041" s="406">
        <v>275.52</v>
      </c>
      <c r="K1041" s="407">
        <v>55.104</v>
      </c>
      <c r="L1041" s="280">
        <v>330.62399999999997</v>
      </c>
      <c r="M1041" s="68">
        <v>55.104</v>
      </c>
      <c r="N1041" s="68">
        <v>11.020800000000001</v>
      </c>
      <c r="O1041" s="255">
        <v>66.1248</v>
      </c>
      <c r="P1041" s="68">
        <f t="shared" si="204"/>
        <v>35.8176</v>
      </c>
      <c r="Q1041" s="409">
        <f t="shared" si="206"/>
        <v>7.163520000000001</v>
      </c>
      <c r="R1041" s="256">
        <f t="shared" si="205"/>
        <v>42.98112</v>
      </c>
      <c r="S1041" s="540" t="s">
        <v>1242</v>
      </c>
      <c r="T1041" s="540"/>
    </row>
    <row r="1042" spans="1:20" s="401" customFormat="1" ht="19.5" customHeight="1">
      <c r="A1042" s="99" t="s">
        <v>977</v>
      </c>
      <c r="B1042" s="100"/>
      <c r="C1042" s="9" t="s">
        <v>184</v>
      </c>
      <c r="D1042" s="402" t="s">
        <v>690</v>
      </c>
      <c r="E1042" s="403"/>
      <c r="F1042" s="403">
        <v>818</v>
      </c>
      <c r="G1042" s="404">
        <v>39450</v>
      </c>
      <c r="H1042" s="404">
        <v>39461</v>
      </c>
      <c r="I1042" s="405" t="s">
        <v>691</v>
      </c>
      <c r="J1042" s="406">
        <v>159</v>
      </c>
      <c r="K1042" s="407">
        <v>0</v>
      </c>
      <c r="L1042" s="280">
        <v>159</v>
      </c>
      <c r="M1042" s="68">
        <v>31.8</v>
      </c>
      <c r="N1042" s="68"/>
      <c r="O1042" s="255">
        <v>31.8</v>
      </c>
      <c r="P1042" s="68">
        <f t="shared" si="204"/>
        <v>20.67</v>
      </c>
      <c r="Q1042" s="409">
        <f t="shared" si="206"/>
        <v>0</v>
      </c>
      <c r="R1042" s="256">
        <f t="shared" si="205"/>
        <v>20.67</v>
      </c>
      <c r="S1042" s="540" t="s">
        <v>1242</v>
      </c>
      <c r="T1042" s="540"/>
    </row>
    <row r="1043" spans="1:20" s="401" customFormat="1" ht="19.5" customHeight="1">
      <c r="A1043" s="99" t="s">
        <v>977</v>
      </c>
      <c r="B1043" s="100"/>
      <c r="C1043" s="9" t="s">
        <v>184</v>
      </c>
      <c r="D1043" s="402" t="s">
        <v>690</v>
      </c>
      <c r="E1043" s="403"/>
      <c r="F1043" s="403">
        <v>775</v>
      </c>
      <c r="G1043" s="404">
        <v>39328</v>
      </c>
      <c r="H1043" s="404">
        <v>39365</v>
      </c>
      <c r="I1043" s="405" t="s">
        <v>61</v>
      </c>
      <c r="J1043" s="406">
        <v>159</v>
      </c>
      <c r="K1043" s="407">
        <v>0</v>
      </c>
      <c r="L1043" s="280">
        <v>159</v>
      </c>
      <c r="M1043" s="68">
        <v>31.8</v>
      </c>
      <c r="N1043" s="68"/>
      <c r="O1043" s="255">
        <v>31.8</v>
      </c>
      <c r="P1043" s="68">
        <f t="shared" si="204"/>
        <v>20.67</v>
      </c>
      <c r="Q1043" s="409">
        <f t="shared" si="206"/>
        <v>0</v>
      </c>
      <c r="R1043" s="256">
        <f t="shared" si="205"/>
        <v>20.67</v>
      </c>
      <c r="S1043" s="540" t="s">
        <v>1242</v>
      </c>
      <c r="T1043" s="540"/>
    </row>
    <row r="1044" spans="1:20" s="401" customFormat="1" ht="19.5" customHeight="1">
      <c r="A1044" s="99" t="s">
        <v>977</v>
      </c>
      <c r="B1044" s="100"/>
      <c r="C1044" s="9" t="s">
        <v>184</v>
      </c>
      <c r="D1044" s="402" t="s">
        <v>690</v>
      </c>
      <c r="E1044" s="403"/>
      <c r="F1044" s="403">
        <v>796</v>
      </c>
      <c r="G1044" s="404">
        <v>39388</v>
      </c>
      <c r="H1044" s="404">
        <v>39407</v>
      </c>
      <c r="I1044" s="405" t="s">
        <v>61</v>
      </c>
      <c r="J1044" s="406">
        <v>159</v>
      </c>
      <c r="K1044" s="407">
        <v>0</v>
      </c>
      <c r="L1044" s="280">
        <v>159</v>
      </c>
      <c r="M1044" s="68">
        <v>31.8</v>
      </c>
      <c r="N1044" s="68"/>
      <c r="O1044" s="255">
        <v>31.8</v>
      </c>
      <c r="P1044" s="68">
        <f aca="true" t="shared" si="207" ref="P1044:P1107">+M1044*0.65</f>
        <v>20.67</v>
      </c>
      <c r="Q1044" s="409">
        <f t="shared" si="206"/>
        <v>0</v>
      </c>
      <c r="R1044" s="256">
        <f aca="true" t="shared" si="208" ref="R1044:R1107">+Q1044+P1044</f>
        <v>20.67</v>
      </c>
      <c r="S1044" s="540" t="s">
        <v>1242</v>
      </c>
      <c r="T1044" s="540"/>
    </row>
    <row r="1045" spans="1:20" s="401" customFormat="1" ht="19.5" customHeight="1">
      <c r="A1045" s="99" t="s">
        <v>977</v>
      </c>
      <c r="B1045" s="100" t="s">
        <v>729</v>
      </c>
      <c r="C1045" s="9" t="s">
        <v>184</v>
      </c>
      <c r="D1045" s="402" t="s">
        <v>1038</v>
      </c>
      <c r="E1045" s="403" t="s">
        <v>1071</v>
      </c>
      <c r="F1045" s="403">
        <v>4</v>
      </c>
      <c r="G1045" s="404">
        <v>39456</v>
      </c>
      <c r="H1045" s="404">
        <v>39477</v>
      </c>
      <c r="I1045" s="405" t="s">
        <v>61</v>
      </c>
      <c r="J1045" s="406">
        <v>5180</v>
      </c>
      <c r="K1045" s="407">
        <v>1036</v>
      </c>
      <c r="L1045" s="280">
        <v>6216</v>
      </c>
      <c r="M1045" s="406">
        <v>5180</v>
      </c>
      <c r="N1045" s="407">
        <v>1036</v>
      </c>
      <c r="O1045" s="255">
        <f aca="true" t="shared" si="209" ref="O1045:O1050">+N1045+M1045</f>
        <v>6216</v>
      </c>
      <c r="P1045" s="68">
        <f t="shared" si="207"/>
        <v>3367</v>
      </c>
      <c r="Q1045" s="409">
        <f aca="true" t="shared" si="210" ref="Q1045:Q1108">+N1045*0.65</f>
        <v>673.4</v>
      </c>
      <c r="R1045" s="256">
        <f t="shared" si="208"/>
        <v>4040.4</v>
      </c>
      <c r="S1045" s="540" t="s">
        <v>1242</v>
      </c>
      <c r="T1045" s="540"/>
    </row>
    <row r="1046" spans="1:20" s="401" customFormat="1" ht="19.5" customHeight="1">
      <c r="A1046" s="99" t="s">
        <v>977</v>
      </c>
      <c r="B1046" s="100" t="s">
        <v>729</v>
      </c>
      <c r="C1046" s="9" t="s">
        <v>184</v>
      </c>
      <c r="D1046" s="402" t="s">
        <v>1072</v>
      </c>
      <c r="E1046" s="403" t="s">
        <v>1073</v>
      </c>
      <c r="F1046" s="403" t="s">
        <v>1074</v>
      </c>
      <c r="G1046" s="404">
        <v>39433</v>
      </c>
      <c r="H1046" s="404">
        <v>39477</v>
      </c>
      <c r="I1046" s="405" t="s">
        <v>61</v>
      </c>
      <c r="J1046" s="406">
        <v>980</v>
      </c>
      <c r="K1046" s="407"/>
      <c r="L1046" s="280">
        <v>980</v>
      </c>
      <c r="M1046" s="406">
        <v>980</v>
      </c>
      <c r="N1046" s="407"/>
      <c r="O1046" s="255">
        <f t="shared" si="209"/>
        <v>980</v>
      </c>
      <c r="P1046" s="68">
        <f t="shared" si="207"/>
        <v>637</v>
      </c>
      <c r="Q1046" s="409">
        <f t="shared" si="210"/>
        <v>0</v>
      </c>
      <c r="R1046" s="256">
        <f t="shared" si="208"/>
        <v>637</v>
      </c>
      <c r="S1046" s="540" t="s">
        <v>1242</v>
      </c>
      <c r="T1046" s="540"/>
    </row>
    <row r="1047" spans="1:20" s="401" customFormat="1" ht="27.75" customHeight="1">
      <c r="A1047" s="99" t="s">
        <v>977</v>
      </c>
      <c r="B1047" s="100" t="s">
        <v>729</v>
      </c>
      <c r="C1047" s="232" t="s">
        <v>256</v>
      </c>
      <c r="D1047" s="402" t="s">
        <v>1083</v>
      </c>
      <c r="E1047" s="403" t="s">
        <v>1084</v>
      </c>
      <c r="F1047" s="403">
        <v>97</v>
      </c>
      <c r="G1047" s="404">
        <v>39635</v>
      </c>
      <c r="H1047" s="404">
        <v>39645</v>
      </c>
      <c r="I1047" s="405" t="s">
        <v>61</v>
      </c>
      <c r="J1047" s="406">
        <v>450</v>
      </c>
      <c r="K1047" s="407">
        <v>90</v>
      </c>
      <c r="L1047" s="280">
        <v>540</v>
      </c>
      <c r="M1047" s="406">
        <v>450</v>
      </c>
      <c r="N1047" s="407">
        <v>90</v>
      </c>
      <c r="O1047" s="255">
        <f t="shared" si="209"/>
        <v>540</v>
      </c>
      <c r="P1047" s="68">
        <f t="shared" si="207"/>
        <v>292.5</v>
      </c>
      <c r="Q1047" s="409">
        <f t="shared" si="210"/>
        <v>58.5</v>
      </c>
      <c r="R1047" s="256">
        <f t="shared" si="208"/>
        <v>351</v>
      </c>
      <c r="S1047" s="540" t="s">
        <v>1242</v>
      </c>
      <c r="T1047" s="540"/>
    </row>
    <row r="1048" spans="1:20" s="401" customFormat="1" ht="27.75" customHeight="1">
      <c r="A1048" s="99" t="s">
        <v>977</v>
      </c>
      <c r="B1048" s="100" t="s">
        <v>729</v>
      </c>
      <c r="C1048" s="232" t="s">
        <v>256</v>
      </c>
      <c r="D1048" s="402" t="s">
        <v>1085</v>
      </c>
      <c r="E1048" s="403" t="s">
        <v>1086</v>
      </c>
      <c r="F1048" s="403">
        <v>48</v>
      </c>
      <c r="G1048" s="404">
        <v>39660</v>
      </c>
      <c r="H1048" s="404">
        <v>39664</v>
      </c>
      <c r="I1048" s="405" t="s">
        <v>61</v>
      </c>
      <c r="J1048" s="406">
        <v>4000</v>
      </c>
      <c r="K1048" s="407">
        <v>800</v>
      </c>
      <c r="L1048" s="280">
        <v>4800</v>
      </c>
      <c r="M1048" s="406">
        <v>4000</v>
      </c>
      <c r="N1048" s="407">
        <v>800</v>
      </c>
      <c r="O1048" s="255">
        <f t="shared" si="209"/>
        <v>4800</v>
      </c>
      <c r="P1048" s="68">
        <f t="shared" si="207"/>
        <v>2600</v>
      </c>
      <c r="Q1048" s="409">
        <f t="shared" si="210"/>
        <v>520</v>
      </c>
      <c r="R1048" s="256">
        <f t="shared" si="208"/>
        <v>3120</v>
      </c>
      <c r="S1048" s="540" t="s">
        <v>1242</v>
      </c>
      <c r="T1048" s="540"/>
    </row>
    <row r="1049" spans="1:20" s="401" customFormat="1" ht="27.75" customHeight="1">
      <c r="A1049" s="99" t="s">
        <v>977</v>
      </c>
      <c r="B1049" s="100" t="s">
        <v>729</v>
      </c>
      <c r="C1049" s="232" t="s">
        <v>256</v>
      </c>
      <c r="D1049" s="402" t="s">
        <v>1087</v>
      </c>
      <c r="E1049" s="403" t="s">
        <v>1088</v>
      </c>
      <c r="F1049" s="403">
        <v>8020237</v>
      </c>
      <c r="G1049" s="404">
        <v>39633</v>
      </c>
      <c r="H1049" s="404">
        <v>39617</v>
      </c>
      <c r="I1049" s="405" t="s">
        <v>61</v>
      </c>
      <c r="J1049" s="406">
        <v>45.33</v>
      </c>
      <c r="K1049" s="407">
        <v>9.066</v>
      </c>
      <c r="L1049" s="280">
        <v>54.396</v>
      </c>
      <c r="M1049" s="406">
        <v>45.33</v>
      </c>
      <c r="N1049" s="407">
        <v>9.066</v>
      </c>
      <c r="O1049" s="255">
        <f t="shared" si="209"/>
        <v>54.396</v>
      </c>
      <c r="P1049" s="68">
        <f t="shared" si="207"/>
        <v>29.4645</v>
      </c>
      <c r="Q1049" s="409">
        <f t="shared" si="210"/>
        <v>5.892900000000001</v>
      </c>
      <c r="R1049" s="256">
        <f t="shared" si="208"/>
        <v>35.3574</v>
      </c>
      <c r="S1049" s="540" t="s">
        <v>1242</v>
      </c>
      <c r="T1049" s="540"/>
    </row>
    <row r="1050" spans="1:20" s="401" customFormat="1" ht="27.75" customHeight="1">
      <c r="A1050" s="99" t="s">
        <v>977</v>
      </c>
      <c r="B1050" s="100" t="s">
        <v>729</v>
      </c>
      <c r="C1050" s="232" t="s">
        <v>256</v>
      </c>
      <c r="D1050" s="402" t="s">
        <v>1089</v>
      </c>
      <c r="E1050" s="403" t="s">
        <v>1090</v>
      </c>
      <c r="F1050" s="403">
        <v>276</v>
      </c>
      <c r="G1050" s="404">
        <v>39660</v>
      </c>
      <c r="H1050" s="404">
        <v>39610</v>
      </c>
      <c r="I1050" s="405" t="s">
        <v>61</v>
      </c>
      <c r="J1050" s="406">
        <v>1324.58</v>
      </c>
      <c r="K1050" s="407">
        <v>264.916</v>
      </c>
      <c r="L1050" s="280">
        <v>1589.4959999999999</v>
      </c>
      <c r="M1050" s="406">
        <v>1324.58</v>
      </c>
      <c r="N1050" s="407">
        <v>264.916</v>
      </c>
      <c r="O1050" s="255">
        <f t="shared" si="209"/>
        <v>1589.4959999999999</v>
      </c>
      <c r="P1050" s="68">
        <f t="shared" si="207"/>
        <v>860.977</v>
      </c>
      <c r="Q1050" s="409">
        <f t="shared" si="210"/>
        <v>172.1954</v>
      </c>
      <c r="R1050" s="256">
        <f t="shared" si="208"/>
        <v>1033.1724</v>
      </c>
      <c r="S1050" s="540" t="s">
        <v>1242</v>
      </c>
      <c r="T1050" s="540"/>
    </row>
    <row r="1051" spans="1:20" s="401" customFormat="1" ht="19.5" customHeight="1">
      <c r="A1051" s="99" t="s">
        <v>977</v>
      </c>
      <c r="B1051" s="99"/>
      <c r="C1051" s="9" t="s">
        <v>65</v>
      </c>
      <c r="D1051" s="402" t="s">
        <v>491</v>
      </c>
      <c r="E1051" s="403" t="s">
        <v>69</v>
      </c>
      <c r="F1051" s="403">
        <v>179857</v>
      </c>
      <c r="G1051" s="404" t="s">
        <v>1097</v>
      </c>
      <c r="H1051" s="404">
        <v>39580</v>
      </c>
      <c r="I1051" s="405" t="s">
        <v>70</v>
      </c>
      <c r="J1051" s="406">
        <v>64.4</v>
      </c>
      <c r="K1051" s="407">
        <v>12.88</v>
      </c>
      <c r="L1051" s="280">
        <v>77.28</v>
      </c>
      <c r="M1051" s="68">
        <v>45.08</v>
      </c>
      <c r="N1051" s="68">
        <v>9.016</v>
      </c>
      <c r="O1051" s="255">
        <v>54.096</v>
      </c>
      <c r="P1051" s="68">
        <f t="shared" si="207"/>
        <v>29.302</v>
      </c>
      <c r="Q1051" s="409">
        <f t="shared" si="210"/>
        <v>5.8604</v>
      </c>
      <c r="R1051" s="256">
        <f t="shared" si="208"/>
        <v>35.1624</v>
      </c>
      <c r="S1051" s="540" t="s">
        <v>1242</v>
      </c>
      <c r="T1051" s="540"/>
    </row>
    <row r="1052" spans="1:20" s="401" customFormat="1" ht="19.5" customHeight="1">
      <c r="A1052" s="99" t="s">
        <v>977</v>
      </c>
      <c r="B1052" s="99"/>
      <c r="C1052" s="9" t="s">
        <v>65</v>
      </c>
      <c r="D1052" s="402" t="s">
        <v>72</v>
      </c>
      <c r="E1052" s="403" t="s">
        <v>73</v>
      </c>
      <c r="F1052" s="403" t="s">
        <v>904</v>
      </c>
      <c r="G1052" s="404">
        <v>39480</v>
      </c>
      <c r="H1052" s="404">
        <v>39500</v>
      </c>
      <c r="I1052" s="405" t="s">
        <v>70</v>
      </c>
      <c r="J1052" s="406">
        <v>302</v>
      </c>
      <c r="K1052" s="407">
        <v>60.4</v>
      </c>
      <c r="L1052" s="280">
        <v>362.4</v>
      </c>
      <c r="M1052" s="68">
        <v>211.4</v>
      </c>
      <c r="N1052" s="68">
        <v>9.06</v>
      </c>
      <c r="O1052" s="255">
        <v>220.46</v>
      </c>
      <c r="P1052" s="68">
        <f t="shared" si="207"/>
        <v>137.41</v>
      </c>
      <c r="Q1052" s="409">
        <f t="shared" si="210"/>
        <v>5.889</v>
      </c>
      <c r="R1052" s="256">
        <f t="shared" si="208"/>
        <v>143.299</v>
      </c>
      <c r="S1052" s="540" t="s">
        <v>1242</v>
      </c>
      <c r="T1052" s="540"/>
    </row>
    <row r="1053" spans="1:20" s="401" customFormat="1" ht="19.5" customHeight="1">
      <c r="A1053" s="99" t="s">
        <v>977</v>
      </c>
      <c r="B1053" s="99"/>
      <c r="C1053" s="9" t="s">
        <v>65</v>
      </c>
      <c r="D1053" s="402" t="s">
        <v>72</v>
      </c>
      <c r="E1053" s="403" t="s">
        <v>73</v>
      </c>
      <c r="F1053" s="403" t="s">
        <v>489</v>
      </c>
      <c r="G1053" s="404">
        <v>39509</v>
      </c>
      <c r="H1053" s="404">
        <v>39529</v>
      </c>
      <c r="I1053" s="405" t="s">
        <v>70</v>
      </c>
      <c r="J1053" s="406">
        <v>322.25</v>
      </c>
      <c r="K1053" s="407">
        <v>64.45</v>
      </c>
      <c r="L1053" s="280">
        <v>386.7</v>
      </c>
      <c r="M1053" s="68">
        <v>225.575</v>
      </c>
      <c r="N1053" s="68">
        <v>9.6675</v>
      </c>
      <c r="O1053" s="255">
        <v>235.2425</v>
      </c>
      <c r="P1053" s="68">
        <f t="shared" si="207"/>
        <v>146.62375</v>
      </c>
      <c r="Q1053" s="409">
        <f t="shared" si="210"/>
        <v>6.283875</v>
      </c>
      <c r="R1053" s="256">
        <f t="shared" si="208"/>
        <v>152.907625</v>
      </c>
      <c r="S1053" s="540" t="s">
        <v>1242</v>
      </c>
      <c r="T1053" s="540"/>
    </row>
    <row r="1054" spans="1:20" s="401" customFormat="1" ht="19.5" customHeight="1">
      <c r="A1054" s="99" t="s">
        <v>977</v>
      </c>
      <c r="B1054" s="99"/>
      <c r="C1054" s="9" t="s">
        <v>65</v>
      </c>
      <c r="D1054" s="402" t="s">
        <v>72</v>
      </c>
      <c r="E1054" s="403" t="s">
        <v>73</v>
      </c>
      <c r="F1054" s="403" t="s">
        <v>490</v>
      </c>
      <c r="G1054" s="404">
        <v>39541</v>
      </c>
      <c r="H1054" s="404">
        <v>39561</v>
      </c>
      <c r="I1054" s="405" t="s">
        <v>70</v>
      </c>
      <c r="J1054" s="406">
        <v>344.91</v>
      </c>
      <c r="K1054" s="407">
        <v>68.98200000000001</v>
      </c>
      <c r="L1054" s="280">
        <v>413.89200000000005</v>
      </c>
      <c r="M1054" s="68">
        <v>241.437</v>
      </c>
      <c r="N1054" s="68">
        <v>10.347300000000002</v>
      </c>
      <c r="O1054" s="255">
        <v>251.7843</v>
      </c>
      <c r="P1054" s="68">
        <f t="shared" si="207"/>
        <v>156.93405</v>
      </c>
      <c r="Q1054" s="409">
        <f t="shared" si="210"/>
        <v>6.725745000000002</v>
      </c>
      <c r="R1054" s="256">
        <f t="shared" si="208"/>
        <v>163.659795</v>
      </c>
      <c r="S1054" s="540" t="s">
        <v>1242</v>
      </c>
      <c r="T1054" s="540"/>
    </row>
    <row r="1055" spans="1:20" s="401" customFormat="1" ht="19.5" customHeight="1">
      <c r="A1055" s="99" t="s">
        <v>977</v>
      </c>
      <c r="B1055" s="99"/>
      <c r="C1055" s="9" t="s">
        <v>65</v>
      </c>
      <c r="D1055" s="402" t="s">
        <v>72</v>
      </c>
      <c r="E1055" s="403" t="s">
        <v>73</v>
      </c>
      <c r="F1055" s="403" t="s">
        <v>1098</v>
      </c>
      <c r="G1055" s="404">
        <v>39569</v>
      </c>
      <c r="H1055" s="404">
        <v>39589</v>
      </c>
      <c r="I1055" s="405" t="s">
        <v>70</v>
      </c>
      <c r="J1055" s="406">
        <v>318.49</v>
      </c>
      <c r="K1055" s="407">
        <v>63.69800000000001</v>
      </c>
      <c r="L1055" s="280">
        <v>382.188</v>
      </c>
      <c r="M1055" s="68">
        <v>222.94299999999998</v>
      </c>
      <c r="N1055" s="68">
        <v>9.5547</v>
      </c>
      <c r="O1055" s="255">
        <v>232.49769999999998</v>
      </c>
      <c r="P1055" s="68">
        <f t="shared" si="207"/>
        <v>144.91295</v>
      </c>
      <c r="Q1055" s="409">
        <f t="shared" si="210"/>
        <v>6.210555</v>
      </c>
      <c r="R1055" s="256">
        <f t="shared" si="208"/>
        <v>151.123505</v>
      </c>
      <c r="S1055" s="540" t="s">
        <v>1242</v>
      </c>
      <c r="T1055" s="540"/>
    </row>
    <row r="1056" spans="1:20" s="401" customFormat="1" ht="19.5" customHeight="1">
      <c r="A1056" s="99" t="s">
        <v>977</v>
      </c>
      <c r="B1056" s="99"/>
      <c r="C1056" s="9" t="s">
        <v>65</v>
      </c>
      <c r="D1056" s="402" t="s">
        <v>72</v>
      </c>
      <c r="E1056" s="403" t="s">
        <v>73</v>
      </c>
      <c r="F1056" s="403" t="s">
        <v>646</v>
      </c>
      <c r="G1056" s="404">
        <v>39601</v>
      </c>
      <c r="H1056" s="404">
        <v>39622</v>
      </c>
      <c r="I1056" s="405" t="s">
        <v>70</v>
      </c>
      <c r="J1056" s="406">
        <v>382.49</v>
      </c>
      <c r="K1056" s="407">
        <v>76.498</v>
      </c>
      <c r="L1056" s="280">
        <v>458.988</v>
      </c>
      <c r="M1056" s="68">
        <v>267.743</v>
      </c>
      <c r="N1056" s="68">
        <v>11.4747</v>
      </c>
      <c r="O1056" s="255">
        <v>279.2177</v>
      </c>
      <c r="P1056" s="68">
        <f t="shared" si="207"/>
        <v>174.03295</v>
      </c>
      <c r="Q1056" s="409">
        <f t="shared" si="210"/>
        <v>7.4585550000000005</v>
      </c>
      <c r="R1056" s="256">
        <f t="shared" si="208"/>
        <v>181.491505</v>
      </c>
      <c r="S1056" s="540" t="s">
        <v>1242</v>
      </c>
      <c r="T1056" s="540"/>
    </row>
    <row r="1057" spans="1:20" s="401" customFormat="1" ht="19.5" customHeight="1">
      <c r="A1057" s="99" t="s">
        <v>977</v>
      </c>
      <c r="B1057" s="99"/>
      <c r="C1057" s="9" t="s">
        <v>65</v>
      </c>
      <c r="D1057" s="402" t="s">
        <v>1099</v>
      </c>
      <c r="E1057" s="403" t="s">
        <v>485</v>
      </c>
      <c r="F1057" s="403">
        <v>77</v>
      </c>
      <c r="G1057" s="404">
        <v>39568</v>
      </c>
      <c r="H1057" s="404"/>
      <c r="I1057" s="405" t="s">
        <v>82</v>
      </c>
      <c r="J1057" s="406">
        <v>450</v>
      </c>
      <c r="K1057" s="407">
        <v>90</v>
      </c>
      <c r="L1057" s="280">
        <v>540</v>
      </c>
      <c r="M1057" s="68">
        <v>315</v>
      </c>
      <c r="N1057" s="68">
        <v>13.5</v>
      </c>
      <c r="O1057" s="255">
        <v>328.5</v>
      </c>
      <c r="P1057" s="68">
        <f t="shared" si="207"/>
        <v>204.75</v>
      </c>
      <c r="Q1057" s="409">
        <f t="shared" si="210"/>
        <v>8.775</v>
      </c>
      <c r="R1057" s="256">
        <f t="shared" si="208"/>
        <v>213.525</v>
      </c>
      <c r="S1057" s="540" t="s">
        <v>1242</v>
      </c>
      <c r="T1057" s="540"/>
    </row>
    <row r="1058" spans="1:20" s="401" customFormat="1" ht="19.5" customHeight="1">
      <c r="A1058" s="99" t="s">
        <v>977</v>
      </c>
      <c r="B1058" s="99"/>
      <c r="C1058" s="9" t="s">
        <v>65</v>
      </c>
      <c r="D1058" s="402" t="s">
        <v>1099</v>
      </c>
      <c r="E1058" s="403" t="s">
        <v>485</v>
      </c>
      <c r="F1058" s="403">
        <v>114</v>
      </c>
      <c r="G1058" s="404">
        <v>39598</v>
      </c>
      <c r="H1058" s="404"/>
      <c r="I1058" s="405" t="s">
        <v>82</v>
      </c>
      <c r="J1058" s="406">
        <v>450</v>
      </c>
      <c r="K1058" s="407">
        <v>90</v>
      </c>
      <c r="L1058" s="280">
        <v>540</v>
      </c>
      <c r="M1058" s="68">
        <v>315</v>
      </c>
      <c r="N1058" s="68">
        <v>13.5</v>
      </c>
      <c r="O1058" s="255">
        <v>328.5</v>
      </c>
      <c r="P1058" s="68">
        <f t="shared" si="207"/>
        <v>204.75</v>
      </c>
      <c r="Q1058" s="409">
        <f t="shared" si="210"/>
        <v>8.775</v>
      </c>
      <c r="R1058" s="256">
        <f t="shared" si="208"/>
        <v>213.525</v>
      </c>
      <c r="S1058" s="540" t="s">
        <v>1242</v>
      </c>
      <c r="T1058" s="540"/>
    </row>
    <row r="1059" spans="1:20" s="401" customFormat="1" ht="19.5" customHeight="1">
      <c r="A1059" s="99" t="s">
        <v>977</v>
      </c>
      <c r="B1059" s="99" t="s">
        <v>729</v>
      </c>
      <c r="C1059" s="9" t="s">
        <v>65</v>
      </c>
      <c r="D1059" s="402" t="s">
        <v>1100</v>
      </c>
      <c r="E1059" s="403"/>
      <c r="F1059" s="403"/>
      <c r="G1059" s="404"/>
      <c r="H1059" s="404"/>
      <c r="I1059" s="405"/>
      <c r="J1059" s="406">
        <v>2839.82</v>
      </c>
      <c r="K1059" s="407"/>
      <c r="L1059" s="280">
        <v>2839.82</v>
      </c>
      <c r="M1059" s="68">
        <v>2839.82</v>
      </c>
      <c r="N1059" s="68"/>
      <c r="O1059" s="255">
        <f>+N1059+M1059</f>
        <v>2839.82</v>
      </c>
      <c r="P1059" s="68">
        <f t="shared" si="207"/>
        <v>1845.8830000000003</v>
      </c>
      <c r="Q1059" s="409">
        <f t="shared" si="210"/>
        <v>0</v>
      </c>
      <c r="R1059" s="256">
        <f t="shared" si="208"/>
        <v>1845.8830000000003</v>
      </c>
      <c r="S1059" s="540" t="s">
        <v>1242</v>
      </c>
      <c r="T1059" s="540"/>
    </row>
    <row r="1060" spans="1:20" s="401" customFormat="1" ht="19.5" customHeight="1">
      <c r="A1060" s="99" t="s">
        <v>977</v>
      </c>
      <c r="B1060" s="100"/>
      <c r="C1060" s="9" t="s">
        <v>123</v>
      </c>
      <c r="D1060" s="402" t="s">
        <v>1102</v>
      </c>
      <c r="E1060" s="403" t="s">
        <v>1024</v>
      </c>
      <c r="F1060" s="403">
        <v>149</v>
      </c>
      <c r="G1060" s="404">
        <v>39512</v>
      </c>
      <c r="H1060" s="404">
        <v>39519</v>
      </c>
      <c r="I1060" s="405" t="s">
        <v>82</v>
      </c>
      <c r="J1060" s="406">
        <v>220</v>
      </c>
      <c r="K1060" s="407">
        <v>44</v>
      </c>
      <c r="L1060" s="280">
        <v>264</v>
      </c>
      <c r="M1060" s="68">
        <v>110</v>
      </c>
      <c r="N1060" s="68">
        <v>22</v>
      </c>
      <c r="O1060" s="255">
        <v>132</v>
      </c>
      <c r="P1060" s="68">
        <f t="shared" si="207"/>
        <v>71.5</v>
      </c>
      <c r="Q1060" s="409">
        <f t="shared" si="210"/>
        <v>14.3</v>
      </c>
      <c r="R1060" s="256">
        <f t="shared" si="208"/>
        <v>85.8</v>
      </c>
      <c r="S1060" s="540" t="s">
        <v>1242</v>
      </c>
      <c r="T1060" s="540"/>
    </row>
    <row r="1061" spans="1:20" s="401" customFormat="1" ht="19.5" customHeight="1">
      <c r="A1061" s="99" t="s">
        <v>977</v>
      </c>
      <c r="B1061" s="100"/>
      <c r="C1061" s="9" t="s">
        <v>123</v>
      </c>
      <c r="D1061" s="402" t="s">
        <v>1103</v>
      </c>
      <c r="E1061" s="403" t="s">
        <v>1024</v>
      </c>
      <c r="F1061" s="403">
        <v>223</v>
      </c>
      <c r="G1061" s="404">
        <v>39538</v>
      </c>
      <c r="H1061" s="404">
        <v>39552</v>
      </c>
      <c r="I1061" s="405" t="s">
        <v>82</v>
      </c>
      <c r="J1061" s="406">
        <v>220</v>
      </c>
      <c r="K1061" s="407">
        <v>44</v>
      </c>
      <c r="L1061" s="280">
        <v>264</v>
      </c>
      <c r="M1061" s="68">
        <v>110</v>
      </c>
      <c r="N1061" s="68">
        <v>22</v>
      </c>
      <c r="O1061" s="255">
        <v>132</v>
      </c>
      <c r="P1061" s="68">
        <f t="shared" si="207"/>
        <v>71.5</v>
      </c>
      <c r="Q1061" s="409">
        <f t="shared" si="210"/>
        <v>14.3</v>
      </c>
      <c r="R1061" s="256">
        <f t="shared" si="208"/>
        <v>85.8</v>
      </c>
      <c r="S1061" s="540" t="s">
        <v>1242</v>
      </c>
      <c r="T1061" s="540"/>
    </row>
    <row r="1062" spans="1:20" s="401" customFormat="1" ht="19.5" customHeight="1">
      <c r="A1062" s="99" t="s">
        <v>977</v>
      </c>
      <c r="B1062" s="100"/>
      <c r="C1062" s="9" t="s">
        <v>123</v>
      </c>
      <c r="D1062" s="402" t="s">
        <v>1104</v>
      </c>
      <c r="E1062" s="403" t="s">
        <v>1024</v>
      </c>
      <c r="F1062" s="403">
        <v>301</v>
      </c>
      <c r="G1062" s="404">
        <v>39568</v>
      </c>
      <c r="H1062" s="404">
        <v>39580</v>
      </c>
      <c r="I1062" s="405" t="s">
        <v>82</v>
      </c>
      <c r="J1062" s="406">
        <v>220</v>
      </c>
      <c r="K1062" s="407">
        <v>44</v>
      </c>
      <c r="L1062" s="280">
        <v>264</v>
      </c>
      <c r="M1062" s="68">
        <v>110</v>
      </c>
      <c r="N1062" s="68">
        <v>22</v>
      </c>
      <c r="O1062" s="255">
        <v>132</v>
      </c>
      <c r="P1062" s="68">
        <f t="shared" si="207"/>
        <v>71.5</v>
      </c>
      <c r="Q1062" s="409">
        <f t="shared" si="210"/>
        <v>14.3</v>
      </c>
      <c r="R1062" s="256">
        <f t="shared" si="208"/>
        <v>85.8</v>
      </c>
      <c r="S1062" s="540" t="s">
        <v>1242</v>
      </c>
      <c r="T1062" s="540"/>
    </row>
    <row r="1063" spans="1:20" s="401" customFormat="1" ht="19.5" customHeight="1">
      <c r="A1063" s="99" t="s">
        <v>977</v>
      </c>
      <c r="B1063" s="100"/>
      <c r="C1063" s="9" t="s">
        <v>123</v>
      </c>
      <c r="D1063" s="402" t="s">
        <v>1105</v>
      </c>
      <c r="E1063" s="403" t="s">
        <v>1024</v>
      </c>
      <c r="F1063" s="403">
        <v>380</v>
      </c>
      <c r="G1063" s="404">
        <v>39599</v>
      </c>
      <c r="H1063" s="404">
        <v>39603</v>
      </c>
      <c r="I1063" s="405" t="s">
        <v>82</v>
      </c>
      <c r="J1063" s="406">
        <v>220</v>
      </c>
      <c r="K1063" s="407">
        <v>44</v>
      </c>
      <c r="L1063" s="280">
        <v>264</v>
      </c>
      <c r="M1063" s="68">
        <v>110</v>
      </c>
      <c r="N1063" s="68">
        <v>22</v>
      </c>
      <c r="O1063" s="255">
        <v>132</v>
      </c>
      <c r="P1063" s="68">
        <f t="shared" si="207"/>
        <v>71.5</v>
      </c>
      <c r="Q1063" s="409">
        <f t="shared" si="210"/>
        <v>14.3</v>
      </c>
      <c r="R1063" s="256">
        <f t="shared" si="208"/>
        <v>85.8</v>
      </c>
      <c r="S1063" s="540" t="s">
        <v>1242</v>
      </c>
      <c r="T1063" s="540"/>
    </row>
    <row r="1064" spans="1:20" s="401" customFormat="1" ht="19.5" customHeight="1">
      <c r="A1064" s="99" t="s">
        <v>977</v>
      </c>
      <c r="B1064" s="100"/>
      <c r="C1064" s="9" t="s">
        <v>123</v>
      </c>
      <c r="D1064" s="402" t="s">
        <v>1106</v>
      </c>
      <c r="E1064" s="403" t="s">
        <v>1024</v>
      </c>
      <c r="F1064" s="403">
        <v>460</v>
      </c>
      <c r="G1064" s="404">
        <v>39631</v>
      </c>
      <c r="H1064" s="404">
        <v>39644</v>
      </c>
      <c r="I1064" s="405" t="s">
        <v>82</v>
      </c>
      <c r="J1064" s="406">
        <v>220</v>
      </c>
      <c r="K1064" s="407">
        <v>44</v>
      </c>
      <c r="L1064" s="280">
        <v>264</v>
      </c>
      <c r="M1064" s="68">
        <v>154</v>
      </c>
      <c r="N1064" s="68">
        <v>30.8</v>
      </c>
      <c r="O1064" s="255">
        <v>184.8</v>
      </c>
      <c r="P1064" s="68">
        <f t="shared" si="207"/>
        <v>100.10000000000001</v>
      </c>
      <c r="Q1064" s="409">
        <f t="shared" si="210"/>
        <v>20.02</v>
      </c>
      <c r="R1064" s="256">
        <f t="shared" si="208"/>
        <v>120.12</v>
      </c>
      <c r="S1064" s="540" t="s">
        <v>1242</v>
      </c>
      <c r="T1064" s="540"/>
    </row>
    <row r="1065" spans="1:20" s="401" customFormat="1" ht="19.5" customHeight="1">
      <c r="A1065" s="99" t="s">
        <v>977</v>
      </c>
      <c r="B1065" s="100"/>
      <c r="C1065" s="9" t="s">
        <v>123</v>
      </c>
      <c r="D1065" s="402" t="s">
        <v>1107</v>
      </c>
      <c r="E1065" s="403" t="s">
        <v>1024</v>
      </c>
      <c r="F1065" s="403">
        <v>538</v>
      </c>
      <c r="G1065" s="404">
        <v>39645</v>
      </c>
      <c r="H1065" s="404">
        <v>39658</v>
      </c>
      <c r="I1065" s="405" t="s">
        <v>82</v>
      </c>
      <c r="J1065" s="406">
        <v>220</v>
      </c>
      <c r="K1065" s="407">
        <v>44</v>
      </c>
      <c r="L1065" s="280">
        <v>264</v>
      </c>
      <c r="M1065" s="68">
        <v>110</v>
      </c>
      <c r="N1065" s="68">
        <v>22</v>
      </c>
      <c r="O1065" s="255">
        <v>132</v>
      </c>
      <c r="P1065" s="68">
        <f t="shared" si="207"/>
        <v>71.5</v>
      </c>
      <c r="Q1065" s="409">
        <f t="shared" si="210"/>
        <v>14.3</v>
      </c>
      <c r="R1065" s="256">
        <f t="shared" si="208"/>
        <v>85.8</v>
      </c>
      <c r="S1065" s="540" t="s">
        <v>1242</v>
      </c>
      <c r="T1065" s="540"/>
    </row>
    <row r="1066" spans="1:20" s="401" customFormat="1" ht="19.5" customHeight="1">
      <c r="A1066" s="99" t="s">
        <v>977</v>
      </c>
      <c r="B1066" s="100"/>
      <c r="C1066" s="9" t="s">
        <v>123</v>
      </c>
      <c r="D1066" s="402" t="s">
        <v>1027</v>
      </c>
      <c r="E1066" s="403" t="s">
        <v>1028</v>
      </c>
      <c r="F1066" s="403">
        <v>123</v>
      </c>
      <c r="G1066" s="404">
        <v>39644</v>
      </c>
      <c r="H1066" s="404">
        <v>39645</v>
      </c>
      <c r="I1066" s="405" t="s">
        <v>1029</v>
      </c>
      <c r="J1066" s="406">
        <v>989</v>
      </c>
      <c r="K1066" s="407">
        <v>0</v>
      </c>
      <c r="L1066" s="280">
        <v>989</v>
      </c>
      <c r="M1066" s="68">
        <v>494.5</v>
      </c>
      <c r="N1066" s="68">
        <v>0</v>
      </c>
      <c r="O1066" s="255">
        <v>494.5</v>
      </c>
      <c r="P1066" s="68">
        <f t="shared" si="207"/>
        <v>321.425</v>
      </c>
      <c r="Q1066" s="409">
        <f t="shared" si="210"/>
        <v>0</v>
      </c>
      <c r="R1066" s="256">
        <f t="shared" si="208"/>
        <v>321.425</v>
      </c>
      <c r="S1066" s="540" t="s">
        <v>1242</v>
      </c>
      <c r="T1066" s="540"/>
    </row>
    <row r="1067" spans="1:20" s="401" customFormat="1" ht="19.5" customHeight="1">
      <c r="A1067" s="99" t="s">
        <v>977</v>
      </c>
      <c r="B1067" s="100"/>
      <c r="C1067" s="9" t="s">
        <v>123</v>
      </c>
      <c r="D1067" s="402" t="s">
        <v>131</v>
      </c>
      <c r="E1067" s="403" t="s">
        <v>224</v>
      </c>
      <c r="F1067" s="403" t="s">
        <v>1108</v>
      </c>
      <c r="G1067" s="404">
        <v>39456</v>
      </c>
      <c r="H1067" s="404">
        <v>39491</v>
      </c>
      <c r="I1067" s="405" t="s">
        <v>78</v>
      </c>
      <c r="J1067" s="406">
        <v>360.86</v>
      </c>
      <c r="K1067" s="407">
        <v>72.17200000000001</v>
      </c>
      <c r="L1067" s="280">
        <v>433.03200000000004</v>
      </c>
      <c r="M1067" s="68">
        <v>180.43</v>
      </c>
      <c r="N1067" s="68">
        <v>36.086000000000006</v>
      </c>
      <c r="O1067" s="255">
        <v>216.51600000000002</v>
      </c>
      <c r="P1067" s="68">
        <f t="shared" si="207"/>
        <v>117.27950000000001</v>
      </c>
      <c r="Q1067" s="409">
        <f t="shared" si="210"/>
        <v>23.455900000000003</v>
      </c>
      <c r="R1067" s="256">
        <f t="shared" si="208"/>
        <v>140.73540000000003</v>
      </c>
      <c r="S1067" s="540" t="s">
        <v>1242</v>
      </c>
      <c r="T1067" s="540"/>
    </row>
    <row r="1068" spans="1:20" s="401" customFormat="1" ht="19.5" customHeight="1">
      <c r="A1068" s="99" t="s">
        <v>977</v>
      </c>
      <c r="B1068" s="100"/>
      <c r="C1068" s="9" t="s">
        <v>123</v>
      </c>
      <c r="D1068" s="402" t="s">
        <v>131</v>
      </c>
      <c r="E1068" s="403" t="s">
        <v>224</v>
      </c>
      <c r="F1068" s="403" t="s">
        <v>1109</v>
      </c>
      <c r="G1068" s="404">
        <v>39456</v>
      </c>
      <c r="H1068" s="404">
        <v>39491</v>
      </c>
      <c r="I1068" s="405" t="s">
        <v>78</v>
      </c>
      <c r="J1068" s="406">
        <v>72.5</v>
      </c>
      <c r="K1068" s="407">
        <v>14.5</v>
      </c>
      <c r="L1068" s="280">
        <v>87</v>
      </c>
      <c r="M1068" s="68">
        <v>36.25</v>
      </c>
      <c r="N1068" s="68">
        <v>7.25</v>
      </c>
      <c r="O1068" s="255">
        <v>43.5</v>
      </c>
      <c r="P1068" s="68">
        <f t="shared" si="207"/>
        <v>23.5625</v>
      </c>
      <c r="Q1068" s="409">
        <f t="shared" si="210"/>
        <v>4.7125</v>
      </c>
      <c r="R1068" s="256">
        <f t="shared" si="208"/>
        <v>28.275</v>
      </c>
      <c r="S1068" s="540" t="s">
        <v>1242</v>
      </c>
      <c r="T1068" s="540"/>
    </row>
    <row r="1069" spans="1:20" s="401" customFormat="1" ht="19.5" customHeight="1">
      <c r="A1069" s="99" t="s">
        <v>977</v>
      </c>
      <c r="B1069" s="100"/>
      <c r="C1069" s="9" t="s">
        <v>123</v>
      </c>
      <c r="D1069" s="402" t="s">
        <v>131</v>
      </c>
      <c r="E1069" s="403" t="s">
        <v>224</v>
      </c>
      <c r="F1069" s="403" t="s">
        <v>1110</v>
      </c>
      <c r="G1069" s="404">
        <v>39517</v>
      </c>
      <c r="H1069" s="404">
        <v>39552</v>
      </c>
      <c r="I1069" s="405" t="s">
        <v>78</v>
      </c>
      <c r="J1069" s="406">
        <v>696.87</v>
      </c>
      <c r="K1069" s="407">
        <v>139.374</v>
      </c>
      <c r="L1069" s="280">
        <v>836.244</v>
      </c>
      <c r="M1069" s="68">
        <v>348.435</v>
      </c>
      <c r="N1069" s="68">
        <v>69.687</v>
      </c>
      <c r="O1069" s="255">
        <v>418.122</v>
      </c>
      <c r="P1069" s="68">
        <f t="shared" si="207"/>
        <v>226.48275</v>
      </c>
      <c r="Q1069" s="409">
        <f t="shared" si="210"/>
        <v>45.29655</v>
      </c>
      <c r="R1069" s="256">
        <f t="shared" si="208"/>
        <v>271.77930000000003</v>
      </c>
      <c r="S1069" s="540" t="s">
        <v>1242</v>
      </c>
      <c r="T1069" s="540"/>
    </row>
    <row r="1070" spans="1:20" s="401" customFormat="1" ht="19.5" customHeight="1">
      <c r="A1070" s="99" t="s">
        <v>977</v>
      </c>
      <c r="B1070" s="100"/>
      <c r="C1070" s="9" t="s">
        <v>123</v>
      </c>
      <c r="D1070" s="402" t="s">
        <v>131</v>
      </c>
      <c r="E1070" s="403" t="s">
        <v>224</v>
      </c>
      <c r="F1070" s="403" t="s">
        <v>1111</v>
      </c>
      <c r="G1070" s="404">
        <v>39517</v>
      </c>
      <c r="H1070" s="404">
        <v>39552</v>
      </c>
      <c r="I1070" s="405" t="s">
        <v>78</v>
      </c>
      <c r="J1070" s="406">
        <v>111.62</v>
      </c>
      <c r="K1070" s="407">
        <v>22.324</v>
      </c>
      <c r="L1070" s="280">
        <v>133.94400000000002</v>
      </c>
      <c r="M1070" s="68">
        <v>55.81</v>
      </c>
      <c r="N1070" s="68">
        <v>11.162</v>
      </c>
      <c r="O1070" s="255">
        <v>66.97200000000001</v>
      </c>
      <c r="P1070" s="68">
        <f t="shared" si="207"/>
        <v>36.276500000000006</v>
      </c>
      <c r="Q1070" s="409">
        <f t="shared" si="210"/>
        <v>7.255300000000001</v>
      </c>
      <c r="R1070" s="256">
        <f t="shared" si="208"/>
        <v>43.531800000000004</v>
      </c>
      <c r="S1070" s="540" t="s">
        <v>1242</v>
      </c>
      <c r="T1070" s="540"/>
    </row>
    <row r="1071" spans="1:20" s="401" customFormat="1" ht="19.5" customHeight="1">
      <c r="A1071" s="99" t="s">
        <v>977</v>
      </c>
      <c r="B1071" s="100"/>
      <c r="C1071" s="9" t="s">
        <v>123</v>
      </c>
      <c r="D1071" s="402" t="s">
        <v>131</v>
      </c>
      <c r="E1071" s="403" t="s">
        <v>224</v>
      </c>
      <c r="F1071" s="403" t="s">
        <v>1112</v>
      </c>
      <c r="G1071" s="404">
        <v>39577</v>
      </c>
      <c r="H1071" s="404">
        <v>39612</v>
      </c>
      <c r="I1071" s="405" t="s">
        <v>78</v>
      </c>
      <c r="J1071" s="406">
        <v>89.43</v>
      </c>
      <c r="K1071" s="407">
        <v>17.886000000000003</v>
      </c>
      <c r="L1071" s="280">
        <v>107.316</v>
      </c>
      <c r="M1071" s="68">
        <v>44.715</v>
      </c>
      <c r="N1071" s="68">
        <v>8.943000000000001</v>
      </c>
      <c r="O1071" s="255">
        <v>53.658</v>
      </c>
      <c r="P1071" s="68">
        <f t="shared" si="207"/>
        <v>29.064750000000004</v>
      </c>
      <c r="Q1071" s="409">
        <f t="shared" si="210"/>
        <v>5.812950000000001</v>
      </c>
      <c r="R1071" s="256">
        <f t="shared" si="208"/>
        <v>34.877700000000004</v>
      </c>
      <c r="S1071" s="540" t="s">
        <v>1242</v>
      </c>
      <c r="T1071" s="540"/>
    </row>
    <row r="1072" spans="1:20" s="401" customFormat="1" ht="19.5" customHeight="1">
      <c r="A1072" s="99" t="s">
        <v>977</v>
      </c>
      <c r="B1072" s="100"/>
      <c r="C1072" s="9" t="s">
        <v>123</v>
      </c>
      <c r="D1072" s="402" t="s">
        <v>131</v>
      </c>
      <c r="E1072" s="403" t="s">
        <v>224</v>
      </c>
      <c r="F1072" s="403" t="s">
        <v>1113</v>
      </c>
      <c r="G1072" s="404">
        <v>39577</v>
      </c>
      <c r="H1072" s="404">
        <v>39612</v>
      </c>
      <c r="I1072" s="405" t="s">
        <v>78</v>
      </c>
      <c r="J1072" s="406">
        <v>507.27</v>
      </c>
      <c r="K1072" s="407">
        <v>101.45400000000001</v>
      </c>
      <c r="L1072" s="280">
        <v>608.7239999999999</v>
      </c>
      <c r="M1072" s="68">
        <v>253.635</v>
      </c>
      <c r="N1072" s="68">
        <v>50.727000000000004</v>
      </c>
      <c r="O1072" s="255">
        <v>304.36199999999997</v>
      </c>
      <c r="P1072" s="68">
        <f t="shared" si="207"/>
        <v>164.86275</v>
      </c>
      <c r="Q1072" s="409">
        <f t="shared" si="210"/>
        <v>32.972550000000005</v>
      </c>
      <c r="R1072" s="256">
        <f t="shared" si="208"/>
        <v>197.83530000000002</v>
      </c>
      <c r="S1072" s="540" t="s">
        <v>1242</v>
      </c>
      <c r="T1072" s="540"/>
    </row>
    <row r="1073" spans="1:20" s="401" customFormat="1" ht="19.5" customHeight="1">
      <c r="A1073" s="99" t="s">
        <v>977</v>
      </c>
      <c r="B1073" s="100"/>
      <c r="C1073" s="9" t="s">
        <v>123</v>
      </c>
      <c r="D1073" s="402" t="s">
        <v>1034</v>
      </c>
      <c r="E1073" s="403" t="s">
        <v>73</v>
      </c>
      <c r="F1073" s="403" t="s">
        <v>1114</v>
      </c>
      <c r="G1073" s="404">
        <v>39463</v>
      </c>
      <c r="H1073" s="404">
        <v>39483</v>
      </c>
      <c r="I1073" s="405" t="s">
        <v>78</v>
      </c>
      <c r="J1073" s="406">
        <v>126.75</v>
      </c>
      <c r="K1073" s="407">
        <v>25.35</v>
      </c>
      <c r="L1073" s="280">
        <v>152.1</v>
      </c>
      <c r="M1073" s="68">
        <v>63.375</v>
      </c>
      <c r="N1073" s="68">
        <v>12.675</v>
      </c>
      <c r="O1073" s="255">
        <v>76.05</v>
      </c>
      <c r="P1073" s="68">
        <f t="shared" si="207"/>
        <v>41.19375</v>
      </c>
      <c r="Q1073" s="409">
        <f t="shared" si="210"/>
        <v>8.238750000000001</v>
      </c>
      <c r="R1073" s="256">
        <f t="shared" si="208"/>
        <v>49.432500000000005</v>
      </c>
      <c r="S1073" s="540" t="s">
        <v>1242</v>
      </c>
      <c r="T1073" s="540"/>
    </row>
    <row r="1074" spans="1:20" s="401" customFormat="1" ht="19.5" customHeight="1">
      <c r="A1074" s="99" t="s">
        <v>977</v>
      </c>
      <c r="B1074" s="100"/>
      <c r="C1074" s="9" t="s">
        <v>123</v>
      </c>
      <c r="D1074" s="402" t="s">
        <v>1034</v>
      </c>
      <c r="E1074" s="403" t="s">
        <v>73</v>
      </c>
      <c r="F1074" s="403" t="s">
        <v>1115</v>
      </c>
      <c r="G1074" s="404">
        <v>39523</v>
      </c>
      <c r="H1074" s="404">
        <v>39543</v>
      </c>
      <c r="I1074" s="405" t="s">
        <v>78</v>
      </c>
      <c r="J1074" s="406">
        <v>146.08</v>
      </c>
      <c r="K1074" s="407">
        <v>29.216000000000005</v>
      </c>
      <c r="L1074" s="280">
        <v>175.29600000000002</v>
      </c>
      <c r="M1074" s="68">
        <v>73.04</v>
      </c>
      <c r="N1074" s="68">
        <v>14.608000000000002</v>
      </c>
      <c r="O1074" s="255">
        <v>87.64800000000001</v>
      </c>
      <c r="P1074" s="68">
        <f t="shared" si="207"/>
        <v>47.476000000000006</v>
      </c>
      <c r="Q1074" s="409">
        <f t="shared" si="210"/>
        <v>9.495200000000002</v>
      </c>
      <c r="R1074" s="256">
        <f t="shared" si="208"/>
        <v>56.97120000000001</v>
      </c>
      <c r="S1074" s="540" t="s">
        <v>1242</v>
      </c>
      <c r="T1074" s="540"/>
    </row>
    <row r="1075" spans="1:20" s="401" customFormat="1" ht="19.5" customHeight="1">
      <c r="A1075" s="99" t="s">
        <v>977</v>
      </c>
      <c r="B1075" s="100"/>
      <c r="C1075" s="9" t="s">
        <v>123</v>
      </c>
      <c r="D1075" s="402" t="s">
        <v>1034</v>
      </c>
      <c r="E1075" s="403" t="s">
        <v>73</v>
      </c>
      <c r="F1075" s="403" t="s">
        <v>1116</v>
      </c>
      <c r="G1075" s="404">
        <v>39584</v>
      </c>
      <c r="H1075" s="404">
        <v>39604</v>
      </c>
      <c r="I1075" s="405" t="s">
        <v>78</v>
      </c>
      <c r="J1075" s="406">
        <v>133.45</v>
      </c>
      <c r="K1075" s="407">
        <v>26.69</v>
      </c>
      <c r="L1075" s="280">
        <v>160.14</v>
      </c>
      <c r="M1075" s="68">
        <v>66.725</v>
      </c>
      <c r="N1075" s="68">
        <v>13.345</v>
      </c>
      <c r="O1075" s="255">
        <v>80.07</v>
      </c>
      <c r="P1075" s="68">
        <f t="shared" si="207"/>
        <v>43.371249999999996</v>
      </c>
      <c r="Q1075" s="409">
        <f t="shared" si="210"/>
        <v>8.67425</v>
      </c>
      <c r="R1075" s="256">
        <f t="shared" si="208"/>
        <v>52.0455</v>
      </c>
      <c r="S1075" s="540" t="s">
        <v>1242</v>
      </c>
      <c r="T1075" s="540"/>
    </row>
    <row r="1076" spans="1:20" s="401" customFormat="1" ht="19.5" customHeight="1">
      <c r="A1076" s="99" t="s">
        <v>977</v>
      </c>
      <c r="B1076" s="100"/>
      <c r="C1076" s="9" t="s">
        <v>123</v>
      </c>
      <c r="D1076" s="402" t="s">
        <v>1036</v>
      </c>
      <c r="E1076" s="403" t="s">
        <v>1037</v>
      </c>
      <c r="F1076" s="403"/>
      <c r="G1076" s="404">
        <v>39507</v>
      </c>
      <c r="H1076" s="404">
        <v>39507</v>
      </c>
      <c r="I1076" s="405" t="s">
        <v>1029</v>
      </c>
      <c r="J1076" s="406">
        <v>940.76</v>
      </c>
      <c r="K1076" s="407">
        <v>0</v>
      </c>
      <c r="L1076" s="280">
        <v>940.76</v>
      </c>
      <c r="M1076" s="68">
        <v>470.38</v>
      </c>
      <c r="N1076" s="68">
        <v>0</v>
      </c>
      <c r="O1076" s="255">
        <v>470.38</v>
      </c>
      <c r="P1076" s="68">
        <f t="shared" si="207"/>
        <v>305.747</v>
      </c>
      <c r="Q1076" s="409">
        <f t="shared" si="210"/>
        <v>0</v>
      </c>
      <c r="R1076" s="256">
        <f t="shared" si="208"/>
        <v>305.747</v>
      </c>
      <c r="S1076" s="540" t="s">
        <v>1242</v>
      </c>
      <c r="T1076" s="540"/>
    </row>
    <row r="1077" spans="1:20" s="401" customFormat="1" ht="19.5" customHeight="1">
      <c r="A1077" s="99" t="s">
        <v>977</v>
      </c>
      <c r="B1077" s="100"/>
      <c r="C1077" s="9" t="s">
        <v>123</v>
      </c>
      <c r="D1077" s="402" t="s">
        <v>1036</v>
      </c>
      <c r="E1077" s="403" t="s">
        <v>1037</v>
      </c>
      <c r="F1077" s="403"/>
      <c r="G1077" s="404">
        <v>39540</v>
      </c>
      <c r="H1077" s="404">
        <v>39540</v>
      </c>
      <c r="I1077" s="405" t="s">
        <v>1029</v>
      </c>
      <c r="J1077" s="406">
        <v>940.76</v>
      </c>
      <c r="K1077" s="407">
        <v>0</v>
      </c>
      <c r="L1077" s="280">
        <v>940.76</v>
      </c>
      <c r="M1077" s="68">
        <v>470.38</v>
      </c>
      <c r="N1077" s="68">
        <v>0</v>
      </c>
      <c r="O1077" s="255">
        <v>470.38</v>
      </c>
      <c r="P1077" s="68">
        <f t="shared" si="207"/>
        <v>305.747</v>
      </c>
      <c r="Q1077" s="409">
        <f t="shared" si="210"/>
        <v>0</v>
      </c>
      <c r="R1077" s="256">
        <f t="shared" si="208"/>
        <v>305.747</v>
      </c>
      <c r="S1077" s="540" t="s">
        <v>1242</v>
      </c>
      <c r="T1077" s="540"/>
    </row>
    <row r="1078" spans="1:20" s="401" customFormat="1" ht="19.5" customHeight="1">
      <c r="A1078" s="99" t="s">
        <v>977</v>
      </c>
      <c r="B1078" s="100"/>
      <c r="C1078" s="9" t="s">
        <v>123</v>
      </c>
      <c r="D1078" s="402" t="s">
        <v>1036</v>
      </c>
      <c r="E1078" s="403" t="s">
        <v>1037</v>
      </c>
      <c r="F1078" s="403"/>
      <c r="G1078" s="404">
        <v>39567</v>
      </c>
      <c r="H1078" s="404">
        <v>39567</v>
      </c>
      <c r="I1078" s="405" t="s">
        <v>1029</v>
      </c>
      <c r="J1078" s="406">
        <v>940.76</v>
      </c>
      <c r="K1078" s="407">
        <v>0</v>
      </c>
      <c r="L1078" s="280">
        <v>940.76</v>
      </c>
      <c r="M1078" s="68">
        <v>470.38</v>
      </c>
      <c r="N1078" s="68">
        <v>0</v>
      </c>
      <c r="O1078" s="255">
        <v>470.38</v>
      </c>
      <c r="P1078" s="68">
        <f t="shared" si="207"/>
        <v>305.747</v>
      </c>
      <c r="Q1078" s="409">
        <f t="shared" si="210"/>
        <v>0</v>
      </c>
      <c r="R1078" s="256">
        <f t="shared" si="208"/>
        <v>305.747</v>
      </c>
      <c r="S1078" s="540" t="s">
        <v>1242</v>
      </c>
      <c r="T1078" s="540"/>
    </row>
    <row r="1079" spans="1:20" s="401" customFormat="1" ht="19.5" customHeight="1">
      <c r="A1079" s="99" t="s">
        <v>977</v>
      </c>
      <c r="B1079" s="100"/>
      <c r="C1079" s="9" t="s">
        <v>123</v>
      </c>
      <c r="D1079" s="402" t="s">
        <v>1036</v>
      </c>
      <c r="E1079" s="403" t="s">
        <v>1037</v>
      </c>
      <c r="F1079" s="403"/>
      <c r="G1079" s="404">
        <v>39602</v>
      </c>
      <c r="H1079" s="404">
        <v>39602</v>
      </c>
      <c r="I1079" s="405" t="s">
        <v>1029</v>
      </c>
      <c r="J1079" s="406">
        <v>964.09</v>
      </c>
      <c r="K1079" s="407">
        <v>0</v>
      </c>
      <c r="L1079" s="280">
        <v>964.09</v>
      </c>
      <c r="M1079" s="68">
        <v>674.8629999999999</v>
      </c>
      <c r="N1079" s="68">
        <v>0</v>
      </c>
      <c r="O1079" s="255">
        <v>674.8629999999999</v>
      </c>
      <c r="P1079" s="68">
        <f t="shared" si="207"/>
        <v>438.66094999999996</v>
      </c>
      <c r="Q1079" s="409">
        <f t="shared" si="210"/>
        <v>0</v>
      </c>
      <c r="R1079" s="256">
        <f t="shared" si="208"/>
        <v>438.66094999999996</v>
      </c>
      <c r="S1079" s="540" t="s">
        <v>1242</v>
      </c>
      <c r="T1079" s="540"/>
    </row>
    <row r="1080" spans="1:20" s="401" customFormat="1" ht="19.5" customHeight="1">
      <c r="A1080" s="99" t="s">
        <v>977</v>
      </c>
      <c r="B1080" s="100"/>
      <c r="C1080" s="9" t="s">
        <v>123</v>
      </c>
      <c r="D1080" s="402" t="s">
        <v>1036</v>
      </c>
      <c r="E1080" s="403" t="s">
        <v>1037</v>
      </c>
      <c r="F1080" s="403"/>
      <c r="G1080" s="404">
        <v>39631</v>
      </c>
      <c r="H1080" s="404">
        <v>39631</v>
      </c>
      <c r="I1080" s="405" t="s">
        <v>1029</v>
      </c>
      <c r="J1080" s="406">
        <v>964.09</v>
      </c>
      <c r="K1080" s="407">
        <v>0</v>
      </c>
      <c r="L1080" s="280">
        <v>964.09</v>
      </c>
      <c r="M1080" s="68">
        <v>482.045</v>
      </c>
      <c r="N1080" s="68">
        <v>0</v>
      </c>
      <c r="O1080" s="255">
        <v>482.045</v>
      </c>
      <c r="P1080" s="68">
        <f t="shared" si="207"/>
        <v>313.32925</v>
      </c>
      <c r="Q1080" s="409">
        <f t="shared" si="210"/>
        <v>0</v>
      </c>
      <c r="R1080" s="256">
        <f t="shared" si="208"/>
        <v>313.32925</v>
      </c>
      <c r="S1080" s="540" t="s">
        <v>1242</v>
      </c>
      <c r="T1080" s="540"/>
    </row>
    <row r="1081" spans="1:20" s="401" customFormat="1" ht="19.5" customHeight="1">
      <c r="A1081" s="99" t="s">
        <v>977</v>
      </c>
      <c r="B1081" s="100"/>
      <c r="C1081" s="9" t="s">
        <v>123</v>
      </c>
      <c r="D1081" s="402" t="s">
        <v>128</v>
      </c>
      <c r="E1081" s="403" t="s">
        <v>129</v>
      </c>
      <c r="F1081" s="403">
        <v>124650</v>
      </c>
      <c r="G1081" s="404">
        <v>39630</v>
      </c>
      <c r="H1081" s="404">
        <v>39654</v>
      </c>
      <c r="I1081" s="405" t="s">
        <v>1029</v>
      </c>
      <c r="J1081" s="406">
        <v>113.78</v>
      </c>
      <c r="K1081" s="407">
        <v>14.22</v>
      </c>
      <c r="L1081" s="280">
        <v>128</v>
      </c>
      <c r="M1081" s="68">
        <v>56.89</v>
      </c>
      <c r="N1081" s="68">
        <v>7.11</v>
      </c>
      <c r="O1081" s="255">
        <v>64</v>
      </c>
      <c r="P1081" s="68">
        <f t="shared" si="207"/>
        <v>36.978500000000004</v>
      </c>
      <c r="Q1081" s="409">
        <f t="shared" si="210"/>
        <v>4.6215</v>
      </c>
      <c r="R1081" s="256">
        <f t="shared" si="208"/>
        <v>41.6</v>
      </c>
      <c r="S1081" s="540" t="s">
        <v>1242</v>
      </c>
      <c r="T1081" s="540"/>
    </row>
    <row r="1082" spans="1:20" s="401" customFormat="1" ht="19.5" customHeight="1">
      <c r="A1082" s="99" t="s">
        <v>977</v>
      </c>
      <c r="B1082" s="100" t="s">
        <v>729</v>
      </c>
      <c r="C1082" s="9" t="s">
        <v>123</v>
      </c>
      <c r="D1082" s="402" t="s">
        <v>1120</v>
      </c>
      <c r="E1082" s="403"/>
      <c r="F1082" s="403"/>
      <c r="G1082" s="404"/>
      <c r="H1082" s="404"/>
      <c r="I1082" s="405"/>
      <c r="J1082" s="406">
        <v>2427.83</v>
      </c>
      <c r="K1082" s="407"/>
      <c r="L1082" s="280">
        <v>2427.83</v>
      </c>
      <c r="M1082" s="68">
        <v>2427.83</v>
      </c>
      <c r="N1082" s="68"/>
      <c r="O1082" s="255">
        <f>+N1082+M1082</f>
        <v>2427.83</v>
      </c>
      <c r="P1082" s="68">
        <f t="shared" si="207"/>
        <v>1578.0895</v>
      </c>
      <c r="Q1082" s="409">
        <f t="shared" si="210"/>
        <v>0</v>
      </c>
      <c r="R1082" s="256">
        <f t="shared" si="208"/>
        <v>1578.0895</v>
      </c>
      <c r="S1082" s="540" t="s">
        <v>1242</v>
      </c>
      <c r="T1082" s="540"/>
    </row>
    <row r="1083" spans="1:20" s="401" customFormat="1" ht="25.5" customHeight="1">
      <c r="A1083" s="99" t="s">
        <v>977</v>
      </c>
      <c r="B1083" s="100"/>
      <c r="C1083" s="232" t="s">
        <v>890</v>
      </c>
      <c r="D1083" s="402" t="s">
        <v>1122</v>
      </c>
      <c r="E1083" s="403"/>
      <c r="F1083" s="403">
        <v>72394</v>
      </c>
      <c r="G1083" s="404">
        <v>39631</v>
      </c>
      <c r="H1083" s="404"/>
      <c r="I1083" s="405"/>
      <c r="J1083" s="406">
        <v>568.02</v>
      </c>
      <c r="K1083" s="407"/>
      <c r="L1083" s="280">
        <v>568.02</v>
      </c>
      <c r="M1083" s="68">
        <v>568.02</v>
      </c>
      <c r="N1083" s="68"/>
      <c r="O1083" s="255">
        <f>+N1083+M1083</f>
        <v>568.02</v>
      </c>
      <c r="P1083" s="68">
        <f t="shared" si="207"/>
        <v>369.213</v>
      </c>
      <c r="Q1083" s="409">
        <f t="shared" si="210"/>
        <v>0</v>
      </c>
      <c r="R1083" s="256">
        <f t="shared" si="208"/>
        <v>369.213</v>
      </c>
      <c r="S1083" s="540" t="s">
        <v>1242</v>
      </c>
      <c r="T1083" s="540"/>
    </row>
    <row r="1084" spans="1:20" s="401" customFormat="1" ht="24.75" customHeight="1">
      <c r="A1084" s="99" t="s">
        <v>977</v>
      </c>
      <c r="B1084" s="100"/>
      <c r="C1084" s="232" t="s">
        <v>890</v>
      </c>
      <c r="D1084" s="402" t="s">
        <v>1123</v>
      </c>
      <c r="E1084" s="403"/>
      <c r="F1084" s="403">
        <v>59177</v>
      </c>
      <c r="G1084" s="404">
        <v>39434</v>
      </c>
      <c r="H1084" s="404"/>
      <c r="I1084" s="405"/>
      <c r="J1084" s="406">
        <v>51.86</v>
      </c>
      <c r="K1084" s="407"/>
      <c r="L1084" s="280">
        <v>51.86</v>
      </c>
      <c r="M1084" s="68">
        <v>51.86</v>
      </c>
      <c r="N1084" s="68"/>
      <c r="O1084" s="255">
        <f>+N1084+M1084</f>
        <v>51.86</v>
      </c>
      <c r="P1084" s="68">
        <f t="shared" si="207"/>
        <v>33.709</v>
      </c>
      <c r="Q1084" s="409">
        <f t="shared" si="210"/>
        <v>0</v>
      </c>
      <c r="R1084" s="256">
        <f t="shared" si="208"/>
        <v>33.709</v>
      </c>
      <c r="S1084" s="540" t="s">
        <v>1242</v>
      </c>
      <c r="T1084" s="540"/>
    </row>
    <row r="1085" spans="1:20" s="401" customFormat="1" ht="24.75" customHeight="1">
      <c r="A1085" s="99" t="s">
        <v>977</v>
      </c>
      <c r="B1085" s="100"/>
      <c r="C1085" s="232" t="s">
        <v>890</v>
      </c>
      <c r="D1085" s="402" t="s">
        <v>1123</v>
      </c>
      <c r="E1085" s="403"/>
      <c r="F1085" s="403">
        <v>64932</v>
      </c>
      <c r="G1085" s="404">
        <v>39517</v>
      </c>
      <c r="H1085" s="404"/>
      <c r="I1085" s="405"/>
      <c r="J1085" s="406">
        <v>67.4</v>
      </c>
      <c r="K1085" s="407"/>
      <c r="L1085" s="280">
        <v>67.4</v>
      </c>
      <c r="M1085" s="68">
        <v>67.4</v>
      </c>
      <c r="N1085" s="68"/>
      <c r="O1085" s="255">
        <f>+N1085+M1085</f>
        <v>67.4</v>
      </c>
      <c r="P1085" s="68">
        <f t="shared" si="207"/>
        <v>43.81</v>
      </c>
      <c r="Q1085" s="409">
        <f t="shared" si="210"/>
        <v>0</v>
      </c>
      <c r="R1085" s="256">
        <f t="shared" si="208"/>
        <v>43.81</v>
      </c>
      <c r="S1085" s="540" t="s">
        <v>1242</v>
      </c>
      <c r="T1085" s="540"/>
    </row>
    <row r="1086" spans="1:20" s="401" customFormat="1" ht="24.75" customHeight="1">
      <c r="A1086" s="99" t="s">
        <v>977</v>
      </c>
      <c r="B1086" s="100"/>
      <c r="C1086" s="232" t="s">
        <v>890</v>
      </c>
      <c r="D1086" s="402" t="s">
        <v>1123</v>
      </c>
      <c r="E1086" s="403"/>
      <c r="F1086" s="403">
        <v>69976</v>
      </c>
      <c r="G1086" s="404">
        <v>39594</v>
      </c>
      <c r="H1086" s="404"/>
      <c r="I1086" s="405"/>
      <c r="J1086" s="406">
        <v>149.19</v>
      </c>
      <c r="K1086" s="407"/>
      <c r="L1086" s="280">
        <v>149.19</v>
      </c>
      <c r="M1086" s="68">
        <v>149.19</v>
      </c>
      <c r="N1086" s="68"/>
      <c r="O1086" s="255">
        <f>+N1086+M1086</f>
        <v>149.19</v>
      </c>
      <c r="P1086" s="68">
        <f t="shared" si="207"/>
        <v>96.9735</v>
      </c>
      <c r="Q1086" s="409">
        <f t="shared" si="210"/>
        <v>0</v>
      </c>
      <c r="R1086" s="256">
        <f t="shared" si="208"/>
        <v>96.9735</v>
      </c>
      <c r="S1086" s="540" t="s">
        <v>1242</v>
      </c>
      <c r="T1086" s="540"/>
    </row>
    <row r="1087" spans="1:20" s="401" customFormat="1" ht="24.75" customHeight="1">
      <c r="A1087" s="99" t="s">
        <v>977</v>
      </c>
      <c r="B1087" s="100"/>
      <c r="C1087" s="232" t="s">
        <v>83</v>
      </c>
      <c r="D1087" s="402" t="s">
        <v>1132</v>
      </c>
      <c r="E1087" s="403" t="s">
        <v>86</v>
      </c>
      <c r="F1087" s="403" t="s">
        <v>1133</v>
      </c>
      <c r="G1087" s="404">
        <v>39479</v>
      </c>
      <c r="H1087" s="404">
        <v>39483</v>
      </c>
      <c r="I1087" s="405" t="s">
        <v>88</v>
      </c>
      <c r="J1087" s="406">
        <v>591</v>
      </c>
      <c r="K1087" s="407">
        <v>0</v>
      </c>
      <c r="L1087" s="280">
        <v>591</v>
      </c>
      <c r="M1087" s="68">
        <v>295.5</v>
      </c>
      <c r="N1087" s="68">
        <v>0</v>
      </c>
      <c r="O1087" s="255">
        <v>295.5</v>
      </c>
      <c r="P1087" s="68">
        <f t="shared" si="207"/>
        <v>192.07500000000002</v>
      </c>
      <c r="Q1087" s="409">
        <f t="shared" si="210"/>
        <v>0</v>
      </c>
      <c r="R1087" s="256">
        <f t="shared" si="208"/>
        <v>192.07500000000002</v>
      </c>
      <c r="S1087" s="540" t="s">
        <v>1242</v>
      </c>
      <c r="T1087" s="540"/>
    </row>
    <row r="1088" spans="1:20" s="401" customFormat="1" ht="24.75" customHeight="1">
      <c r="A1088" s="99" t="s">
        <v>977</v>
      </c>
      <c r="B1088" s="100"/>
      <c r="C1088" s="232" t="s">
        <v>83</v>
      </c>
      <c r="D1088" s="402" t="s">
        <v>1134</v>
      </c>
      <c r="E1088" s="403" t="s">
        <v>86</v>
      </c>
      <c r="F1088" s="403" t="s">
        <v>1135</v>
      </c>
      <c r="G1088" s="404">
        <v>39508</v>
      </c>
      <c r="H1088" s="404">
        <v>39511</v>
      </c>
      <c r="I1088" s="405" t="s">
        <v>88</v>
      </c>
      <c r="J1088" s="406">
        <v>591</v>
      </c>
      <c r="K1088" s="407">
        <v>0</v>
      </c>
      <c r="L1088" s="280">
        <v>591</v>
      </c>
      <c r="M1088" s="68">
        <v>295.5</v>
      </c>
      <c r="N1088" s="68">
        <v>0</v>
      </c>
      <c r="O1088" s="255">
        <v>295.5</v>
      </c>
      <c r="P1088" s="68">
        <f t="shared" si="207"/>
        <v>192.07500000000002</v>
      </c>
      <c r="Q1088" s="409">
        <f t="shared" si="210"/>
        <v>0</v>
      </c>
      <c r="R1088" s="256">
        <f t="shared" si="208"/>
        <v>192.07500000000002</v>
      </c>
      <c r="S1088" s="540" t="s">
        <v>1242</v>
      </c>
      <c r="T1088" s="540"/>
    </row>
    <row r="1089" spans="1:20" s="401" customFormat="1" ht="24.75" customHeight="1">
      <c r="A1089" s="99" t="s">
        <v>977</v>
      </c>
      <c r="B1089" s="100"/>
      <c r="C1089" s="232" t="s">
        <v>83</v>
      </c>
      <c r="D1089" s="402" t="s">
        <v>1136</v>
      </c>
      <c r="E1089" s="403" t="s">
        <v>86</v>
      </c>
      <c r="F1089" s="403" t="s">
        <v>1137</v>
      </c>
      <c r="G1089" s="404">
        <v>39539</v>
      </c>
      <c r="H1089" s="404">
        <v>39540</v>
      </c>
      <c r="I1089" s="405" t="s">
        <v>88</v>
      </c>
      <c r="J1089" s="406">
        <v>591</v>
      </c>
      <c r="K1089" s="407">
        <v>0</v>
      </c>
      <c r="L1089" s="280">
        <v>591</v>
      </c>
      <c r="M1089" s="68">
        <v>295.5</v>
      </c>
      <c r="N1089" s="68">
        <v>0</v>
      </c>
      <c r="O1089" s="255">
        <v>295.5</v>
      </c>
      <c r="P1089" s="68">
        <f t="shared" si="207"/>
        <v>192.07500000000002</v>
      </c>
      <c r="Q1089" s="409">
        <f t="shared" si="210"/>
        <v>0</v>
      </c>
      <c r="R1089" s="256">
        <f t="shared" si="208"/>
        <v>192.07500000000002</v>
      </c>
      <c r="S1089" s="540" t="s">
        <v>1242</v>
      </c>
      <c r="T1089" s="540"/>
    </row>
    <row r="1090" spans="1:20" s="401" customFormat="1" ht="24.75" customHeight="1">
      <c r="A1090" s="99" t="s">
        <v>977</v>
      </c>
      <c r="B1090" s="100"/>
      <c r="C1090" s="232" t="s">
        <v>83</v>
      </c>
      <c r="D1090" s="402" t="s">
        <v>1138</v>
      </c>
      <c r="E1090" s="403" t="s">
        <v>86</v>
      </c>
      <c r="F1090" s="403" t="s">
        <v>1139</v>
      </c>
      <c r="G1090" s="404">
        <v>39569</v>
      </c>
      <c r="H1090" s="404">
        <v>39576</v>
      </c>
      <c r="I1090" s="405" t="s">
        <v>88</v>
      </c>
      <c r="J1090" s="406">
        <v>591</v>
      </c>
      <c r="K1090" s="407">
        <v>0</v>
      </c>
      <c r="L1090" s="280">
        <v>591</v>
      </c>
      <c r="M1090" s="68">
        <v>295.5</v>
      </c>
      <c r="N1090" s="68">
        <v>0</v>
      </c>
      <c r="O1090" s="255">
        <v>295.5</v>
      </c>
      <c r="P1090" s="68">
        <f t="shared" si="207"/>
        <v>192.07500000000002</v>
      </c>
      <c r="Q1090" s="409">
        <f t="shared" si="210"/>
        <v>0</v>
      </c>
      <c r="R1090" s="256">
        <f t="shared" si="208"/>
        <v>192.07500000000002</v>
      </c>
      <c r="S1090" s="540" t="s">
        <v>1242</v>
      </c>
      <c r="T1090" s="540"/>
    </row>
    <row r="1091" spans="1:20" s="401" customFormat="1" ht="24.75" customHeight="1">
      <c r="A1091" s="99" t="s">
        <v>977</v>
      </c>
      <c r="B1091" s="100"/>
      <c r="C1091" s="232" t="s">
        <v>83</v>
      </c>
      <c r="D1091" s="402" t="s">
        <v>1140</v>
      </c>
      <c r="E1091" s="403" t="s">
        <v>86</v>
      </c>
      <c r="F1091" s="403" t="s">
        <v>1141</v>
      </c>
      <c r="G1091" s="404">
        <v>39600</v>
      </c>
      <c r="H1091" s="404">
        <v>39608</v>
      </c>
      <c r="I1091" s="405" t="s">
        <v>88</v>
      </c>
      <c r="J1091" s="406">
        <v>651</v>
      </c>
      <c r="K1091" s="407">
        <v>0</v>
      </c>
      <c r="L1091" s="280">
        <v>651</v>
      </c>
      <c r="M1091" s="68">
        <v>455.7</v>
      </c>
      <c r="N1091" s="68">
        <v>0</v>
      </c>
      <c r="O1091" s="255">
        <v>455.7</v>
      </c>
      <c r="P1091" s="68">
        <f t="shared" si="207"/>
        <v>296.205</v>
      </c>
      <c r="Q1091" s="409">
        <f t="shared" si="210"/>
        <v>0</v>
      </c>
      <c r="R1091" s="256">
        <f t="shared" si="208"/>
        <v>296.205</v>
      </c>
      <c r="S1091" s="540" t="s">
        <v>1242</v>
      </c>
      <c r="T1091" s="540"/>
    </row>
    <row r="1092" spans="1:20" s="401" customFormat="1" ht="24.75" customHeight="1">
      <c r="A1092" s="99" t="s">
        <v>977</v>
      </c>
      <c r="B1092" s="100"/>
      <c r="C1092" s="232" t="s">
        <v>83</v>
      </c>
      <c r="D1092" s="402" t="s">
        <v>1142</v>
      </c>
      <c r="E1092" s="403" t="s">
        <v>86</v>
      </c>
      <c r="F1092" s="403" t="s">
        <v>1143</v>
      </c>
      <c r="G1092" s="404">
        <v>39630</v>
      </c>
      <c r="H1092" s="404">
        <v>39636</v>
      </c>
      <c r="I1092" s="405" t="s">
        <v>88</v>
      </c>
      <c r="J1092" s="406">
        <v>591</v>
      </c>
      <c r="K1092" s="407">
        <v>0</v>
      </c>
      <c r="L1092" s="280">
        <v>591</v>
      </c>
      <c r="M1092" s="68">
        <v>295.5</v>
      </c>
      <c r="N1092" s="68">
        <v>0</v>
      </c>
      <c r="O1092" s="255">
        <v>295.5</v>
      </c>
      <c r="P1092" s="68">
        <f t="shared" si="207"/>
        <v>192.07500000000002</v>
      </c>
      <c r="Q1092" s="409">
        <f t="shared" si="210"/>
        <v>0</v>
      </c>
      <c r="R1092" s="256">
        <f t="shared" si="208"/>
        <v>192.07500000000002</v>
      </c>
      <c r="S1092" s="540" t="s">
        <v>1242</v>
      </c>
      <c r="T1092" s="540"/>
    </row>
    <row r="1093" spans="1:20" s="401" customFormat="1" ht="24.75" customHeight="1">
      <c r="A1093" s="99" t="s">
        <v>977</v>
      </c>
      <c r="B1093" s="100"/>
      <c r="C1093" s="232" t="s">
        <v>83</v>
      </c>
      <c r="D1093" s="402" t="s">
        <v>499</v>
      </c>
      <c r="E1093" s="403" t="s">
        <v>73</v>
      </c>
      <c r="F1093" s="403" t="s">
        <v>1144</v>
      </c>
      <c r="G1093" s="404">
        <v>39492</v>
      </c>
      <c r="H1093" s="404">
        <v>39512</v>
      </c>
      <c r="I1093" s="405" t="s">
        <v>70</v>
      </c>
      <c r="J1093" s="406">
        <v>79.09</v>
      </c>
      <c r="K1093" s="407">
        <v>15.818000000000001</v>
      </c>
      <c r="L1093" s="280">
        <v>94.908</v>
      </c>
      <c r="M1093" s="68">
        <v>39.545</v>
      </c>
      <c r="N1093" s="68">
        <v>7.909000000000001</v>
      </c>
      <c r="O1093" s="255">
        <v>47.454</v>
      </c>
      <c r="P1093" s="68">
        <f t="shared" si="207"/>
        <v>25.704250000000002</v>
      </c>
      <c r="Q1093" s="409">
        <f t="shared" si="210"/>
        <v>5.14085</v>
      </c>
      <c r="R1093" s="256">
        <f t="shared" si="208"/>
        <v>30.845100000000002</v>
      </c>
      <c r="S1093" s="540" t="s">
        <v>1242</v>
      </c>
      <c r="T1093" s="540"/>
    </row>
    <row r="1094" spans="1:20" s="401" customFormat="1" ht="24.75" customHeight="1">
      <c r="A1094" s="99" t="s">
        <v>977</v>
      </c>
      <c r="B1094" s="100"/>
      <c r="C1094" s="232" t="s">
        <v>83</v>
      </c>
      <c r="D1094" s="402" t="s">
        <v>499</v>
      </c>
      <c r="E1094" s="403" t="s">
        <v>73</v>
      </c>
      <c r="F1094" s="403" t="s">
        <v>663</v>
      </c>
      <c r="G1094" s="404">
        <v>39553</v>
      </c>
      <c r="H1094" s="404">
        <v>39573</v>
      </c>
      <c r="I1094" s="405" t="s">
        <v>70</v>
      </c>
      <c r="J1094" s="406">
        <v>74.9</v>
      </c>
      <c r="K1094" s="407">
        <v>14.98</v>
      </c>
      <c r="L1094" s="280">
        <v>89.88</v>
      </c>
      <c r="M1094" s="68">
        <v>37.45</v>
      </c>
      <c r="N1094" s="68">
        <v>7.49</v>
      </c>
      <c r="O1094" s="255">
        <v>44.94</v>
      </c>
      <c r="P1094" s="68">
        <f t="shared" si="207"/>
        <v>24.3425</v>
      </c>
      <c r="Q1094" s="409">
        <f t="shared" si="210"/>
        <v>4.8685</v>
      </c>
      <c r="R1094" s="256">
        <f t="shared" si="208"/>
        <v>29.211000000000002</v>
      </c>
      <c r="S1094" s="540" t="s">
        <v>1242</v>
      </c>
      <c r="T1094" s="540"/>
    </row>
    <row r="1095" spans="1:20" s="401" customFormat="1" ht="24.75" customHeight="1">
      <c r="A1095" s="99" t="s">
        <v>977</v>
      </c>
      <c r="B1095" s="100"/>
      <c r="C1095" s="232" t="s">
        <v>83</v>
      </c>
      <c r="D1095" s="402" t="s">
        <v>499</v>
      </c>
      <c r="E1095" s="403" t="s">
        <v>73</v>
      </c>
      <c r="F1095" s="403" t="s">
        <v>810</v>
      </c>
      <c r="G1095" s="404">
        <v>39601</v>
      </c>
      <c r="H1095" s="404">
        <v>39622</v>
      </c>
      <c r="I1095" s="405" t="s">
        <v>70</v>
      </c>
      <c r="J1095" s="406">
        <v>63.59</v>
      </c>
      <c r="K1095" s="407">
        <v>12.718000000000002</v>
      </c>
      <c r="L1095" s="280">
        <v>76.308</v>
      </c>
      <c r="M1095" s="68">
        <v>31.795</v>
      </c>
      <c r="N1095" s="68">
        <v>6.359000000000001</v>
      </c>
      <c r="O1095" s="255">
        <v>38.154</v>
      </c>
      <c r="P1095" s="68">
        <f t="shared" si="207"/>
        <v>20.66675</v>
      </c>
      <c r="Q1095" s="409">
        <f t="shared" si="210"/>
        <v>4.133350000000001</v>
      </c>
      <c r="R1095" s="256">
        <f t="shared" si="208"/>
        <v>24.8001</v>
      </c>
      <c r="S1095" s="540" t="s">
        <v>1242</v>
      </c>
      <c r="T1095" s="540"/>
    </row>
    <row r="1096" spans="1:20" s="401" customFormat="1" ht="24.75" customHeight="1">
      <c r="A1096" s="99" t="s">
        <v>977</v>
      </c>
      <c r="B1096" s="100"/>
      <c r="C1096" s="232" t="s">
        <v>83</v>
      </c>
      <c r="D1096" s="402" t="s">
        <v>1145</v>
      </c>
      <c r="E1096" s="403" t="s">
        <v>99</v>
      </c>
      <c r="F1096" s="403" t="s">
        <v>1146</v>
      </c>
      <c r="G1096" s="404">
        <v>39484</v>
      </c>
      <c r="H1096" s="404">
        <v>39520</v>
      </c>
      <c r="I1096" s="405" t="s">
        <v>70</v>
      </c>
      <c r="J1096" s="406">
        <v>190.4</v>
      </c>
      <c r="K1096" s="407">
        <v>38.08</v>
      </c>
      <c r="L1096" s="280">
        <v>228.48</v>
      </c>
      <c r="M1096" s="68">
        <v>95.2</v>
      </c>
      <c r="N1096" s="68">
        <v>19.04</v>
      </c>
      <c r="O1096" s="255">
        <v>114.24</v>
      </c>
      <c r="P1096" s="68">
        <f t="shared" si="207"/>
        <v>61.88</v>
      </c>
      <c r="Q1096" s="409">
        <f t="shared" si="210"/>
        <v>12.376</v>
      </c>
      <c r="R1096" s="256">
        <f t="shared" si="208"/>
        <v>74.256</v>
      </c>
      <c r="S1096" s="540" t="s">
        <v>1242</v>
      </c>
      <c r="T1096" s="540"/>
    </row>
    <row r="1097" spans="1:20" s="401" customFormat="1" ht="24.75" customHeight="1">
      <c r="A1097" s="99" t="s">
        <v>977</v>
      </c>
      <c r="B1097" s="100"/>
      <c r="C1097" s="232" t="s">
        <v>83</v>
      </c>
      <c r="D1097" s="402" t="s">
        <v>1147</v>
      </c>
      <c r="E1097" s="403" t="s">
        <v>99</v>
      </c>
      <c r="F1097" s="403" t="s">
        <v>1148</v>
      </c>
      <c r="G1097" s="404">
        <v>39545</v>
      </c>
      <c r="H1097" s="404">
        <v>39581</v>
      </c>
      <c r="I1097" s="405" t="s">
        <v>70</v>
      </c>
      <c r="J1097" s="406">
        <v>191.29</v>
      </c>
      <c r="K1097" s="407">
        <v>38.258</v>
      </c>
      <c r="L1097" s="280">
        <v>229.548</v>
      </c>
      <c r="M1097" s="68">
        <v>95.645</v>
      </c>
      <c r="N1097" s="68">
        <v>19.129</v>
      </c>
      <c r="O1097" s="255">
        <v>114.774</v>
      </c>
      <c r="P1097" s="68">
        <f t="shared" si="207"/>
        <v>62.16925</v>
      </c>
      <c r="Q1097" s="409">
        <f t="shared" si="210"/>
        <v>12.433850000000001</v>
      </c>
      <c r="R1097" s="256">
        <f t="shared" si="208"/>
        <v>74.6031</v>
      </c>
      <c r="S1097" s="540" t="s">
        <v>1242</v>
      </c>
      <c r="T1097" s="540"/>
    </row>
    <row r="1098" spans="1:20" s="401" customFormat="1" ht="24.75" customHeight="1">
      <c r="A1098" s="99" t="s">
        <v>977</v>
      </c>
      <c r="B1098" s="100"/>
      <c r="C1098" s="232" t="s">
        <v>83</v>
      </c>
      <c r="D1098" s="402" t="s">
        <v>1149</v>
      </c>
      <c r="E1098" s="403" t="s">
        <v>99</v>
      </c>
      <c r="F1098" s="403" t="s">
        <v>1150</v>
      </c>
      <c r="G1098" s="404">
        <v>39605</v>
      </c>
      <c r="H1098" s="404">
        <v>39643</v>
      </c>
      <c r="I1098" s="405" t="s">
        <v>70</v>
      </c>
      <c r="J1098" s="406">
        <v>196.33</v>
      </c>
      <c r="K1098" s="407">
        <v>39.266000000000005</v>
      </c>
      <c r="L1098" s="280">
        <v>235.496</v>
      </c>
      <c r="M1098" s="68">
        <v>98.165</v>
      </c>
      <c r="N1098" s="68">
        <v>19.633000000000003</v>
      </c>
      <c r="O1098" s="255">
        <v>117.798</v>
      </c>
      <c r="P1098" s="68">
        <f t="shared" si="207"/>
        <v>63.80725</v>
      </c>
      <c r="Q1098" s="409">
        <f t="shared" si="210"/>
        <v>12.761450000000002</v>
      </c>
      <c r="R1098" s="256">
        <f t="shared" si="208"/>
        <v>76.5687</v>
      </c>
      <c r="S1098" s="540" t="s">
        <v>1242</v>
      </c>
      <c r="T1098" s="540"/>
    </row>
    <row r="1099" spans="1:20" s="401" customFormat="1" ht="24.75" customHeight="1">
      <c r="A1099" s="99" t="s">
        <v>977</v>
      </c>
      <c r="B1099" s="100"/>
      <c r="C1099" s="232" t="s">
        <v>83</v>
      </c>
      <c r="D1099" s="402" t="s">
        <v>1145</v>
      </c>
      <c r="E1099" s="403">
        <v>3</v>
      </c>
      <c r="F1099" s="403">
        <v>880012025</v>
      </c>
      <c r="G1099" s="404">
        <v>39462</v>
      </c>
      <c r="H1099" s="404">
        <v>39492</v>
      </c>
      <c r="I1099" s="405" t="s">
        <v>70</v>
      </c>
      <c r="J1099" s="406">
        <v>69.91</v>
      </c>
      <c r="K1099" s="407">
        <v>11.4</v>
      </c>
      <c r="L1099" s="280">
        <v>81.31</v>
      </c>
      <c r="M1099" s="68">
        <v>34.955</v>
      </c>
      <c r="N1099" s="68">
        <v>6.991</v>
      </c>
      <c r="O1099" s="255">
        <v>41.946</v>
      </c>
      <c r="P1099" s="68">
        <f t="shared" si="207"/>
        <v>22.72075</v>
      </c>
      <c r="Q1099" s="409">
        <f t="shared" si="210"/>
        <v>4.54415</v>
      </c>
      <c r="R1099" s="256">
        <f t="shared" si="208"/>
        <v>27.264899999999997</v>
      </c>
      <c r="S1099" s="540" t="s">
        <v>1242</v>
      </c>
      <c r="T1099" s="540"/>
    </row>
    <row r="1100" spans="1:20" s="401" customFormat="1" ht="24.75" customHeight="1">
      <c r="A1100" s="99" t="s">
        <v>977</v>
      </c>
      <c r="B1100" s="100"/>
      <c r="C1100" s="232" t="s">
        <v>83</v>
      </c>
      <c r="D1100" s="402" t="s">
        <v>1147</v>
      </c>
      <c r="E1100" s="403">
        <v>3</v>
      </c>
      <c r="F1100" s="403">
        <v>880374687</v>
      </c>
      <c r="G1100" s="404">
        <v>39493</v>
      </c>
      <c r="H1100" s="404">
        <v>39524</v>
      </c>
      <c r="I1100" s="405" t="s">
        <v>70</v>
      </c>
      <c r="J1100" s="406">
        <v>69.91</v>
      </c>
      <c r="K1100" s="407">
        <v>11.4</v>
      </c>
      <c r="L1100" s="280">
        <v>81.31</v>
      </c>
      <c r="M1100" s="68">
        <v>34.955</v>
      </c>
      <c r="N1100" s="68">
        <v>6.991</v>
      </c>
      <c r="O1100" s="255">
        <v>41.946</v>
      </c>
      <c r="P1100" s="68">
        <f t="shared" si="207"/>
        <v>22.72075</v>
      </c>
      <c r="Q1100" s="409">
        <f t="shared" si="210"/>
        <v>4.54415</v>
      </c>
      <c r="R1100" s="256">
        <f t="shared" si="208"/>
        <v>27.264899999999997</v>
      </c>
      <c r="S1100" s="540" t="s">
        <v>1242</v>
      </c>
      <c r="T1100" s="540"/>
    </row>
    <row r="1101" spans="1:20" s="401" customFormat="1" ht="24.75" customHeight="1">
      <c r="A1101" s="99" t="s">
        <v>977</v>
      </c>
      <c r="B1101" s="100"/>
      <c r="C1101" s="232" t="s">
        <v>83</v>
      </c>
      <c r="D1101" s="402" t="s">
        <v>1149</v>
      </c>
      <c r="E1101" s="403">
        <v>3</v>
      </c>
      <c r="F1101" s="403">
        <v>880623318</v>
      </c>
      <c r="G1101" s="404">
        <v>39522</v>
      </c>
      <c r="H1101" s="404">
        <v>39552</v>
      </c>
      <c r="I1101" s="405" t="s">
        <v>70</v>
      </c>
      <c r="J1101" s="406">
        <v>69.91</v>
      </c>
      <c r="K1101" s="407">
        <v>11.4</v>
      </c>
      <c r="L1101" s="280">
        <v>81.31</v>
      </c>
      <c r="M1101" s="68">
        <v>34.955</v>
      </c>
      <c r="N1101" s="68">
        <v>6.991</v>
      </c>
      <c r="O1101" s="255">
        <v>41.946</v>
      </c>
      <c r="P1101" s="68">
        <f t="shared" si="207"/>
        <v>22.72075</v>
      </c>
      <c r="Q1101" s="409">
        <f t="shared" si="210"/>
        <v>4.54415</v>
      </c>
      <c r="R1101" s="256">
        <f t="shared" si="208"/>
        <v>27.264899999999997</v>
      </c>
      <c r="S1101" s="540" t="s">
        <v>1242</v>
      </c>
      <c r="T1101" s="540"/>
    </row>
    <row r="1102" spans="1:20" s="401" customFormat="1" ht="24.75" customHeight="1">
      <c r="A1102" s="99" t="s">
        <v>977</v>
      </c>
      <c r="B1102" s="100"/>
      <c r="C1102" s="232" t="s">
        <v>83</v>
      </c>
      <c r="D1102" s="402" t="s">
        <v>1151</v>
      </c>
      <c r="E1102" s="403">
        <v>3</v>
      </c>
      <c r="F1102" s="403">
        <v>880870898</v>
      </c>
      <c r="G1102" s="404">
        <v>39553</v>
      </c>
      <c r="H1102" s="404">
        <v>39583</v>
      </c>
      <c r="I1102" s="405" t="s">
        <v>70</v>
      </c>
      <c r="J1102" s="406">
        <v>69.91</v>
      </c>
      <c r="K1102" s="407">
        <v>11.4</v>
      </c>
      <c r="L1102" s="280">
        <v>81.31</v>
      </c>
      <c r="M1102" s="68">
        <v>34.955</v>
      </c>
      <c r="N1102" s="68">
        <v>6.991</v>
      </c>
      <c r="O1102" s="255">
        <v>41.946</v>
      </c>
      <c r="P1102" s="68">
        <f t="shared" si="207"/>
        <v>22.72075</v>
      </c>
      <c r="Q1102" s="409">
        <f t="shared" si="210"/>
        <v>4.54415</v>
      </c>
      <c r="R1102" s="256">
        <f t="shared" si="208"/>
        <v>27.264899999999997</v>
      </c>
      <c r="S1102" s="540" t="s">
        <v>1242</v>
      </c>
      <c r="T1102" s="540"/>
    </row>
    <row r="1103" spans="1:20" s="401" customFormat="1" ht="24.75" customHeight="1">
      <c r="A1103" s="99" t="s">
        <v>977</v>
      </c>
      <c r="B1103" s="100"/>
      <c r="C1103" s="232" t="s">
        <v>83</v>
      </c>
      <c r="D1103" s="402" t="s">
        <v>1152</v>
      </c>
      <c r="E1103" s="403">
        <v>3</v>
      </c>
      <c r="F1103" s="403">
        <v>881123481</v>
      </c>
      <c r="G1103" s="404">
        <v>39583</v>
      </c>
      <c r="H1103" s="404">
        <v>39613</v>
      </c>
      <c r="I1103" s="405" t="s">
        <v>70</v>
      </c>
      <c r="J1103" s="406">
        <v>81.6</v>
      </c>
      <c r="K1103" s="407">
        <v>11.4</v>
      </c>
      <c r="L1103" s="280">
        <v>93</v>
      </c>
      <c r="M1103" s="68">
        <v>57.12</v>
      </c>
      <c r="N1103" s="68">
        <v>11.424</v>
      </c>
      <c r="O1103" s="255">
        <v>68.54399999999998</v>
      </c>
      <c r="P1103" s="68">
        <f t="shared" si="207"/>
        <v>37.128</v>
      </c>
      <c r="Q1103" s="409">
        <f t="shared" si="210"/>
        <v>7.4256</v>
      </c>
      <c r="R1103" s="256">
        <f t="shared" si="208"/>
        <v>44.5536</v>
      </c>
      <c r="S1103" s="540" t="s">
        <v>1242</v>
      </c>
      <c r="T1103" s="540"/>
    </row>
    <row r="1104" spans="1:20" s="401" customFormat="1" ht="24.75" customHeight="1">
      <c r="A1104" s="99" t="s">
        <v>977</v>
      </c>
      <c r="B1104" s="100"/>
      <c r="C1104" s="232" t="s">
        <v>83</v>
      </c>
      <c r="D1104" s="402" t="s">
        <v>1153</v>
      </c>
      <c r="E1104" s="403">
        <v>3</v>
      </c>
      <c r="F1104" s="403">
        <v>881382311</v>
      </c>
      <c r="G1104" s="404">
        <v>39614</v>
      </c>
      <c r="H1104" s="404">
        <v>5</v>
      </c>
      <c r="I1104" s="405" t="s">
        <v>70</v>
      </c>
      <c r="J1104" s="406">
        <v>74.65</v>
      </c>
      <c r="K1104" s="407">
        <v>11.4</v>
      </c>
      <c r="L1104" s="280">
        <v>86.05</v>
      </c>
      <c r="M1104" s="68">
        <v>37.325</v>
      </c>
      <c r="N1104" s="68">
        <v>7.465</v>
      </c>
      <c r="O1104" s="255">
        <v>44.79</v>
      </c>
      <c r="P1104" s="68">
        <f t="shared" si="207"/>
        <v>24.261250000000004</v>
      </c>
      <c r="Q1104" s="409">
        <f t="shared" si="210"/>
        <v>4.85225</v>
      </c>
      <c r="R1104" s="256">
        <f t="shared" si="208"/>
        <v>29.113500000000002</v>
      </c>
      <c r="S1104" s="540" t="s">
        <v>1242</v>
      </c>
      <c r="T1104" s="540"/>
    </row>
    <row r="1105" spans="1:20" s="401" customFormat="1" ht="24.75" customHeight="1">
      <c r="A1105" s="99" t="s">
        <v>977</v>
      </c>
      <c r="B1105" s="100"/>
      <c r="C1105" s="232" t="s">
        <v>83</v>
      </c>
      <c r="D1105" s="402" t="s">
        <v>942</v>
      </c>
      <c r="E1105" s="403" t="s">
        <v>76</v>
      </c>
      <c r="F1105" s="403">
        <v>19094</v>
      </c>
      <c r="G1105" s="404">
        <v>39521</v>
      </c>
      <c r="H1105" s="404">
        <v>39535</v>
      </c>
      <c r="I1105" s="405" t="s">
        <v>796</v>
      </c>
      <c r="J1105" s="406">
        <v>653.19</v>
      </c>
      <c r="K1105" s="407">
        <v>130.638</v>
      </c>
      <c r="L1105" s="280">
        <v>783.8280000000001</v>
      </c>
      <c r="M1105" s="68">
        <v>653.19</v>
      </c>
      <c r="N1105" s="68">
        <v>130.638</v>
      </c>
      <c r="O1105" s="255">
        <v>783.8280000000001</v>
      </c>
      <c r="P1105" s="68">
        <f t="shared" si="207"/>
        <v>424.5735</v>
      </c>
      <c r="Q1105" s="409">
        <f t="shared" si="210"/>
        <v>84.91470000000001</v>
      </c>
      <c r="R1105" s="256">
        <f t="shared" si="208"/>
        <v>509.4882</v>
      </c>
      <c r="S1105" s="540" t="s">
        <v>1242</v>
      </c>
      <c r="T1105" s="540"/>
    </row>
    <row r="1106" spans="1:20" s="401" customFormat="1" ht="24.75" customHeight="1">
      <c r="A1106" s="99" t="s">
        <v>977</v>
      </c>
      <c r="B1106" s="100" t="s">
        <v>729</v>
      </c>
      <c r="C1106" s="232" t="s">
        <v>83</v>
      </c>
      <c r="D1106" s="402" t="s">
        <v>1154</v>
      </c>
      <c r="E1106" s="403"/>
      <c r="F1106" s="403"/>
      <c r="G1106" s="404"/>
      <c r="H1106" s="404"/>
      <c r="I1106" s="405"/>
      <c r="J1106" s="406">
        <v>891</v>
      </c>
      <c r="K1106" s="407">
        <v>0</v>
      </c>
      <c r="L1106" s="280">
        <v>891</v>
      </c>
      <c r="M1106" s="68">
        <v>891</v>
      </c>
      <c r="N1106" s="68"/>
      <c r="O1106" s="255">
        <f>+N1106+M1106</f>
        <v>891</v>
      </c>
      <c r="P1106" s="68">
        <f t="shared" si="207"/>
        <v>579.15</v>
      </c>
      <c r="Q1106" s="409">
        <f t="shared" si="210"/>
        <v>0</v>
      </c>
      <c r="R1106" s="256">
        <f t="shared" si="208"/>
        <v>579.15</v>
      </c>
      <c r="S1106" s="540" t="s">
        <v>1242</v>
      </c>
      <c r="T1106" s="540"/>
    </row>
    <row r="1107" spans="1:20" s="401" customFormat="1" ht="24.75" customHeight="1">
      <c r="A1107" s="99" t="s">
        <v>977</v>
      </c>
      <c r="B1107" s="100"/>
      <c r="C1107" s="9" t="s">
        <v>184</v>
      </c>
      <c r="D1107" s="402" t="s">
        <v>947</v>
      </c>
      <c r="E1107" s="403" t="s">
        <v>677</v>
      </c>
      <c r="F1107" s="403">
        <v>48</v>
      </c>
      <c r="G1107" s="404">
        <v>39479</v>
      </c>
      <c r="H1107" s="404">
        <v>39486</v>
      </c>
      <c r="I1107" s="405" t="s">
        <v>61</v>
      </c>
      <c r="J1107" s="406">
        <v>757.87</v>
      </c>
      <c r="K1107" s="407">
        <v>151.574</v>
      </c>
      <c r="L1107" s="280">
        <v>909.444</v>
      </c>
      <c r="M1107" s="68">
        <v>378.935</v>
      </c>
      <c r="N1107" s="68">
        <v>75.787</v>
      </c>
      <c r="O1107" s="255">
        <v>454.722</v>
      </c>
      <c r="P1107" s="68">
        <f t="shared" si="207"/>
        <v>246.30775</v>
      </c>
      <c r="Q1107" s="409">
        <f t="shared" si="210"/>
        <v>49.26155000000001</v>
      </c>
      <c r="R1107" s="256">
        <f t="shared" si="208"/>
        <v>295.5693</v>
      </c>
      <c r="S1107" s="540" t="s">
        <v>1242</v>
      </c>
      <c r="T1107" s="540"/>
    </row>
    <row r="1108" spans="1:20" s="401" customFormat="1" ht="24.75" customHeight="1">
      <c r="A1108" s="99" t="s">
        <v>977</v>
      </c>
      <c r="B1108" s="100"/>
      <c r="C1108" s="9" t="s">
        <v>184</v>
      </c>
      <c r="D1108" s="402" t="s">
        <v>948</v>
      </c>
      <c r="E1108" s="403" t="s">
        <v>677</v>
      </c>
      <c r="F1108" s="403">
        <v>74</v>
      </c>
      <c r="G1108" s="404">
        <v>39508</v>
      </c>
      <c r="H1108" s="404">
        <v>39527</v>
      </c>
      <c r="I1108" s="405" t="s">
        <v>61</v>
      </c>
      <c r="J1108" s="406">
        <v>757.87</v>
      </c>
      <c r="K1108" s="407">
        <v>151.574</v>
      </c>
      <c r="L1108" s="280">
        <v>909.444</v>
      </c>
      <c r="M1108" s="68">
        <v>378.935</v>
      </c>
      <c r="N1108" s="68">
        <v>75.787</v>
      </c>
      <c r="O1108" s="255">
        <v>454.722</v>
      </c>
      <c r="P1108" s="68">
        <f aca="true" t="shared" si="211" ref="P1108:P1162">+M1108*0.65</f>
        <v>246.30775</v>
      </c>
      <c r="Q1108" s="409">
        <f t="shared" si="210"/>
        <v>49.26155000000001</v>
      </c>
      <c r="R1108" s="256">
        <f aca="true" t="shared" si="212" ref="R1108:R1162">+Q1108+P1108</f>
        <v>295.5693</v>
      </c>
      <c r="S1108" s="540" t="s">
        <v>1242</v>
      </c>
      <c r="T1108" s="540"/>
    </row>
    <row r="1109" spans="1:20" s="401" customFormat="1" ht="24.75" customHeight="1">
      <c r="A1109" s="99" t="s">
        <v>977</v>
      </c>
      <c r="B1109" s="100"/>
      <c r="C1109" s="9" t="s">
        <v>184</v>
      </c>
      <c r="D1109" s="402" t="s">
        <v>949</v>
      </c>
      <c r="E1109" s="403" t="s">
        <v>677</v>
      </c>
      <c r="F1109" s="403">
        <v>99</v>
      </c>
      <c r="G1109" s="404">
        <v>39539</v>
      </c>
      <c r="H1109" s="404">
        <v>39546</v>
      </c>
      <c r="I1109" s="405" t="s">
        <v>61</v>
      </c>
      <c r="J1109" s="406">
        <v>757.87</v>
      </c>
      <c r="K1109" s="407">
        <v>151.574</v>
      </c>
      <c r="L1109" s="280">
        <v>909.444</v>
      </c>
      <c r="M1109" s="68">
        <v>378.935</v>
      </c>
      <c r="N1109" s="68">
        <v>75.787</v>
      </c>
      <c r="O1109" s="255">
        <v>454.722</v>
      </c>
      <c r="P1109" s="68">
        <f t="shared" si="211"/>
        <v>246.30775</v>
      </c>
      <c r="Q1109" s="409">
        <f aca="true" t="shared" si="213" ref="Q1109:Q1162">+N1109*0.65</f>
        <v>49.26155000000001</v>
      </c>
      <c r="R1109" s="256">
        <f t="shared" si="212"/>
        <v>295.5693</v>
      </c>
      <c r="S1109" s="540" t="s">
        <v>1242</v>
      </c>
      <c r="T1109" s="540"/>
    </row>
    <row r="1110" spans="1:20" s="401" customFormat="1" ht="24.75" customHeight="1">
      <c r="A1110" s="99" t="s">
        <v>977</v>
      </c>
      <c r="B1110" s="100"/>
      <c r="C1110" s="9" t="s">
        <v>184</v>
      </c>
      <c r="D1110" s="402" t="s">
        <v>1166</v>
      </c>
      <c r="E1110" s="403" t="s">
        <v>677</v>
      </c>
      <c r="F1110" s="403">
        <v>129</v>
      </c>
      <c r="G1110" s="404">
        <v>39570</v>
      </c>
      <c r="H1110" s="404">
        <v>39582</v>
      </c>
      <c r="I1110" s="405" t="s">
        <v>61</v>
      </c>
      <c r="J1110" s="406">
        <v>757.87</v>
      </c>
      <c r="K1110" s="407">
        <v>151.574</v>
      </c>
      <c r="L1110" s="280">
        <v>909.444</v>
      </c>
      <c r="M1110" s="68">
        <v>378.935</v>
      </c>
      <c r="N1110" s="68">
        <v>75.787</v>
      </c>
      <c r="O1110" s="255">
        <v>454.722</v>
      </c>
      <c r="P1110" s="68">
        <f t="shared" si="211"/>
        <v>246.30775</v>
      </c>
      <c r="Q1110" s="409">
        <f t="shared" si="213"/>
        <v>49.26155000000001</v>
      </c>
      <c r="R1110" s="256">
        <f t="shared" si="212"/>
        <v>295.5693</v>
      </c>
      <c r="S1110" s="540" t="s">
        <v>1242</v>
      </c>
      <c r="T1110" s="540"/>
    </row>
    <row r="1111" spans="1:20" s="401" customFormat="1" ht="24.75" customHeight="1">
      <c r="A1111" s="99" t="s">
        <v>977</v>
      </c>
      <c r="B1111" s="100"/>
      <c r="C1111" s="9" t="s">
        <v>184</v>
      </c>
      <c r="D1111" s="402" t="s">
        <v>1167</v>
      </c>
      <c r="E1111" s="403" t="s">
        <v>677</v>
      </c>
      <c r="F1111" s="403">
        <v>162</v>
      </c>
      <c r="G1111" s="404">
        <v>39602</v>
      </c>
      <c r="H1111" s="404">
        <v>39624</v>
      </c>
      <c r="I1111" s="405" t="s">
        <v>61</v>
      </c>
      <c r="J1111" s="406">
        <v>776.58</v>
      </c>
      <c r="K1111" s="407">
        <v>155.31600000000003</v>
      </c>
      <c r="L1111" s="280">
        <v>931.8960000000001</v>
      </c>
      <c r="M1111" s="68">
        <v>543.606</v>
      </c>
      <c r="N1111" s="68">
        <v>108.72120000000001</v>
      </c>
      <c r="O1111" s="255">
        <v>652.3272</v>
      </c>
      <c r="P1111" s="68">
        <f t="shared" si="211"/>
        <v>353.3439</v>
      </c>
      <c r="Q1111" s="409">
        <f t="shared" si="213"/>
        <v>70.66878000000001</v>
      </c>
      <c r="R1111" s="256">
        <f t="shared" si="212"/>
        <v>424.01268000000005</v>
      </c>
      <c r="S1111" s="540" t="s">
        <v>1242</v>
      </c>
      <c r="T1111" s="540"/>
    </row>
    <row r="1112" spans="1:20" s="401" customFormat="1" ht="24.75" customHeight="1">
      <c r="A1112" s="99" t="s">
        <v>977</v>
      </c>
      <c r="B1112" s="100"/>
      <c r="C1112" s="9" t="s">
        <v>184</v>
      </c>
      <c r="D1112" s="402" t="s">
        <v>1168</v>
      </c>
      <c r="E1112" s="403" t="s">
        <v>677</v>
      </c>
      <c r="F1112" s="403">
        <v>192</v>
      </c>
      <c r="G1112" s="404">
        <v>39630</v>
      </c>
      <c r="H1112" s="404">
        <v>39640</v>
      </c>
      <c r="I1112" s="405" t="s">
        <v>61</v>
      </c>
      <c r="J1112" s="406">
        <v>776.58</v>
      </c>
      <c r="K1112" s="407">
        <v>155.31600000000003</v>
      </c>
      <c r="L1112" s="280">
        <v>931.8960000000001</v>
      </c>
      <c r="M1112" s="68">
        <v>388.29</v>
      </c>
      <c r="N1112" s="68">
        <v>77.65800000000002</v>
      </c>
      <c r="O1112" s="255">
        <v>465.94800000000004</v>
      </c>
      <c r="P1112" s="68">
        <f t="shared" si="211"/>
        <v>252.38850000000002</v>
      </c>
      <c r="Q1112" s="409">
        <f t="shared" si="213"/>
        <v>50.47770000000001</v>
      </c>
      <c r="R1112" s="256">
        <f t="shared" si="212"/>
        <v>302.86620000000005</v>
      </c>
      <c r="S1112" s="540" t="s">
        <v>1242</v>
      </c>
      <c r="T1112" s="540"/>
    </row>
    <row r="1113" spans="1:20" s="401" customFormat="1" ht="24.75" customHeight="1">
      <c r="A1113" s="99" t="s">
        <v>977</v>
      </c>
      <c r="B1113" s="100"/>
      <c r="C1113" s="9" t="s">
        <v>184</v>
      </c>
      <c r="D1113" s="402" t="s">
        <v>1169</v>
      </c>
      <c r="E1113" s="403" t="s">
        <v>73</v>
      </c>
      <c r="F1113" s="403" t="s">
        <v>1170</v>
      </c>
      <c r="G1113" s="404">
        <v>39504</v>
      </c>
      <c r="H1113" s="404">
        <v>39519</v>
      </c>
      <c r="I1113" s="405" t="s">
        <v>196</v>
      </c>
      <c r="J1113" s="406">
        <v>69.64</v>
      </c>
      <c r="K1113" s="407">
        <v>13.928</v>
      </c>
      <c r="L1113" s="280">
        <v>83.568</v>
      </c>
      <c r="M1113" s="68">
        <v>34.82</v>
      </c>
      <c r="N1113" s="68">
        <v>6.964</v>
      </c>
      <c r="O1113" s="255">
        <v>41.784</v>
      </c>
      <c r="P1113" s="68">
        <f t="shared" si="211"/>
        <v>22.633000000000003</v>
      </c>
      <c r="Q1113" s="409">
        <f t="shared" si="213"/>
        <v>4.5266</v>
      </c>
      <c r="R1113" s="256">
        <f t="shared" si="212"/>
        <v>27.159600000000005</v>
      </c>
      <c r="S1113" s="540" t="s">
        <v>1242</v>
      </c>
      <c r="T1113" s="540"/>
    </row>
    <row r="1114" spans="1:20" s="401" customFormat="1" ht="24.75" customHeight="1">
      <c r="A1114" s="99" t="s">
        <v>977</v>
      </c>
      <c r="B1114" s="100"/>
      <c r="C1114" s="9" t="s">
        <v>184</v>
      </c>
      <c r="D1114" s="402" t="s">
        <v>1171</v>
      </c>
      <c r="E1114" s="403" t="s">
        <v>73</v>
      </c>
      <c r="F1114" s="403" t="s">
        <v>1172</v>
      </c>
      <c r="G1114" s="404">
        <v>39537</v>
      </c>
      <c r="H1114" s="404">
        <v>39552</v>
      </c>
      <c r="I1114" s="405" t="s">
        <v>196</v>
      </c>
      <c r="J1114" s="406">
        <v>69.65</v>
      </c>
      <c r="K1114" s="407">
        <v>13.93</v>
      </c>
      <c r="L1114" s="280">
        <v>83.58</v>
      </c>
      <c r="M1114" s="68">
        <v>34.825</v>
      </c>
      <c r="N1114" s="68">
        <v>6.965</v>
      </c>
      <c r="O1114" s="255">
        <v>41.79</v>
      </c>
      <c r="P1114" s="68">
        <f t="shared" si="211"/>
        <v>22.636250000000004</v>
      </c>
      <c r="Q1114" s="409">
        <f t="shared" si="213"/>
        <v>4.52725</v>
      </c>
      <c r="R1114" s="256">
        <f t="shared" si="212"/>
        <v>27.163500000000006</v>
      </c>
      <c r="S1114" s="540" t="s">
        <v>1242</v>
      </c>
      <c r="T1114" s="540"/>
    </row>
    <row r="1115" spans="1:20" s="401" customFormat="1" ht="24.75" customHeight="1">
      <c r="A1115" s="99" t="s">
        <v>977</v>
      </c>
      <c r="B1115" s="100"/>
      <c r="C1115" s="9" t="s">
        <v>184</v>
      </c>
      <c r="D1115" s="402" t="s">
        <v>1173</v>
      </c>
      <c r="E1115" s="403" t="s">
        <v>73</v>
      </c>
      <c r="F1115" s="403" t="s">
        <v>1174</v>
      </c>
      <c r="G1115" s="404">
        <v>39561</v>
      </c>
      <c r="H1115" s="404">
        <v>39576</v>
      </c>
      <c r="I1115" s="405" t="s">
        <v>196</v>
      </c>
      <c r="J1115" s="406">
        <v>69.64</v>
      </c>
      <c r="K1115" s="407">
        <v>13.928</v>
      </c>
      <c r="L1115" s="280">
        <v>83.568</v>
      </c>
      <c r="M1115" s="68">
        <v>34.82</v>
      </c>
      <c r="N1115" s="68">
        <v>6.964</v>
      </c>
      <c r="O1115" s="255">
        <v>41.784</v>
      </c>
      <c r="P1115" s="68">
        <f t="shared" si="211"/>
        <v>22.633000000000003</v>
      </c>
      <c r="Q1115" s="409">
        <f t="shared" si="213"/>
        <v>4.5266</v>
      </c>
      <c r="R1115" s="256">
        <f t="shared" si="212"/>
        <v>27.159600000000005</v>
      </c>
      <c r="S1115" s="540" t="s">
        <v>1242</v>
      </c>
      <c r="T1115" s="540"/>
    </row>
    <row r="1116" spans="1:20" s="401" customFormat="1" ht="24.75" customHeight="1">
      <c r="A1116" s="99" t="s">
        <v>977</v>
      </c>
      <c r="B1116" s="100"/>
      <c r="C1116" s="9" t="s">
        <v>184</v>
      </c>
      <c r="D1116" s="402" t="s">
        <v>1175</v>
      </c>
      <c r="E1116" s="403" t="s">
        <v>73</v>
      </c>
      <c r="F1116" s="403" t="s">
        <v>1176</v>
      </c>
      <c r="G1116" s="404">
        <v>39581</v>
      </c>
      <c r="H1116" s="404">
        <v>39596</v>
      </c>
      <c r="I1116" s="405" t="s">
        <v>196</v>
      </c>
      <c r="J1116" s="406">
        <v>237.92</v>
      </c>
      <c r="K1116" s="407">
        <v>47.584</v>
      </c>
      <c r="L1116" s="280">
        <v>285.504</v>
      </c>
      <c r="M1116" s="68">
        <v>118.96</v>
      </c>
      <c r="N1116" s="68">
        <v>23.792</v>
      </c>
      <c r="O1116" s="255">
        <v>142.752</v>
      </c>
      <c r="P1116" s="68">
        <f t="shared" si="211"/>
        <v>77.324</v>
      </c>
      <c r="Q1116" s="409">
        <f t="shared" si="213"/>
        <v>15.464800000000002</v>
      </c>
      <c r="R1116" s="256">
        <f t="shared" si="212"/>
        <v>92.7888</v>
      </c>
      <c r="S1116" s="540" t="s">
        <v>1242</v>
      </c>
      <c r="T1116" s="540"/>
    </row>
    <row r="1117" spans="1:20" s="401" customFormat="1" ht="24.75" customHeight="1">
      <c r="A1117" s="99" t="s">
        <v>977</v>
      </c>
      <c r="B1117" s="100"/>
      <c r="C1117" s="9" t="s">
        <v>184</v>
      </c>
      <c r="D1117" s="402" t="s">
        <v>1177</v>
      </c>
      <c r="E1117" s="403" t="s">
        <v>73</v>
      </c>
      <c r="F1117" s="403" t="s">
        <v>1178</v>
      </c>
      <c r="G1117" s="404">
        <v>39612</v>
      </c>
      <c r="H1117" s="404">
        <v>39629</v>
      </c>
      <c r="I1117" s="405" t="s">
        <v>196</v>
      </c>
      <c r="J1117" s="406">
        <v>75.59</v>
      </c>
      <c r="K1117" s="407">
        <v>15.118000000000002</v>
      </c>
      <c r="L1117" s="280">
        <v>90.708</v>
      </c>
      <c r="M1117" s="68">
        <v>37.795</v>
      </c>
      <c r="N1117" s="68">
        <v>7.559000000000001</v>
      </c>
      <c r="O1117" s="255">
        <v>45.354</v>
      </c>
      <c r="P1117" s="68">
        <f t="shared" si="211"/>
        <v>24.566750000000003</v>
      </c>
      <c r="Q1117" s="409">
        <f t="shared" si="213"/>
        <v>4.913350000000001</v>
      </c>
      <c r="R1117" s="256">
        <f t="shared" si="212"/>
        <v>29.480100000000004</v>
      </c>
      <c r="S1117" s="540" t="s">
        <v>1242</v>
      </c>
      <c r="T1117" s="540"/>
    </row>
    <row r="1118" spans="1:20" s="401" customFormat="1" ht="24.75" customHeight="1">
      <c r="A1118" s="99" t="s">
        <v>977</v>
      </c>
      <c r="B1118" s="100"/>
      <c r="C1118" s="9" t="s">
        <v>184</v>
      </c>
      <c r="D1118" s="402" t="s">
        <v>1179</v>
      </c>
      <c r="E1118" s="403" t="s">
        <v>73</v>
      </c>
      <c r="F1118" s="403" t="s">
        <v>1180</v>
      </c>
      <c r="G1118" s="404">
        <v>39643</v>
      </c>
      <c r="H1118" s="404">
        <v>39658</v>
      </c>
      <c r="I1118" s="405" t="s">
        <v>196</v>
      </c>
      <c r="J1118" s="406">
        <v>75.53</v>
      </c>
      <c r="K1118" s="407">
        <v>15.106000000000002</v>
      </c>
      <c r="L1118" s="280">
        <v>90.636</v>
      </c>
      <c r="M1118" s="68">
        <v>52.870999999999995</v>
      </c>
      <c r="N1118" s="68">
        <v>10.5742</v>
      </c>
      <c r="O1118" s="255">
        <v>63.44519999999999</v>
      </c>
      <c r="P1118" s="68">
        <f t="shared" si="211"/>
        <v>34.36615</v>
      </c>
      <c r="Q1118" s="409">
        <f t="shared" si="213"/>
        <v>6.8732299999999995</v>
      </c>
      <c r="R1118" s="256">
        <f t="shared" si="212"/>
        <v>41.23938</v>
      </c>
      <c r="S1118" s="540" t="s">
        <v>1242</v>
      </c>
      <c r="T1118" s="540"/>
    </row>
    <row r="1119" spans="1:20" s="401" customFormat="1" ht="24.75" customHeight="1">
      <c r="A1119" s="99" t="s">
        <v>977</v>
      </c>
      <c r="B1119" s="100"/>
      <c r="C1119" s="9" t="s">
        <v>184</v>
      </c>
      <c r="D1119" s="402" t="s">
        <v>131</v>
      </c>
      <c r="E1119" s="403" t="s">
        <v>966</v>
      </c>
      <c r="F1119" s="403">
        <v>4382565</v>
      </c>
      <c r="G1119" s="404">
        <v>39355</v>
      </c>
      <c r="H1119" s="404">
        <v>39506</v>
      </c>
      <c r="I1119" s="405" t="s">
        <v>800</v>
      </c>
      <c r="J1119" s="406">
        <v>245.35</v>
      </c>
      <c r="K1119" s="407">
        <v>49.07</v>
      </c>
      <c r="L1119" s="280">
        <v>294.42</v>
      </c>
      <c r="M1119" s="68">
        <v>122.675</v>
      </c>
      <c r="N1119" s="68">
        <v>24.535</v>
      </c>
      <c r="O1119" s="255">
        <v>147.21</v>
      </c>
      <c r="P1119" s="68">
        <f t="shared" si="211"/>
        <v>79.73875</v>
      </c>
      <c r="Q1119" s="409">
        <f t="shared" si="213"/>
        <v>15.947750000000001</v>
      </c>
      <c r="R1119" s="256">
        <f t="shared" si="212"/>
        <v>95.6865</v>
      </c>
      <c r="S1119" s="540" t="s">
        <v>1242</v>
      </c>
      <c r="T1119" s="540"/>
    </row>
    <row r="1120" spans="1:20" s="401" customFormat="1" ht="24.75" customHeight="1">
      <c r="A1120" s="99" t="s">
        <v>977</v>
      </c>
      <c r="B1120" s="100"/>
      <c r="C1120" s="9" t="s">
        <v>184</v>
      </c>
      <c r="D1120" s="402" t="s">
        <v>131</v>
      </c>
      <c r="E1120" s="403" t="s">
        <v>966</v>
      </c>
      <c r="F1120" s="403">
        <v>5467099</v>
      </c>
      <c r="G1120" s="404">
        <v>39416</v>
      </c>
      <c r="H1120" s="404">
        <v>39477</v>
      </c>
      <c r="I1120" s="405" t="s">
        <v>800</v>
      </c>
      <c r="J1120" s="406">
        <v>275.52</v>
      </c>
      <c r="K1120" s="407">
        <v>55.104</v>
      </c>
      <c r="L1120" s="280">
        <v>330.62399999999997</v>
      </c>
      <c r="M1120" s="68">
        <v>137.76</v>
      </c>
      <c r="N1120" s="68">
        <v>27.552</v>
      </c>
      <c r="O1120" s="255">
        <v>165.31199999999998</v>
      </c>
      <c r="P1120" s="68">
        <f t="shared" si="211"/>
        <v>89.544</v>
      </c>
      <c r="Q1120" s="409">
        <f t="shared" si="213"/>
        <v>17.9088</v>
      </c>
      <c r="R1120" s="256">
        <f t="shared" si="212"/>
        <v>107.4528</v>
      </c>
      <c r="S1120" s="540" t="s">
        <v>1242</v>
      </c>
      <c r="T1120" s="540"/>
    </row>
    <row r="1121" spans="1:20" s="401" customFormat="1" ht="24.75" customHeight="1">
      <c r="A1121" s="99" t="s">
        <v>977</v>
      </c>
      <c r="B1121" s="100"/>
      <c r="C1121" s="9" t="s">
        <v>184</v>
      </c>
      <c r="D1121" s="402" t="s">
        <v>131</v>
      </c>
      <c r="E1121" s="403" t="s">
        <v>966</v>
      </c>
      <c r="F1121" s="403">
        <v>423383</v>
      </c>
      <c r="G1121" s="404">
        <v>39478</v>
      </c>
      <c r="H1121" s="404">
        <v>39508</v>
      </c>
      <c r="I1121" s="405" t="s">
        <v>800</v>
      </c>
      <c r="J1121" s="406">
        <v>291.72</v>
      </c>
      <c r="K1121" s="407">
        <v>58.34400000000001</v>
      </c>
      <c r="L1121" s="280">
        <v>350.064</v>
      </c>
      <c r="M1121" s="68">
        <v>145.86</v>
      </c>
      <c r="N1121" s="68">
        <v>29.172000000000004</v>
      </c>
      <c r="O1121" s="255">
        <v>175.032</v>
      </c>
      <c r="P1121" s="68">
        <f t="shared" si="211"/>
        <v>94.80900000000001</v>
      </c>
      <c r="Q1121" s="409">
        <f t="shared" si="213"/>
        <v>18.961800000000004</v>
      </c>
      <c r="R1121" s="256">
        <f t="shared" si="212"/>
        <v>113.77080000000001</v>
      </c>
      <c r="S1121" s="540" t="s">
        <v>1242</v>
      </c>
      <c r="T1121" s="540"/>
    </row>
    <row r="1122" spans="1:20" s="401" customFormat="1" ht="24.75" customHeight="1">
      <c r="A1122" s="99" t="s">
        <v>977</v>
      </c>
      <c r="B1122" s="100"/>
      <c r="C1122" s="9" t="s">
        <v>184</v>
      </c>
      <c r="D1122" s="402" t="s">
        <v>131</v>
      </c>
      <c r="E1122" s="403" t="s">
        <v>966</v>
      </c>
      <c r="F1122" s="403">
        <v>1603547</v>
      </c>
      <c r="G1122" s="404">
        <v>39538</v>
      </c>
      <c r="H1122" s="404">
        <v>39568</v>
      </c>
      <c r="I1122" s="405" t="s">
        <v>800</v>
      </c>
      <c r="J1122" s="406">
        <v>298.86</v>
      </c>
      <c r="K1122" s="407">
        <v>80.07</v>
      </c>
      <c r="L1122" s="280">
        <v>378.93</v>
      </c>
      <c r="M1122" s="68">
        <v>149.43</v>
      </c>
      <c r="N1122" s="68">
        <v>29.886000000000003</v>
      </c>
      <c r="O1122" s="255">
        <v>179.316</v>
      </c>
      <c r="P1122" s="68">
        <f t="shared" si="211"/>
        <v>97.12950000000001</v>
      </c>
      <c r="Q1122" s="409">
        <f t="shared" si="213"/>
        <v>19.425900000000002</v>
      </c>
      <c r="R1122" s="256">
        <f t="shared" si="212"/>
        <v>116.5554</v>
      </c>
      <c r="S1122" s="540" t="s">
        <v>1242</v>
      </c>
      <c r="T1122" s="540"/>
    </row>
    <row r="1123" spans="1:20" s="401" customFormat="1" ht="24.75" customHeight="1">
      <c r="A1123" s="99" t="s">
        <v>977</v>
      </c>
      <c r="B1123" s="100"/>
      <c r="C1123" s="9" t="s">
        <v>184</v>
      </c>
      <c r="D1123" s="402" t="s">
        <v>131</v>
      </c>
      <c r="E1123" s="403" t="s">
        <v>99</v>
      </c>
      <c r="F1123" s="403" t="s">
        <v>1181</v>
      </c>
      <c r="G1123" s="404">
        <v>39395</v>
      </c>
      <c r="H1123" s="404">
        <v>39469</v>
      </c>
      <c r="I1123" s="405" t="s">
        <v>800</v>
      </c>
      <c r="J1123" s="406">
        <v>53.73</v>
      </c>
      <c r="K1123" s="407">
        <v>10.026</v>
      </c>
      <c r="L1123" s="280">
        <v>63.756</v>
      </c>
      <c r="M1123" s="68">
        <v>26.865</v>
      </c>
      <c r="N1123" s="68">
        <v>5.373</v>
      </c>
      <c r="O1123" s="255">
        <v>32.238</v>
      </c>
      <c r="P1123" s="68">
        <f t="shared" si="211"/>
        <v>17.46225</v>
      </c>
      <c r="Q1123" s="409">
        <f t="shared" si="213"/>
        <v>3.4924500000000003</v>
      </c>
      <c r="R1123" s="256">
        <f t="shared" si="212"/>
        <v>20.954700000000003</v>
      </c>
      <c r="S1123" s="540" t="s">
        <v>1242</v>
      </c>
      <c r="T1123" s="540"/>
    </row>
    <row r="1124" spans="1:20" s="401" customFormat="1" ht="24.75" customHeight="1">
      <c r="A1124" s="99" t="s">
        <v>977</v>
      </c>
      <c r="B1124" s="100"/>
      <c r="C1124" s="9" t="s">
        <v>184</v>
      </c>
      <c r="D1124" s="402" t="s">
        <v>131</v>
      </c>
      <c r="E1124" s="403" t="s">
        <v>99</v>
      </c>
      <c r="F1124" s="403" t="s">
        <v>1182</v>
      </c>
      <c r="G1124" s="404">
        <v>39456</v>
      </c>
      <c r="H1124" s="404">
        <v>39491</v>
      </c>
      <c r="I1124" s="405" t="s">
        <v>800</v>
      </c>
      <c r="J1124" s="406">
        <v>53.54</v>
      </c>
      <c r="K1124" s="407">
        <v>9.598</v>
      </c>
      <c r="L1124" s="280">
        <v>63.138</v>
      </c>
      <c r="M1124" s="68">
        <v>26.77</v>
      </c>
      <c r="N1124" s="68">
        <v>5.354</v>
      </c>
      <c r="O1124" s="255">
        <v>32.124</v>
      </c>
      <c r="P1124" s="68">
        <f t="shared" si="211"/>
        <v>17.4005</v>
      </c>
      <c r="Q1124" s="409">
        <f t="shared" si="213"/>
        <v>3.4801</v>
      </c>
      <c r="R1124" s="256">
        <f t="shared" si="212"/>
        <v>20.8806</v>
      </c>
      <c r="S1124" s="540" t="s">
        <v>1242</v>
      </c>
      <c r="T1124" s="540"/>
    </row>
    <row r="1125" spans="1:20" s="401" customFormat="1" ht="24.75" customHeight="1">
      <c r="A1125" s="99" t="s">
        <v>977</v>
      </c>
      <c r="B1125" s="100"/>
      <c r="C1125" s="9" t="s">
        <v>184</v>
      </c>
      <c r="D1125" s="402" t="s">
        <v>131</v>
      </c>
      <c r="E1125" s="403" t="s">
        <v>99</v>
      </c>
      <c r="F1125" s="403" t="s">
        <v>1183</v>
      </c>
      <c r="G1125" s="404">
        <v>39517</v>
      </c>
      <c r="H1125" s="404">
        <v>39552</v>
      </c>
      <c r="I1125" s="405" t="s">
        <v>800</v>
      </c>
      <c r="J1125" s="406">
        <v>52.47</v>
      </c>
      <c r="K1125" s="407">
        <v>10.494</v>
      </c>
      <c r="L1125" s="280">
        <v>62.964</v>
      </c>
      <c r="M1125" s="68">
        <v>26.235</v>
      </c>
      <c r="N1125" s="68">
        <v>5.247</v>
      </c>
      <c r="O1125" s="255">
        <v>31.482</v>
      </c>
      <c r="P1125" s="68">
        <f t="shared" si="211"/>
        <v>17.05275</v>
      </c>
      <c r="Q1125" s="409">
        <f t="shared" si="213"/>
        <v>3.41055</v>
      </c>
      <c r="R1125" s="256">
        <f t="shared" si="212"/>
        <v>20.4633</v>
      </c>
      <c r="S1125" s="540" t="s">
        <v>1242</v>
      </c>
      <c r="T1125" s="540"/>
    </row>
    <row r="1126" spans="1:20" s="401" customFormat="1" ht="24.75" customHeight="1">
      <c r="A1126" s="99" t="s">
        <v>977</v>
      </c>
      <c r="B1126" s="100"/>
      <c r="C1126" s="9" t="s">
        <v>184</v>
      </c>
      <c r="D1126" s="402" t="s">
        <v>131</v>
      </c>
      <c r="E1126" s="403" t="s">
        <v>99</v>
      </c>
      <c r="F1126" s="403" t="s">
        <v>1184</v>
      </c>
      <c r="G1126" s="404">
        <v>39577</v>
      </c>
      <c r="H1126" s="404">
        <v>39612</v>
      </c>
      <c r="I1126" s="405" t="s">
        <v>800</v>
      </c>
      <c r="J1126" s="406">
        <v>60.31</v>
      </c>
      <c r="K1126" s="407">
        <v>12.062000000000001</v>
      </c>
      <c r="L1126" s="280">
        <v>72.372</v>
      </c>
      <c r="M1126" s="68">
        <v>30.155</v>
      </c>
      <c r="N1126" s="68">
        <v>6.031000000000001</v>
      </c>
      <c r="O1126" s="255">
        <v>36.186</v>
      </c>
      <c r="P1126" s="68">
        <f t="shared" si="211"/>
        <v>19.60075</v>
      </c>
      <c r="Q1126" s="409">
        <f t="shared" si="213"/>
        <v>3.9201500000000005</v>
      </c>
      <c r="R1126" s="256">
        <f t="shared" si="212"/>
        <v>23.5209</v>
      </c>
      <c r="S1126" s="540" t="s">
        <v>1242</v>
      </c>
      <c r="T1126" s="540"/>
    </row>
    <row r="1127" spans="1:20" s="401" customFormat="1" ht="24.75" customHeight="1">
      <c r="A1127" s="99" t="s">
        <v>977</v>
      </c>
      <c r="B1127" s="100"/>
      <c r="C1127" s="9" t="s">
        <v>184</v>
      </c>
      <c r="D1127" s="402" t="s">
        <v>131</v>
      </c>
      <c r="E1127" s="403" t="s">
        <v>99</v>
      </c>
      <c r="F1127" s="403" t="s">
        <v>1185</v>
      </c>
      <c r="G1127" s="404">
        <v>39605</v>
      </c>
      <c r="H1127" s="404">
        <v>39643</v>
      </c>
      <c r="I1127" s="405" t="s">
        <v>800</v>
      </c>
      <c r="J1127" s="406">
        <v>207.48</v>
      </c>
      <c r="K1127" s="407">
        <v>41.496</v>
      </c>
      <c r="L1127" s="280">
        <v>248.976</v>
      </c>
      <c r="M1127" s="68">
        <v>103.74</v>
      </c>
      <c r="N1127" s="68">
        <v>20.748</v>
      </c>
      <c r="O1127" s="255">
        <v>124.488</v>
      </c>
      <c r="P1127" s="68">
        <f t="shared" si="211"/>
        <v>67.431</v>
      </c>
      <c r="Q1127" s="409">
        <f t="shared" si="213"/>
        <v>13.486200000000002</v>
      </c>
      <c r="R1127" s="256">
        <f t="shared" si="212"/>
        <v>80.9172</v>
      </c>
      <c r="S1127" s="540" t="s">
        <v>1242</v>
      </c>
      <c r="T1127" s="540"/>
    </row>
    <row r="1128" spans="1:20" s="401" customFormat="1" ht="24.75" customHeight="1">
      <c r="A1128" s="99" t="s">
        <v>977</v>
      </c>
      <c r="B1128" s="100"/>
      <c r="C1128" s="9" t="s">
        <v>184</v>
      </c>
      <c r="D1128" s="402" t="s">
        <v>690</v>
      </c>
      <c r="E1128" s="403"/>
      <c r="F1128" s="403">
        <v>854</v>
      </c>
      <c r="G1128" s="404">
        <v>39489</v>
      </c>
      <c r="H1128" s="404">
        <v>39507</v>
      </c>
      <c r="I1128" s="405" t="s">
        <v>691</v>
      </c>
      <c r="J1128" s="406">
        <v>100.25</v>
      </c>
      <c r="K1128" s="407">
        <v>0</v>
      </c>
      <c r="L1128" s="280">
        <v>100.25</v>
      </c>
      <c r="M1128" s="68">
        <v>50.125</v>
      </c>
      <c r="N1128" s="68"/>
      <c r="O1128" s="255">
        <v>50.125</v>
      </c>
      <c r="P1128" s="68">
        <f t="shared" si="211"/>
        <v>32.581250000000004</v>
      </c>
      <c r="Q1128" s="409">
        <f t="shared" si="213"/>
        <v>0</v>
      </c>
      <c r="R1128" s="256">
        <f t="shared" si="212"/>
        <v>32.581250000000004</v>
      </c>
      <c r="S1128" s="540" t="s">
        <v>1242</v>
      </c>
      <c r="T1128" s="540"/>
    </row>
    <row r="1129" spans="1:20" s="401" customFormat="1" ht="24.75" customHeight="1">
      <c r="A1129" s="99" t="s">
        <v>977</v>
      </c>
      <c r="B1129" s="100"/>
      <c r="C1129" s="9" t="s">
        <v>184</v>
      </c>
      <c r="D1129" s="402" t="s">
        <v>690</v>
      </c>
      <c r="E1129" s="403"/>
      <c r="F1129" s="403">
        <v>872</v>
      </c>
      <c r="G1129" s="404">
        <v>39511</v>
      </c>
      <c r="H1129" s="404">
        <v>39520</v>
      </c>
      <c r="I1129" s="405" t="s">
        <v>691</v>
      </c>
      <c r="J1129" s="406">
        <v>164</v>
      </c>
      <c r="K1129" s="407">
        <v>0</v>
      </c>
      <c r="L1129" s="280">
        <v>164</v>
      </c>
      <c r="M1129" s="68">
        <v>82</v>
      </c>
      <c r="N1129" s="68"/>
      <c r="O1129" s="255">
        <v>82</v>
      </c>
      <c r="P1129" s="68">
        <f t="shared" si="211"/>
        <v>53.300000000000004</v>
      </c>
      <c r="Q1129" s="409">
        <f t="shared" si="213"/>
        <v>0</v>
      </c>
      <c r="R1129" s="256">
        <f t="shared" si="212"/>
        <v>53.300000000000004</v>
      </c>
      <c r="S1129" s="540" t="s">
        <v>1242</v>
      </c>
      <c r="T1129" s="540"/>
    </row>
    <row r="1130" spans="1:20" s="401" customFormat="1" ht="24.75" customHeight="1">
      <c r="A1130" s="99" t="s">
        <v>977</v>
      </c>
      <c r="B1130" s="100"/>
      <c r="C1130" s="9" t="s">
        <v>184</v>
      </c>
      <c r="D1130" s="402" t="s">
        <v>690</v>
      </c>
      <c r="E1130" s="403"/>
      <c r="F1130" s="403">
        <v>935</v>
      </c>
      <c r="G1130" s="404">
        <v>39570</v>
      </c>
      <c r="H1130" s="404">
        <v>39575</v>
      </c>
      <c r="I1130" s="405" t="s">
        <v>691</v>
      </c>
      <c r="J1130" s="406">
        <v>164</v>
      </c>
      <c r="K1130" s="407">
        <v>0</v>
      </c>
      <c r="L1130" s="280">
        <v>164</v>
      </c>
      <c r="M1130" s="68">
        <v>82</v>
      </c>
      <c r="N1130" s="68"/>
      <c r="O1130" s="255">
        <v>82</v>
      </c>
      <c r="P1130" s="68">
        <f t="shared" si="211"/>
        <v>53.300000000000004</v>
      </c>
      <c r="Q1130" s="409">
        <f t="shared" si="213"/>
        <v>0</v>
      </c>
      <c r="R1130" s="256">
        <f t="shared" si="212"/>
        <v>53.300000000000004</v>
      </c>
      <c r="S1130" s="540" t="s">
        <v>1242</v>
      </c>
      <c r="T1130" s="540"/>
    </row>
    <row r="1131" spans="1:20" s="401" customFormat="1" ht="24.75" customHeight="1">
      <c r="A1131" s="99" t="s">
        <v>977</v>
      </c>
      <c r="B1131" s="100"/>
      <c r="C1131" s="9" t="s">
        <v>184</v>
      </c>
      <c r="D1131" s="402" t="s">
        <v>690</v>
      </c>
      <c r="E1131" s="403"/>
      <c r="F1131" s="403">
        <v>992</v>
      </c>
      <c r="G1131" s="404">
        <v>39630</v>
      </c>
      <c r="H1131" s="404"/>
      <c r="I1131" s="405" t="s">
        <v>691</v>
      </c>
      <c r="J1131" s="406">
        <v>82</v>
      </c>
      <c r="K1131" s="407">
        <v>0</v>
      </c>
      <c r="L1131" s="280">
        <v>82</v>
      </c>
      <c r="M1131" s="68">
        <v>41</v>
      </c>
      <c r="N1131" s="68"/>
      <c r="O1131" s="255">
        <v>41</v>
      </c>
      <c r="P1131" s="68">
        <f t="shared" si="211"/>
        <v>26.650000000000002</v>
      </c>
      <c r="Q1131" s="409">
        <f t="shared" si="213"/>
        <v>0</v>
      </c>
      <c r="R1131" s="256">
        <f t="shared" si="212"/>
        <v>26.650000000000002</v>
      </c>
      <c r="S1131" s="540" t="s">
        <v>1242</v>
      </c>
      <c r="T1131" s="540"/>
    </row>
    <row r="1132" spans="1:20" s="401" customFormat="1" ht="24.75" customHeight="1">
      <c r="A1132" s="99" t="s">
        <v>977</v>
      </c>
      <c r="B1132" s="100" t="s">
        <v>729</v>
      </c>
      <c r="C1132" s="9" t="s">
        <v>184</v>
      </c>
      <c r="D1132" s="402" t="s">
        <v>1186</v>
      </c>
      <c r="E1132" s="403"/>
      <c r="F1132" s="403"/>
      <c r="G1132" s="404"/>
      <c r="H1132" s="404"/>
      <c r="I1132" s="405"/>
      <c r="J1132" s="406">
        <v>424</v>
      </c>
      <c r="K1132" s="407">
        <v>0</v>
      </c>
      <c r="L1132" s="280">
        <v>424</v>
      </c>
      <c r="M1132" s="68">
        <v>424</v>
      </c>
      <c r="N1132" s="68"/>
      <c r="O1132" s="255">
        <f>+N1132+M1132</f>
        <v>424</v>
      </c>
      <c r="P1132" s="68">
        <f t="shared" si="211"/>
        <v>275.6</v>
      </c>
      <c r="Q1132" s="409">
        <f t="shared" si="213"/>
        <v>0</v>
      </c>
      <c r="R1132" s="256">
        <f t="shared" si="212"/>
        <v>275.6</v>
      </c>
      <c r="S1132" s="540" t="s">
        <v>1242</v>
      </c>
      <c r="T1132" s="540"/>
    </row>
    <row r="1133" spans="1:20" s="401" customFormat="1" ht="24.75" customHeight="1">
      <c r="A1133" s="99" t="s">
        <v>977</v>
      </c>
      <c r="B1133" s="100"/>
      <c r="C1133" s="9" t="s">
        <v>152</v>
      </c>
      <c r="D1133" s="402" t="s">
        <v>754</v>
      </c>
      <c r="E1133" s="403" t="s">
        <v>1052</v>
      </c>
      <c r="F1133" s="403" t="s">
        <v>1189</v>
      </c>
      <c r="G1133" s="404">
        <v>39373</v>
      </c>
      <c r="H1133" s="404">
        <v>39549</v>
      </c>
      <c r="I1133" s="405" t="s">
        <v>157</v>
      </c>
      <c r="J1133" s="406">
        <v>1245.65</v>
      </c>
      <c r="K1133" s="407">
        <v>249.13</v>
      </c>
      <c r="L1133" s="280">
        <v>1494.78</v>
      </c>
      <c r="M1133" s="68">
        <v>373.695</v>
      </c>
      <c r="N1133" s="68">
        <v>74.739</v>
      </c>
      <c r="O1133" s="255">
        <v>448.43399999999997</v>
      </c>
      <c r="P1133" s="68">
        <f t="shared" si="211"/>
        <v>242.90175</v>
      </c>
      <c r="Q1133" s="409">
        <f t="shared" si="213"/>
        <v>48.58035</v>
      </c>
      <c r="R1133" s="256">
        <f t="shared" si="212"/>
        <v>291.4821</v>
      </c>
      <c r="S1133" s="540" t="s">
        <v>1242</v>
      </c>
      <c r="T1133" s="540"/>
    </row>
    <row r="1134" spans="1:20" s="401" customFormat="1" ht="24.75" customHeight="1">
      <c r="A1134" s="99" t="s">
        <v>977</v>
      </c>
      <c r="B1134" s="100"/>
      <c r="C1134" s="9" t="s">
        <v>152</v>
      </c>
      <c r="D1134" s="402" t="s">
        <v>444</v>
      </c>
      <c r="E1134" s="403" t="s">
        <v>1052</v>
      </c>
      <c r="F1134" s="403" t="s">
        <v>1190</v>
      </c>
      <c r="G1134" s="404">
        <v>39449</v>
      </c>
      <c r="H1134" s="404">
        <v>39567</v>
      </c>
      <c r="I1134" s="405" t="s">
        <v>157</v>
      </c>
      <c r="J1134" s="406">
        <v>1245.65</v>
      </c>
      <c r="K1134" s="407">
        <v>249.13</v>
      </c>
      <c r="L1134" s="280">
        <v>1494.78</v>
      </c>
      <c r="M1134" s="68">
        <v>373.695</v>
      </c>
      <c r="N1134" s="68">
        <v>74.739</v>
      </c>
      <c r="O1134" s="255">
        <v>448.43399999999997</v>
      </c>
      <c r="P1134" s="68">
        <f t="shared" si="211"/>
        <v>242.90175</v>
      </c>
      <c r="Q1134" s="409">
        <f t="shared" si="213"/>
        <v>48.58035</v>
      </c>
      <c r="R1134" s="256">
        <f t="shared" si="212"/>
        <v>291.4821</v>
      </c>
      <c r="S1134" s="540" t="s">
        <v>1242</v>
      </c>
      <c r="T1134" s="540"/>
    </row>
    <row r="1135" spans="1:20" s="401" customFormat="1" ht="24.75" customHeight="1">
      <c r="A1135" s="99" t="s">
        <v>977</v>
      </c>
      <c r="B1135" s="100"/>
      <c r="C1135" s="9" t="s">
        <v>152</v>
      </c>
      <c r="D1135" s="402" t="s">
        <v>449</v>
      </c>
      <c r="E1135" s="403" t="s">
        <v>1052</v>
      </c>
      <c r="F1135" s="403" t="s">
        <v>1191</v>
      </c>
      <c r="G1135" s="404">
        <v>39449</v>
      </c>
      <c r="H1135" s="404">
        <v>39567</v>
      </c>
      <c r="I1135" s="405" t="s">
        <v>157</v>
      </c>
      <c r="J1135" s="406">
        <v>1245.65</v>
      </c>
      <c r="K1135" s="407">
        <v>249.13</v>
      </c>
      <c r="L1135" s="280">
        <v>1494.78</v>
      </c>
      <c r="M1135" s="68">
        <v>373.695</v>
      </c>
      <c r="N1135" s="68">
        <v>74.739</v>
      </c>
      <c r="O1135" s="255">
        <v>448.43399999999997</v>
      </c>
      <c r="P1135" s="68">
        <f t="shared" si="211"/>
        <v>242.90175</v>
      </c>
      <c r="Q1135" s="409">
        <f t="shared" si="213"/>
        <v>48.58035</v>
      </c>
      <c r="R1135" s="256">
        <f t="shared" si="212"/>
        <v>291.4821</v>
      </c>
      <c r="S1135" s="540" t="s">
        <v>1242</v>
      </c>
      <c r="T1135" s="540"/>
    </row>
    <row r="1136" spans="1:20" s="401" customFormat="1" ht="24.75" customHeight="1">
      <c r="A1136" s="99" t="s">
        <v>977</v>
      </c>
      <c r="B1136" s="100"/>
      <c r="C1136" s="9" t="s">
        <v>152</v>
      </c>
      <c r="D1136" s="402" t="s">
        <v>452</v>
      </c>
      <c r="E1136" s="403" t="s">
        <v>1052</v>
      </c>
      <c r="F1136" s="403" t="s">
        <v>1192</v>
      </c>
      <c r="G1136" s="404">
        <v>39500</v>
      </c>
      <c r="H1136" s="404">
        <v>39594</v>
      </c>
      <c r="I1136" s="405" t="s">
        <v>157</v>
      </c>
      <c r="J1136" s="406">
        <v>1245.65</v>
      </c>
      <c r="K1136" s="407">
        <v>249.13</v>
      </c>
      <c r="L1136" s="280">
        <v>1494.78</v>
      </c>
      <c r="M1136" s="68">
        <v>373.695</v>
      </c>
      <c r="N1136" s="68">
        <v>74.739</v>
      </c>
      <c r="O1136" s="255">
        <v>448.43399999999997</v>
      </c>
      <c r="P1136" s="68">
        <f t="shared" si="211"/>
        <v>242.90175</v>
      </c>
      <c r="Q1136" s="409">
        <f t="shared" si="213"/>
        <v>48.58035</v>
      </c>
      <c r="R1136" s="256">
        <f t="shared" si="212"/>
        <v>291.4821</v>
      </c>
      <c r="S1136" s="540" t="s">
        <v>1242</v>
      </c>
      <c r="T1136" s="540"/>
    </row>
    <row r="1137" spans="1:20" s="401" customFormat="1" ht="24.75" customHeight="1">
      <c r="A1137" s="99" t="s">
        <v>977</v>
      </c>
      <c r="B1137" s="100"/>
      <c r="C1137" s="9" t="s">
        <v>152</v>
      </c>
      <c r="D1137" s="402" t="s">
        <v>154</v>
      </c>
      <c r="E1137" s="403" t="s">
        <v>1052</v>
      </c>
      <c r="F1137" s="403" t="s">
        <v>1193</v>
      </c>
      <c r="G1137" s="404">
        <v>39500</v>
      </c>
      <c r="H1137" s="404">
        <v>39594</v>
      </c>
      <c r="I1137" s="405" t="s">
        <v>157</v>
      </c>
      <c r="J1137" s="406">
        <v>1245.65</v>
      </c>
      <c r="K1137" s="407">
        <v>249.13</v>
      </c>
      <c r="L1137" s="280">
        <v>1494.78</v>
      </c>
      <c r="M1137" s="68">
        <v>373.695</v>
      </c>
      <c r="N1137" s="68">
        <v>74.739</v>
      </c>
      <c r="O1137" s="255">
        <v>448.43399999999997</v>
      </c>
      <c r="P1137" s="68">
        <f t="shared" si="211"/>
        <v>242.90175</v>
      </c>
      <c r="Q1137" s="409">
        <f t="shared" si="213"/>
        <v>48.58035</v>
      </c>
      <c r="R1137" s="256">
        <f t="shared" si="212"/>
        <v>291.4821</v>
      </c>
      <c r="S1137" s="540" t="s">
        <v>1242</v>
      </c>
      <c r="T1137" s="540"/>
    </row>
    <row r="1138" spans="1:20" s="401" customFormat="1" ht="24.75" customHeight="1">
      <c r="A1138" s="99" t="s">
        <v>977</v>
      </c>
      <c r="B1138" s="100"/>
      <c r="C1138" s="9" t="s">
        <v>152</v>
      </c>
      <c r="D1138" s="402" t="s">
        <v>159</v>
      </c>
      <c r="E1138" s="403" t="s">
        <v>1052</v>
      </c>
      <c r="F1138" s="403" t="s">
        <v>1194</v>
      </c>
      <c r="G1138" s="404">
        <v>39576</v>
      </c>
      <c r="H1138" s="404">
        <v>39623</v>
      </c>
      <c r="I1138" s="405" t="s">
        <v>157</v>
      </c>
      <c r="J1138" s="406">
        <v>1245.65</v>
      </c>
      <c r="K1138" s="407">
        <v>249.13</v>
      </c>
      <c r="L1138" s="280">
        <v>1494.78</v>
      </c>
      <c r="M1138" s="68">
        <v>373.695</v>
      </c>
      <c r="N1138" s="68">
        <v>74.739</v>
      </c>
      <c r="O1138" s="255">
        <v>448.43399999999997</v>
      </c>
      <c r="P1138" s="68">
        <f t="shared" si="211"/>
        <v>242.90175</v>
      </c>
      <c r="Q1138" s="409">
        <f t="shared" si="213"/>
        <v>48.58035</v>
      </c>
      <c r="R1138" s="256">
        <f t="shared" si="212"/>
        <v>291.4821</v>
      </c>
      <c r="S1138" s="540" t="s">
        <v>1242</v>
      </c>
      <c r="T1138" s="540"/>
    </row>
    <row r="1139" spans="1:20" s="401" customFormat="1" ht="24.75" customHeight="1">
      <c r="A1139" s="99" t="s">
        <v>977</v>
      </c>
      <c r="B1139" s="100"/>
      <c r="C1139" s="9" t="s">
        <v>152</v>
      </c>
      <c r="D1139" s="402" t="s">
        <v>162</v>
      </c>
      <c r="E1139" s="403" t="s">
        <v>1052</v>
      </c>
      <c r="F1139" s="403" t="s">
        <v>1195</v>
      </c>
      <c r="G1139" s="404">
        <v>39576</v>
      </c>
      <c r="H1139" s="404">
        <v>39650</v>
      </c>
      <c r="I1139" s="405" t="s">
        <v>157</v>
      </c>
      <c r="J1139" s="406">
        <v>1245.65</v>
      </c>
      <c r="K1139" s="407">
        <v>249.13</v>
      </c>
      <c r="L1139" s="280">
        <v>1494.78</v>
      </c>
      <c r="M1139" s="68">
        <v>373.695</v>
      </c>
      <c r="N1139" s="68">
        <v>74.739</v>
      </c>
      <c r="O1139" s="255">
        <v>448.43399999999997</v>
      </c>
      <c r="P1139" s="68">
        <f t="shared" si="211"/>
        <v>242.90175</v>
      </c>
      <c r="Q1139" s="409">
        <f t="shared" si="213"/>
        <v>48.58035</v>
      </c>
      <c r="R1139" s="256">
        <f t="shared" si="212"/>
        <v>291.4821</v>
      </c>
      <c r="S1139" s="540" t="s">
        <v>1242</v>
      </c>
      <c r="T1139" s="540"/>
    </row>
    <row r="1140" spans="1:20" s="401" customFormat="1" ht="24.75" customHeight="1">
      <c r="A1140" s="99" t="s">
        <v>977</v>
      </c>
      <c r="B1140" s="100"/>
      <c r="C1140" s="9" t="s">
        <v>152</v>
      </c>
      <c r="D1140" s="402" t="s">
        <v>165</v>
      </c>
      <c r="E1140" s="403" t="s">
        <v>1052</v>
      </c>
      <c r="F1140" s="403" t="s">
        <v>1196</v>
      </c>
      <c r="G1140" s="404">
        <v>39632</v>
      </c>
      <c r="H1140" s="404">
        <v>39650</v>
      </c>
      <c r="I1140" s="405" t="s">
        <v>157</v>
      </c>
      <c r="J1140" s="406">
        <v>1338.7</v>
      </c>
      <c r="K1140" s="407">
        <v>267.74</v>
      </c>
      <c r="L1140" s="280">
        <v>1606.44</v>
      </c>
      <c r="M1140" s="68">
        <v>401.61</v>
      </c>
      <c r="N1140" s="68">
        <v>80.322</v>
      </c>
      <c r="O1140" s="255">
        <v>481.932</v>
      </c>
      <c r="P1140" s="68">
        <f t="shared" si="211"/>
        <v>261.04650000000004</v>
      </c>
      <c r="Q1140" s="409">
        <f t="shared" si="213"/>
        <v>52.209300000000006</v>
      </c>
      <c r="R1140" s="256">
        <f t="shared" si="212"/>
        <v>313.2558</v>
      </c>
      <c r="S1140" s="540" t="s">
        <v>1242</v>
      </c>
      <c r="T1140" s="540"/>
    </row>
    <row r="1141" spans="1:20" s="401" customFormat="1" ht="24.75" customHeight="1">
      <c r="A1141" s="99" t="s">
        <v>977</v>
      </c>
      <c r="B1141" s="100"/>
      <c r="C1141" s="9" t="s">
        <v>152</v>
      </c>
      <c r="D1141" s="402" t="s">
        <v>177</v>
      </c>
      <c r="E1141" s="403" t="s">
        <v>178</v>
      </c>
      <c r="F1141" s="403">
        <v>45023</v>
      </c>
      <c r="G1141" s="404">
        <v>39469</v>
      </c>
      <c r="H1141" s="404">
        <v>39489</v>
      </c>
      <c r="I1141" s="405" t="s">
        <v>179</v>
      </c>
      <c r="J1141" s="406">
        <v>217.91</v>
      </c>
      <c r="K1141" s="407">
        <v>43.582</v>
      </c>
      <c r="L1141" s="280">
        <v>261.492</v>
      </c>
      <c r="M1141" s="68">
        <v>65.37299999999999</v>
      </c>
      <c r="N1141" s="68">
        <v>13.074599999999998</v>
      </c>
      <c r="O1141" s="255">
        <v>78.4476</v>
      </c>
      <c r="P1141" s="68">
        <f t="shared" si="211"/>
        <v>42.49245</v>
      </c>
      <c r="Q1141" s="409">
        <f t="shared" si="213"/>
        <v>8.498489999999999</v>
      </c>
      <c r="R1141" s="256">
        <f t="shared" si="212"/>
        <v>50.990939999999995</v>
      </c>
      <c r="S1141" s="540" t="s">
        <v>1242</v>
      </c>
      <c r="T1141" s="540"/>
    </row>
    <row r="1142" spans="1:20" s="401" customFormat="1" ht="24.75" customHeight="1">
      <c r="A1142" s="99" t="s">
        <v>977</v>
      </c>
      <c r="B1142" s="100"/>
      <c r="C1142" s="9" t="s">
        <v>152</v>
      </c>
      <c r="D1142" s="402" t="s">
        <v>177</v>
      </c>
      <c r="E1142" s="403" t="s">
        <v>178</v>
      </c>
      <c r="F1142" s="403">
        <v>45024</v>
      </c>
      <c r="G1142" s="404">
        <v>39529</v>
      </c>
      <c r="H1142" s="404">
        <v>39549</v>
      </c>
      <c r="I1142" s="405" t="s">
        <v>179</v>
      </c>
      <c r="J1142" s="406">
        <v>228.59</v>
      </c>
      <c r="K1142" s="407">
        <v>45.718</v>
      </c>
      <c r="L1142" s="280">
        <v>274.308</v>
      </c>
      <c r="M1142" s="68">
        <v>68.577</v>
      </c>
      <c r="N1142" s="68">
        <v>13.7154</v>
      </c>
      <c r="O1142" s="255">
        <v>82.2924</v>
      </c>
      <c r="P1142" s="68">
        <f t="shared" si="211"/>
        <v>44.57505</v>
      </c>
      <c r="Q1142" s="409">
        <f t="shared" si="213"/>
        <v>8.91501</v>
      </c>
      <c r="R1142" s="256">
        <f t="shared" si="212"/>
        <v>53.49006</v>
      </c>
      <c r="S1142" s="540" t="s">
        <v>1242</v>
      </c>
      <c r="T1142" s="540"/>
    </row>
    <row r="1143" spans="1:20" s="401" customFormat="1" ht="24.75" customHeight="1">
      <c r="A1143" s="99" t="s">
        <v>977</v>
      </c>
      <c r="B1143" s="100"/>
      <c r="C1143" s="9" t="s">
        <v>152</v>
      </c>
      <c r="D1143" s="402" t="s">
        <v>177</v>
      </c>
      <c r="E1143" s="403" t="s">
        <v>178</v>
      </c>
      <c r="F1143" s="403">
        <v>45025</v>
      </c>
      <c r="G1143" s="404">
        <v>39590</v>
      </c>
      <c r="H1143" s="404">
        <v>39610</v>
      </c>
      <c r="I1143" s="405" t="s">
        <v>179</v>
      </c>
      <c r="J1143" s="406">
        <v>231.76</v>
      </c>
      <c r="K1143" s="407">
        <v>46.352000000000004</v>
      </c>
      <c r="L1143" s="280">
        <v>278.11199999999997</v>
      </c>
      <c r="M1143" s="68">
        <v>69.52799999999999</v>
      </c>
      <c r="N1143" s="68">
        <v>13.9056</v>
      </c>
      <c r="O1143" s="255">
        <v>83.43359999999998</v>
      </c>
      <c r="P1143" s="68">
        <f t="shared" si="211"/>
        <v>45.1932</v>
      </c>
      <c r="Q1143" s="409">
        <f t="shared" si="213"/>
        <v>9.038640000000001</v>
      </c>
      <c r="R1143" s="256">
        <f t="shared" si="212"/>
        <v>54.23184</v>
      </c>
      <c r="S1143" s="540" t="s">
        <v>1242</v>
      </c>
      <c r="T1143" s="540"/>
    </row>
    <row r="1144" spans="1:20" s="401" customFormat="1" ht="24.75" customHeight="1">
      <c r="A1144" s="99" t="s">
        <v>977</v>
      </c>
      <c r="B1144" s="100"/>
      <c r="C1144" s="9" t="s">
        <v>152</v>
      </c>
      <c r="D1144" s="402" t="s">
        <v>181</v>
      </c>
      <c r="E1144" s="403" t="s">
        <v>182</v>
      </c>
      <c r="F1144" s="403">
        <v>24540</v>
      </c>
      <c r="G1144" s="404">
        <v>39456</v>
      </c>
      <c r="H1144" s="404">
        <v>39491</v>
      </c>
      <c r="I1144" s="405" t="s">
        <v>179</v>
      </c>
      <c r="J1144" s="406">
        <v>490</v>
      </c>
      <c r="K1144" s="407">
        <v>98</v>
      </c>
      <c r="L1144" s="280">
        <v>588</v>
      </c>
      <c r="M1144" s="68">
        <v>147</v>
      </c>
      <c r="N1144" s="68">
        <v>29.4</v>
      </c>
      <c r="O1144" s="255">
        <v>176.4</v>
      </c>
      <c r="P1144" s="68">
        <f t="shared" si="211"/>
        <v>95.55</v>
      </c>
      <c r="Q1144" s="409">
        <f t="shared" si="213"/>
        <v>19.11</v>
      </c>
      <c r="R1144" s="256">
        <f t="shared" si="212"/>
        <v>114.66</v>
      </c>
      <c r="S1144" s="540" t="s">
        <v>1242</v>
      </c>
      <c r="T1144" s="540"/>
    </row>
    <row r="1145" spans="1:20" s="401" customFormat="1" ht="24.75" customHeight="1">
      <c r="A1145" s="99" t="s">
        <v>977</v>
      </c>
      <c r="B1145" s="100"/>
      <c r="C1145" s="9" t="s">
        <v>152</v>
      </c>
      <c r="D1145" s="402" t="s">
        <v>181</v>
      </c>
      <c r="E1145" s="403" t="s">
        <v>182</v>
      </c>
      <c r="F1145" s="403">
        <v>36864</v>
      </c>
      <c r="G1145" s="404">
        <v>39517</v>
      </c>
      <c r="H1145" s="404">
        <v>39552</v>
      </c>
      <c r="I1145" s="405" t="s">
        <v>179</v>
      </c>
      <c r="J1145" s="406">
        <v>544.68</v>
      </c>
      <c r="K1145" s="407">
        <v>108.93599999999999</v>
      </c>
      <c r="L1145" s="280">
        <v>665.6</v>
      </c>
      <c r="M1145" s="68">
        <v>163.40399999999997</v>
      </c>
      <c r="N1145" s="68">
        <v>32.6808</v>
      </c>
      <c r="O1145" s="255">
        <v>196.08479999999997</v>
      </c>
      <c r="P1145" s="68">
        <f t="shared" si="211"/>
        <v>106.21259999999998</v>
      </c>
      <c r="Q1145" s="409">
        <f t="shared" si="213"/>
        <v>21.24252</v>
      </c>
      <c r="R1145" s="256">
        <f t="shared" si="212"/>
        <v>127.45511999999998</v>
      </c>
      <c r="S1145" s="540" t="s">
        <v>1242</v>
      </c>
      <c r="T1145" s="540"/>
    </row>
    <row r="1146" spans="1:20" s="401" customFormat="1" ht="24.75" customHeight="1">
      <c r="A1146" s="99" t="s">
        <v>977</v>
      </c>
      <c r="B1146" s="100"/>
      <c r="C1146" s="9" t="s">
        <v>152</v>
      </c>
      <c r="D1146" s="402" t="s">
        <v>181</v>
      </c>
      <c r="E1146" s="403" t="s">
        <v>182</v>
      </c>
      <c r="F1146" s="403">
        <v>88559</v>
      </c>
      <c r="G1146" s="404">
        <v>39574</v>
      </c>
      <c r="H1146" s="404">
        <v>39612</v>
      </c>
      <c r="I1146" s="405" t="s">
        <v>179</v>
      </c>
      <c r="J1146" s="406">
        <v>515.92</v>
      </c>
      <c r="K1146" s="407">
        <v>103.184</v>
      </c>
      <c r="L1146" s="280">
        <v>630.5</v>
      </c>
      <c r="M1146" s="68">
        <v>154.77599999999998</v>
      </c>
      <c r="N1146" s="68">
        <v>30.955199999999998</v>
      </c>
      <c r="O1146" s="255">
        <v>185.73119999999997</v>
      </c>
      <c r="P1146" s="68">
        <f t="shared" si="211"/>
        <v>100.6044</v>
      </c>
      <c r="Q1146" s="409">
        <f t="shared" si="213"/>
        <v>20.12088</v>
      </c>
      <c r="R1146" s="256">
        <f t="shared" si="212"/>
        <v>120.72528</v>
      </c>
      <c r="S1146" s="540" t="s">
        <v>1242</v>
      </c>
      <c r="T1146" s="540"/>
    </row>
    <row r="1147" spans="1:20" s="401" customFormat="1" ht="24.75" customHeight="1">
      <c r="A1147" s="99" t="s">
        <v>977</v>
      </c>
      <c r="B1147" s="100"/>
      <c r="C1147" s="9" t="s">
        <v>152</v>
      </c>
      <c r="D1147" s="402" t="s">
        <v>1197</v>
      </c>
      <c r="E1147" s="403" t="s">
        <v>1198</v>
      </c>
      <c r="F1147" s="403">
        <v>5</v>
      </c>
      <c r="G1147" s="404">
        <v>39499</v>
      </c>
      <c r="H1147" s="404">
        <v>39507</v>
      </c>
      <c r="I1147" s="405" t="s">
        <v>1188</v>
      </c>
      <c r="J1147" s="406">
        <v>950</v>
      </c>
      <c r="K1147" s="407">
        <v>190</v>
      </c>
      <c r="L1147" s="280">
        <v>1140</v>
      </c>
      <c r="M1147" s="68">
        <v>285</v>
      </c>
      <c r="N1147" s="68">
        <v>57</v>
      </c>
      <c r="O1147" s="255">
        <v>342</v>
      </c>
      <c r="P1147" s="68">
        <f t="shared" si="211"/>
        <v>185.25</v>
      </c>
      <c r="Q1147" s="409">
        <f t="shared" si="213"/>
        <v>37.050000000000004</v>
      </c>
      <c r="R1147" s="256">
        <f t="shared" si="212"/>
        <v>222.3</v>
      </c>
      <c r="S1147" s="540" t="s">
        <v>1242</v>
      </c>
      <c r="T1147" s="540"/>
    </row>
    <row r="1148" spans="1:20" s="401" customFormat="1" ht="24.75" customHeight="1">
      <c r="A1148" s="99" t="s">
        <v>977</v>
      </c>
      <c r="B1148" s="100"/>
      <c r="C1148" s="101" t="s">
        <v>205</v>
      </c>
      <c r="D1148" s="402" t="s">
        <v>1222</v>
      </c>
      <c r="E1148" s="403" t="s">
        <v>1223</v>
      </c>
      <c r="F1148" s="403">
        <v>2008023276</v>
      </c>
      <c r="G1148" s="404">
        <v>39525</v>
      </c>
      <c r="H1148" s="404">
        <v>39720</v>
      </c>
      <c r="I1148" s="405" t="s">
        <v>1219</v>
      </c>
      <c r="J1148" s="406">
        <v>99.99</v>
      </c>
      <c r="K1148" s="407">
        <v>20</v>
      </c>
      <c r="L1148" s="280">
        <v>119.99</v>
      </c>
      <c r="M1148" s="406">
        <v>99.99</v>
      </c>
      <c r="N1148" s="68"/>
      <c r="O1148" s="255">
        <f>+N1148+M1148</f>
        <v>99.99</v>
      </c>
      <c r="P1148" s="68">
        <f t="shared" si="211"/>
        <v>64.9935</v>
      </c>
      <c r="Q1148" s="409">
        <f t="shared" si="213"/>
        <v>0</v>
      </c>
      <c r="R1148" s="256">
        <f t="shared" si="212"/>
        <v>64.9935</v>
      </c>
      <c r="S1148" s="540" t="s">
        <v>1242</v>
      </c>
      <c r="T1148" s="540"/>
    </row>
    <row r="1149" spans="1:20" s="401" customFormat="1" ht="24.75" customHeight="1">
      <c r="A1149" s="99" t="s">
        <v>977</v>
      </c>
      <c r="B1149" s="100"/>
      <c r="C1149" s="101" t="s">
        <v>205</v>
      </c>
      <c r="D1149" s="402" t="s">
        <v>1222</v>
      </c>
      <c r="E1149" s="403" t="s">
        <v>1224</v>
      </c>
      <c r="F1149" s="403">
        <v>200386</v>
      </c>
      <c r="G1149" s="404">
        <v>39538</v>
      </c>
      <c r="H1149" s="404">
        <v>39720</v>
      </c>
      <c r="I1149" s="405" t="s">
        <v>1219</v>
      </c>
      <c r="J1149" s="406">
        <v>800</v>
      </c>
      <c r="K1149" s="407">
        <v>160</v>
      </c>
      <c r="L1149" s="280">
        <v>960</v>
      </c>
      <c r="M1149" s="406">
        <v>800</v>
      </c>
      <c r="N1149" s="68"/>
      <c r="O1149" s="255">
        <f aca="true" t="shared" si="214" ref="O1149:O1162">+N1149+M1149</f>
        <v>800</v>
      </c>
      <c r="P1149" s="68">
        <f t="shared" si="211"/>
        <v>520</v>
      </c>
      <c r="Q1149" s="409">
        <f t="shared" si="213"/>
        <v>0</v>
      </c>
      <c r="R1149" s="256">
        <f t="shared" si="212"/>
        <v>520</v>
      </c>
      <c r="S1149" s="540" t="s">
        <v>1242</v>
      </c>
      <c r="T1149" s="540"/>
    </row>
    <row r="1150" spans="1:20" s="401" customFormat="1" ht="24.75" customHeight="1">
      <c r="A1150" s="99" t="s">
        <v>977</v>
      </c>
      <c r="B1150" s="100"/>
      <c r="C1150" s="101" t="s">
        <v>205</v>
      </c>
      <c r="D1150" s="402" t="s">
        <v>1222</v>
      </c>
      <c r="E1150" s="403" t="s">
        <v>1225</v>
      </c>
      <c r="F1150" s="403">
        <v>22208</v>
      </c>
      <c r="G1150" s="404">
        <v>39527</v>
      </c>
      <c r="H1150" s="404"/>
      <c r="I1150" s="405" t="s">
        <v>1219</v>
      </c>
      <c r="J1150" s="406">
        <v>1706.5</v>
      </c>
      <c r="K1150" s="407">
        <v>341.3</v>
      </c>
      <c r="L1150" s="280">
        <v>2047.8</v>
      </c>
      <c r="M1150" s="406">
        <v>1706.5</v>
      </c>
      <c r="N1150" s="68"/>
      <c r="O1150" s="255">
        <f t="shared" si="214"/>
        <v>1706.5</v>
      </c>
      <c r="P1150" s="68">
        <f t="shared" si="211"/>
        <v>1109.2250000000001</v>
      </c>
      <c r="Q1150" s="409">
        <f t="shared" si="213"/>
        <v>0</v>
      </c>
      <c r="R1150" s="256">
        <f t="shared" si="212"/>
        <v>1109.2250000000001</v>
      </c>
      <c r="S1150" s="540" t="s">
        <v>1242</v>
      </c>
      <c r="T1150" s="540"/>
    </row>
    <row r="1151" spans="1:20" s="401" customFormat="1" ht="24.75" customHeight="1">
      <c r="A1151" s="99" t="s">
        <v>977</v>
      </c>
      <c r="B1151" s="100"/>
      <c r="C1151" s="101" t="s">
        <v>205</v>
      </c>
      <c r="D1151" s="402" t="s">
        <v>1226</v>
      </c>
      <c r="E1151" s="403" t="s">
        <v>99</v>
      </c>
      <c r="F1151" s="403">
        <v>800015640</v>
      </c>
      <c r="G1151" s="404">
        <v>39643</v>
      </c>
      <c r="H1151" s="404">
        <v>39640</v>
      </c>
      <c r="I1151" s="405" t="s">
        <v>1219</v>
      </c>
      <c r="J1151" s="406">
        <v>246.5</v>
      </c>
      <c r="K1151" s="407">
        <v>49.3</v>
      </c>
      <c r="L1151" s="280">
        <v>295.8</v>
      </c>
      <c r="M1151" s="406">
        <v>246.5</v>
      </c>
      <c r="N1151" s="68"/>
      <c r="O1151" s="255">
        <f t="shared" si="214"/>
        <v>246.5</v>
      </c>
      <c r="P1151" s="68">
        <f t="shared" si="211"/>
        <v>160.225</v>
      </c>
      <c r="Q1151" s="409">
        <f t="shared" si="213"/>
        <v>0</v>
      </c>
      <c r="R1151" s="256">
        <f t="shared" si="212"/>
        <v>160.225</v>
      </c>
      <c r="S1151" s="540" t="s">
        <v>1242</v>
      </c>
      <c r="T1151" s="540"/>
    </row>
    <row r="1152" spans="1:20" s="401" customFormat="1" ht="24.75" customHeight="1">
      <c r="A1152" s="99" t="s">
        <v>977</v>
      </c>
      <c r="B1152" s="100"/>
      <c r="C1152" s="101" t="s">
        <v>205</v>
      </c>
      <c r="D1152" s="402" t="s">
        <v>1227</v>
      </c>
      <c r="E1152" s="403" t="s">
        <v>1228</v>
      </c>
      <c r="F1152" s="403" t="s">
        <v>1229</v>
      </c>
      <c r="G1152" s="404">
        <v>39659</v>
      </c>
      <c r="H1152" s="404">
        <v>39720</v>
      </c>
      <c r="I1152" s="405" t="s">
        <v>1219</v>
      </c>
      <c r="J1152" s="406">
        <v>500</v>
      </c>
      <c r="K1152" s="407">
        <v>100</v>
      </c>
      <c r="L1152" s="280">
        <v>600</v>
      </c>
      <c r="M1152" s="406">
        <v>500</v>
      </c>
      <c r="N1152" s="68"/>
      <c r="O1152" s="255">
        <f t="shared" si="214"/>
        <v>500</v>
      </c>
      <c r="P1152" s="68">
        <f t="shared" si="211"/>
        <v>325</v>
      </c>
      <c r="Q1152" s="409">
        <f t="shared" si="213"/>
        <v>0</v>
      </c>
      <c r="R1152" s="256">
        <f t="shared" si="212"/>
        <v>325</v>
      </c>
      <c r="S1152" s="540" t="s">
        <v>1242</v>
      </c>
      <c r="T1152" s="540"/>
    </row>
    <row r="1153" spans="1:20" s="401" customFormat="1" ht="24.75" customHeight="1">
      <c r="A1153" s="99" t="s">
        <v>977</v>
      </c>
      <c r="B1153" s="100"/>
      <c r="C1153" s="101" t="s">
        <v>205</v>
      </c>
      <c r="D1153" s="402" t="s">
        <v>1230</v>
      </c>
      <c r="E1153" s="403" t="s">
        <v>1231</v>
      </c>
      <c r="F1153" s="403">
        <v>2465</v>
      </c>
      <c r="G1153" s="404">
        <v>39633</v>
      </c>
      <c r="H1153" s="404">
        <v>39720</v>
      </c>
      <c r="I1153" s="405" t="s">
        <v>1219</v>
      </c>
      <c r="J1153" s="406">
        <v>107.1</v>
      </c>
      <c r="K1153" s="407">
        <v>21.42</v>
      </c>
      <c r="L1153" s="280">
        <v>128.52</v>
      </c>
      <c r="M1153" s="406">
        <v>107.1</v>
      </c>
      <c r="N1153" s="68"/>
      <c r="O1153" s="255">
        <f t="shared" si="214"/>
        <v>107.1</v>
      </c>
      <c r="P1153" s="68">
        <f t="shared" si="211"/>
        <v>69.615</v>
      </c>
      <c r="Q1153" s="409">
        <f t="shared" si="213"/>
        <v>0</v>
      </c>
      <c r="R1153" s="256">
        <f t="shared" si="212"/>
        <v>69.615</v>
      </c>
      <c r="S1153" s="540" t="s">
        <v>1242</v>
      </c>
      <c r="T1153" s="540"/>
    </row>
    <row r="1154" spans="1:20" s="401" customFormat="1" ht="24.75" customHeight="1">
      <c r="A1154" s="99" t="s">
        <v>977</v>
      </c>
      <c r="B1154" s="100"/>
      <c r="C1154" s="101" t="s">
        <v>205</v>
      </c>
      <c r="D1154" s="402" t="s">
        <v>1232</v>
      </c>
      <c r="E1154" s="403" t="s">
        <v>1218</v>
      </c>
      <c r="F1154" s="403">
        <v>94</v>
      </c>
      <c r="G1154" s="404">
        <v>39293</v>
      </c>
      <c r="H1154" s="404">
        <v>39720</v>
      </c>
      <c r="I1154" s="405" t="s">
        <v>1219</v>
      </c>
      <c r="J1154" s="406">
        <v>3100</v>
      </c>
      <c r="K1154" s="407">
        <v>620</v>
      </c>
      <c r="L1154" s="280">
        <v>3720</v>
      </c>
      <c r="M1154" s="406">
        <v>3100</v>
      </c>
      <c r="N1154" s="68"/>
      <c r="O1154" s="255">
        <f t="shared" si="214"/>
        <v>3100</v>
      </c>
      <c r="P1154" s="68">
        <f t="shared" si="211"/>
        <v>2015</v>
      </c>
      <c r="Q1154" s="409">
        <f t="shared" si="213"/>
        <v>0</v>
      </c>
      <c r="R1154" s="256">
        <f t="shared" si="212"/>
        <v>2015</v>
      </c>
      <c r="S1154" s="540" t="s">
        <v>1242</v>
      </c>
      <c r="T1154" s="540"/>
    </row>
    <row r="1155" spans="1:20" s="401" customFormat="1" ht="24.75" customHeight="1">
      <c r="A1155" s="99" t="s">
        <v>977</v>
      </c>
      <c r="B1155" s="100"/>
      <c r="C1155" s="101" t="s">
        <v>205</v>
      </c>
      <c r="D1155" s="402" t="s">
        <v>1233</v>
      </c>
      <c r="E1155" s="403" t="s">
        <v>1218</v>
      </c>
      <c r="F1155" s="403">
        <v>129</v>
      </c>
      <c r="G1155" s="404">
        <v>39653</v>
      </c>
      <c r="H1155" s="404">
        <v>39720</v>
      </c>
      <c r="I1155" s="405" t="s">
        <v>1219</v>
      </c>
      <c r="J1155" s="406">
        <v>1697.2</v>
      </c>
      <c r="K1155" s="407">
        <v>339.44</v>
      </c>
      <c r="L1155" s="280">
        <v>2036.64</v>
      </c>
      <c r="M1155" s="406">
        <v>1697.2</v>
      </c>
      <c r="N1155" s="68"/>
      <c r="O1155" s="255">
        <f t="shared" si="214"/>
        <v>1697.2</v>
      </c>
      <c r="P1155" s="68">
        <f t="shared" si="211"/>
        <v>1103.18</v>
      </c>
      <c r="Q1155" s="409">
        <f t="shared" si="213"/>
        <v>0</v>
      </c>
      <c r="R1155" s="256">
        <f t="shared" si="212"/>
        <v>1103.18</v>
      </c>
      <c r="S1155" s="540" t="s">
        <v>1242</v>
      </c>
      <c r="T1155" s="540"/>
    </row>
    <row r="1156" spans="1:20" s="401" customFormat="1" ht="24.75" customHeight="1">
      <c r="A1156" s="99" t="s">
        <v>977</v>
      </c>
      <c r="B1156" s="100"/>
      <c r="C1156" s="101" t="s">
        <v>205</v>
      </c>
      <c r="D1156" s="402" t="s">
        <v>1234</v>
      </c>
      <c r="E1156" s="403" t="s">
        <v>1235</v>
      </c>
      <c r="F1156" s="403" t="s">
        <v>1236</v>
      </c>
      <c r="G1156" s="404">
        <v>39576</v>
      </c>
      <c r="H1156" s="404">
        <v>39720</v>
      </c>
      <c r="I1156" s="405" t="s">
        <v>1219</v>
      </c>
      <c r="J1156" s="406">
        <v>63.28</v>
      </c>
      <c r="K1156" s="407"/>
      <c r="L1156" s="280">
        <v>63.28</v>
      </c>
      <c r="M1156" s="406">
        <v>63.28</v>
      </c>
      <c r="N1156" s="68"/>
      <c r="O1156" s="255">
        <f t="shared" si="214"/>
        <v>63.28</v>
      </c>
      <c r="P1156" s="68">
        <f t="shared" si="211"/>
        <v>41.132000000000005</v>
      </c>
      <c r="Q1156" s="409">
        <f t="shared" si="213"/>
        <v>0</v>
      </c>
      <c r="R1156" s="256">
        <f t="shared" si="212"/>
        <v>41.132000000000005</v>
      </c>
      <c r="S1156" s="540" t="s">
        <v>1242</v>
      </c>
      <c r="T1156" s="540"/>
    </row>
    <row r="1157" spans="1:20" s="401" customFormat="1" ht="24.75" customHeight="1">
      <c r="A1157" s="99" t="s">
        <v>977</v>
      </c>
      <c r="B1157" s="100"/>
      <c r="C1157" s="101" t="s">
        <v>205</v>
      </c>
      <c r="D1157" s="402" t="s">
        <v>1237</v>
      </c>
      <c r="E1157" s="403" t="s">
        <v>1238</v>
      </c>
      <c r="F1157" s="403" t="s">
        <v>1236</v>
      </c>
      <c r="G1157" s="404">
        <v>39561</v>
      </c>
      <c r="H1157" s="404">
        <v>39720</v>
      </c>
      <c r="I1157" s="405" t="s">
        <v>1219</v>
      </c>
      <c r="J1157" s="406">
        <v>34</v>
      </c>
      <c r="K1157" s="407"/>
      <c r="L1157" s="280">
        <v>34</v>
      </c>
      <c r="M1157" s="406">
        <v>34</v>
      </c>
      <c r="N1157" s="68"/>
      <c r="O1157" s="255">
        <f t="shared" si="214"/>
        <v>34</v>
      </c>
      <c r="P1157" s="68">
        <f t="shared" si="211"/>
        <v>22.1</v>
      </c>
      <c r="Q1157" s="409">
        <f t="shared" si="213"/>
        <v>0</v>
      </c>
      <c r="R1157" s="256">
        <f t="shared" si="212"/>
        <v>22.1</v>
      </c>
      <c r="S1157" s="540" t="s">
        <v>1242</v>
      </c>
      <c r="T1157" s="540"/>
    </row>
    <row r="1158" spans="1:20" s="401" customFormat="1" ht="24.75" customHeight="1">
      <c r="A1158" s="99" t="s">
        <v>977</v>
      </c>
      <c r="B1158" s="100"/>
      <c r="C1158" s="101" t="s">
        <v>205</v>
      </c>
      <c r="D1158" s="402" t="s">
        <v>1237</v>
      </c>
      <c r="E1158" s="403" t="s">
        <v>1238</v>
      </c>
      <c r="F1158" s="403" t="s">
        <v>1236</v>
      </c>
      <c r="G1158" s="404">
        <v>39556</v>
      </c>
      <c r="H1158" s="404">
        <v>39720</v>
      </c>
      <c r="I1158" s="405" t="s">
        <v>1219</v>
      </c>
      <c r="J1158" s="406">
        <v>81.2</v>
      </c>
      <c r="K1158" s="407"/>
      <c r="L1158" s="280">
        <v>81.2</v>
      </c>
      <c r="M1158" s="406">
        <v>81.2</v>
      </c>
      <c r="N1158" s="68"/>
      <c r="O1158" s="255">
        <f t="shared" si="214"/>
        <v>81.2</v>
      </c>
      <c r="P1158" s="68">
        <f t="shared" si="211"/>
        <v>52.78</v>
      </c>
      <c r="Q1158" s="409">
        <f t="shared" si="213"/>
        <v>0</v>
      </c>
      <c r="R1158" s="256">
        <f t="shared" si="212"/>
        <v>52.78</v>
      </c>
      <c r="S1158" s="540" t="s">
        <v>1242</v>
      </c>
      <c r="T1158" s="540"/>
    </row>
    <row r="1159" spans="1:20" s="401" customFormat="1" ht="24.75" customHeight="1">
      <c r="A1159" s="99" t="s">
        <v>977</v>
      </c>
      <c r="B1159" s="100"/>
      <c r="C1159" s="101" t="s">
        <v>205</v>
      </c>
      <c r="D1159" s="402" t="s">
        <v>1239</v>
      </c>
      <c r="E1159" s="403" t="s">
        <v>1204</v>
      </c>
      <c r="F1159" s="403" t="s">
        <v>1236</v>
      </c>
      <c r="G1159" s="404">
        <v>39693</v>
      </c>
      <c r="H1159" s="404">
        <v>39720</v>
      </c>
      <c r="I1159" s="405" t="s">
        <v>1219</v>
      </c>
      <c r="J1159" s="406">
        <v>67.8</v>
      </c>
      <c r="K1159" s="407"/>
      <c r="L1159" s="280">
        <v>67.8</v>
      </c>
      <c r="M1159" s="406">
        <v>67.8</v>
      </c>
      <c r="N1159" s="68"/>
      <c r="O1159" s="255">
        <f t="shared" si="214"/>
        <v>67.8</v>
      </c>
      <c r="P1159" s="68">
        <f t="shared" si="211"/>
        <v>44.07</v>
      </c>
      <c r="Q1159" s="409">
        <f t="shared" si="213"/>
        <v>0</v>
      </c>
      <c r="R1159" s="256">
        <f t="shared" si="212"/>
        <v>44.07</v>
      </c>
      <c r="S1159" s="540" t="s">
        <v>1242</v>
      </c>
      <c r="T1159" s="540"/>
    </row>
    <row r="1160" spans="1:20" s="401" customFormat="1" ht="24.75" customHeight="1">
      <c r="A1160" s="99" t="s">
        <v>977</v>
      </c>
      <c r="B1160" s="100"/>
      <c r="C1160" s="101" t="s">
        <v>205</v>
      </c>
      <c r="D1160" s="402" t="s">
        <v>1239</v>
      </c>
      <c r="E1160" s="403" t="s">
        <v>1204</v>
      </c>
      <c r="F1160" s="403" t="s">
        <v>1236</v>
      </c>
      <c r="G1160" s="404">
        <v>39693</v>
      </c>
      <c r="H1160" s="404">
        <v>39720</v>
      </c>
      <c r="I1160" s="405" t="s">
        <v>1219</v>
      </c>
      <c r="J1160" s="406">
        <v>53.8</v>
      </c>
      <c r="K1160" s="407"/>
      <c r="L1160" s="280">
        <v>53.8</v>
      </c>
      <c r="M1160" s="406">
        <v>53.8</v>
      </c>
      <c r="N1160" s="68"/>
      <c r="O1160" s="255">
        <f t="shared" si="214"/>
        <v>53.8</v>
      </c>
      <c r="P1160" s="68">
        <f t="shared" si="211"/>
        <v>34.97</v>
      </c>
      <c r="Q1160" s="409">
        <f t="shared" si="213"/>
        <v>0</v>
      </c>
      <c r="R1160" s="256">
        <f t="shared" si="212"/>
        <v>34.97</v>
      </c>
      <c r="S1160" s="540" t="s">
        <v>1242</v>
      </c>
      <c r="T1160" s="540"/>
    </row>
    <row r="1161" spans="1:20" s="401" customFormat="1" ht="24.75" customHeight="1">
      <c r="A1161" s="99" t="s">
        <v>977</v>
      </c>
      <c r="B1161" s="100"/>
      <c r="C1161" s="101" t="s">
        <v>205</v>
      </c>
      <c r="D1161" s="402" t="s">
        <v>1239</v>
      </c>
      <c r="E1161" s="403" t="s">
        <v>1204</v>
      </c>
      <c r="F1161" s="403" t="s">
        <v>1236</v>
      </c>
      <c r="G1161" s="404">
        <v>39693</v>
      </c>
      <c r="H1161" s="404">
        <v>39720</v>
      </c>
      <c r="I1161" s="405" t="s">
        <v>1219</v>
      </c>
      <c r="J1161" s="406">
        <v>91.8</v>
      </c>
      <c r="K1161" s="407"/>
      <c r="L1161" s="280">
        <v>91.8</v>
      </c>
      <c r="M1161" s="406">
        <v>91.8</v>
      </c>
      <c r="N1161" s="68"/>
      <c r="O1161" s="255">
        <f t="shared" si="214"/>
        <v>91.8</v>
      </c>
      <c r="P1161" s="68">
        <f t="shared" si="211"/>
        <v>59.67</v>
      </c>
      <c r="Q1161" s="409">
        <f t="shared" si="213"/>
        <v>0</v>
      </c>
      <c r="R1161" s="256">
        <f t="shared" si="212"/>
        <v>59.67</v>
      </c>
      <c r="S1161" s="540" t="s">
        <v>1242</v>
      </c>
      <c r="T1161" s="540"/>
    </row>
    <row r="1162" spans="1:20" s="401" customFormat="1" ht="24.75" customHeight="1">
      <c r="A1162" s="99" t="s">
        <v>977</v>
      </c>
      <c r="B1162" s="100"/>
      <c r="C1162" s="101" t="s">
        <v>205</v>
      </c>
      <c r="D1162" s="402" t="s">
        <v>1240</v>
      </c>
      <c r="E1162" s="403" t="s">
        <v>1241</v>
      </c>
      <c r="F1162" s="403" t="s">
        <v>1236</v>
      </c>
      <c r="G1162" s="404">
        <v>38994</v>
      </c>
      <c r="H1162" s="404">
        <v>39720</v>
      </c>
      <c r="I1162" s="405" t="s">
        <v>1219</v>
      </c>
      <c r="J1162" s="406">
        <v>97</v>
      </c>
      <c r="K1162" s="407"/>
      <c r="L1162" s="280">
        <v>97</v>
      </c>
      <c r="M1162" s="406">
        <v>97</v>
      </c>
      <c r="N1162" s="68"/>
      <c r="O1162" s="255">
        <f t="shared" si="214"/>
        <v>97</v>
      </c>
      <c r="P1162" s="68">
        <f t="shared" si="211"/>
        <v>63.050000000000004</v>
      </c>
      <c r="Q1162" s="409">
        <f t="shared" si="213"/>
        <v>0</v>
      </c>
      <c r="R1162" s="256">
        <f t="shared" si="212"/>
        <v>63.050000000000004</v>
      </c>
      <c r="S1162" s="540" t="s">
        <v>1242</v>
      </c>
      <c r="T1162" s="540"/>
    </row>
    <row r="1163" spans="1:20" s="64" customFormat="1" ht="11.25">
      <c r="A1163" s="99"/>
      <c r="B1163" s="100"/>
      <c r="C1163" s="101"/>
      <c r="D1163" s="203"/>
      <c r="E1163" s="211"/>
      <c r="F1163" s="211"/>
      <c r="G1163" s="229"/>
      <c r="H1163" s="229"/>
      <c r="I1163" s="113"/>
      <c r="J1163" s="230"/>
      <c r="K1163" s="216"/>
      <c r="L1163" s="280"/>
      <c r="M1163" s="63"/>
      <c r="N1163" s="63"/>
      <c r="O1163" s="255"/>
      <c r="P1163" s="63"/>
      <c r="Q1163" s="63"/>
      <c r="R1163" s="255"/>
      <c r="S1163" s="542"/>
      <c r="T1163" s="543"/>
    </row>
    <row r="1164" ht="11.25">
      <c r="S1164" s="21"/>
    </row>
    <row r="1165" ht="11.25">
      <c r="S1165" s="21"/>
    </row>
    <row r="1166" ht="11.25">
      <c r="S1166" s="21"/>
    </row>
    <row r="1167" ht="11.25">
      <c r="S1167" s="21"/>
    </row>
    <row r="1168" ht="11.25">
      <c r="S1168" s="21"/>
    </row>
    <row r="1169" ht="11.25">
      <c r="S1169" s="21"/>
    </row>
    <row r="1170" ht="11.25">
      <c r="S1170" s="21"/>
    </row>
    <row r="1171" ht="11.25">
      <c r="S1171" s="21"/>
    </row>
    <row r="1172" ht="11.25">
      <c r="S1172" s="21"/>
    </row>
    <row r="1173" ht="11.25">
      <c r="S1173" s="21"/>
    </row>
    <row r="1174" ht="11.25">
      <c r="S1174" s="21"/>
    </row>
    <row r="1175" ht="11.25">
      <c r="S1175" s="21"/>
    </row>
    <row r="1176" ht="11.25">
      <c r="S1176" s="21"/>
    </row>
    <row r="1177" ht="11.25">
      <c r="S1177" s="21"/>
    </row>
    <row r="1178" ht="11.25">
      <c r="S1178" s="21"/>
    </row>
    <row r="1179" ht="11.25">
      <c r="S1179" s="21"/>
    </row>
    <row r="1180" ht="11.25">
      <c r="S1180" s="21"/>
    </row>
    <row r="1181" ht="11.25">
      <c r="S1181" s="21"/>
    </row>
    <row r="1182" ht="11.25">
      <c r="S1182" s="21"/>
    </row>
    <row r="1183" ht="11.25">
      <c r="S1183" s="21"/>
    </row>
    <row r="1184" ht="11.25">
      <c r="S1184" s="21"/>
    </row>
    <row r="1185" ht="11.25">
      <c r="S1185" s="21"/>
    </row>
    <row r="1186" ht="11.25">
      <c r="S1186" s="21"/>
    </row>
    <row r="1187" ht="11.25">
      <c r="S1187" s="21"/>
    </row>
    <row r="1188" ht="11.25">
      <c r="S1188" s="21"/>
    </row>
    <row r="1189" ht="11.25">
      <c r="S1189" s="21"/>
    </row>
    <row r="1190" ht="11.25">
      <c r="S1190" s="21"/>
    </row>
    <row r="1191" ht="11.25">
      <c r="S1191" s="21"/>
    </row>
    <row r="1192" ht="11.25">
      <c r="S1192" s="21"/>
    </row>
    <row r="1193" ht="11.25">
      <c r="S1193" s="21"/>
    </row>
    <row r="1194" ht="11.25">
      <c r="S1194" s="21"/>
    </row>
    <row r="1195" ht="11.25">
      <c r="S1195" s="21"/>
    </row>
    <row r="1196" ht="11.25">
      <c r="S1196" s="21"/>
    </row>
    <row r="1197" ht="11.25">
      <c r="S1197" s="21"/>
    </row>
    <row r="1198" ht="11.25">
      <c r="S1198" s="21"/>
    </row>
    <row r="1199" ht="11.25">
      <c r="S1199" s="21"/>
    </row>
    <row r="1200" ht="11.25">
      <c r="S1200" s="21"/>
    </row>
    <row r="1201" ht="11.25">
      <c r="S1201" s="21"/>
    </row>
    <row r="1202" ht="11.25">
      <c r="S1202" s="21"/>
    </row>
    <row r="1203" ht="11.25">
      <c r="S1203" s="21"/>
    </row>
    <row r="1204" ht="11.25">
      <c r="S1204" s="21"/>
    </row>
    <row r="1205" ht="11.25">
      <c r="S1205" s="21"/>
    </row>
    <row r="1206" ht="11.25">
      <c r="S1206" s="21"/>
    </row>
    <row r="1207" ht="11.25">
      <c r="S1207" s="21"/>
    </row>
    <row r="1208" ht="11.25">
      <c r="S1208" s="21"/>
    </row>
    <row r="1209" ht="11.25">
      <c r="S1209" s="21"/>
    </row>
    <row r="1210" ht="11.25">
      <c r="S1210" s="21"/>
    </row>
    <row r="1211" ht="11.25">
      <c r="S1211" s="21"/>
    </row>
    <row r="1212" ht="11.25">
      <c r="S1212" s="21"/>
    </row>
    <row r="1213" ht="11.25">
      <c r="S1213" s="21"/>
    </row>
    <row r="1214" ht="11.25">
      <c r="S1214" s="21"/>
    </row>
    <row r="1215" ht="11.25">
      <c r="S1215" s="21"/>
    </row>
    <row r="1216" ht="11.25">
      <c r="S1216" s="21"/>
    </row>
    <row r="1217" ht="11.25">
      <c r="S1217" s="21"/>
    </row>
    <row r="1218" ht="11.25">
      <c r="S1218" s="21"/>
    </row>
    <row r="1219" ht="11.25">
      <c r="S1219" s="21"/>
    </row>
    <row r="1220" ht="11.25">
      <c r="S1220" s="21"/>
    </row>
    <row r="1221" ht="11.25">
      <c r="S1221" s="21"/>
    </row>
    <row r="1222" ht="11.25">
      <c r="S1222" s="21"/>
    </row>
    <row r="1223" ht="11.25">
      <c r="S1223" s="21"/>
    </row>
    <row r="1224" ht="11.25">
      <c r="S1224" s="21"/>
    </row>
    <row r="1225" ht="11.25">
      <c r="S1225" s="21"/>
    </row>
    <row r="1226" ht="11.25">
      <c r="S1226" s="21"/>
    </row>
    <row r="1227" ht="11.25">
      <c r="S1227" s="21"/>
    </row>
    <row r="1228" ht="11.25">
      <c r="S1228" s="21"/>
    </row>
    <row r="1229" ht="11.25">
      <c r="S1229" s="21"/>
    </row>
    <row r="1230" ht="11.25">
      <c r="S1230" s="21"/>
    </row>
    <row r="1231" ht="11.25">
      <c r="S1231" s="21"/>
    </row>
    <row r="1232" ht="11.25">
      <c r="S1232" s="21"/>
    </row>
    <row r="1233" ht="11.25">
      <c r="S1233" s="21"/>
    </row>
    <row r="1234" ht="11.25">
      <c r="S1234" s="21"/>
    </row>
    <row r="1235" ht="11.25">
      <c r="S1235" s="21"/>
    </row>
    <row r="1236" ht="11.25">
      <c r="S1236" s="21"/>
    </row>
    <row r="1237" ht="11.25">
      <c r="S1237" s="21"/>
    </row>
    <row r="1238" ht="11.25">
      <c r="S1238" s="21"/>
    </row>
    <row r="1239" ht="11.25">
      <c r="S1239" s="21"/>
    </row>
    <row r="1240" ht="11.25">
      <c r="S1240" s="21"/>
    </row>
    <row r="1241" ht="11.25">
      <c r="S1241" s="21"/>
    </row>
    <row r="1242" ht="11.25">
      <c r="S1242" s="21"/>
    </row>
    <row r="1243" ht="11.25">
      <c r="S1243" s="21"/>
    </row>
    <row r="1244" ht="11.25">
      <c r="S1244" s="21"/>
    </row>
    <row r="1245" ht="11.25">
      <c r="S1245" s="21"/>
    </row>
    <row r="1246" ht="11.25">
      <c r="S1246" s="21"/>
    </row>
    <row r="1247" ht="11.25">
      <c r="S1247" s="21"/>
    </row>
    <row r="1248" ht="11.25">
      <c r="S1248" s="21"/>
    </row>
    <row r="1249" ht="11.25">
      <c r="S1249" s="21"/>
    </row>
    <row r="1250" ht="11.25">
      <c r="S1250" s="21"/>
    </row>
    <row r="1251" ht="11.25">
      <c r="S1251" s="21"/>
    </row>
    <row r="1252" ht="11.25">
      <c r="S1252" s="21"/>
    </row>
    <row r="1253" ht="11.25">
      <c r="S1253" s="21"/>
    </row>
    <row r="1254" ht="11.25">
      <c r="S1254" s="21"/>
    </row>
    <row r="1255" ht="11.25">
      <c r="S1255" s="21"/>
    </row>
    <row r="1256" ht="11.25">
      <c r="S1256" s="21"/>
    </row>
    <row r="1257" ht="11.25">
      <c r="S1257" s="21"/>
    </row>
    <row r="1258" ht="11.25">
      <c r="S1258" s="21"/>
    </row>
    <row r="1259" ht="11.25">
      <c r="S1259" s="21"/>
    </row>
    <row r="1260" ht="11.25">
      <c r="S1260" s="21"/>
    </row>
    <row r="1261" ht="11.25">
      <c r="S1261" s="21"/>
    </row>
    <row r="1262" ht="11.25">
      <c r="S1262" s="21"/>
    </row>
    <row r="1263" ht="11.25">
      <c r="S1263" s="21"/>
    </row>
    <row r="1264" ht="11.25">
      <c r="S1264" s="21"/>
    </row>
    <row r="1265" ht="11.25">
      <c r="S1265" s="21"/>
    </row>
    <row r="1266" ht="11.25">
      <c r="S1266" s="21"/>
    </row>
    <row r="1267" ht="11.25">
      <c r="S1267" s="21"/>
    </row>
    <row r="1268" ht="11.25">
      <c r="S1268" s="21"/>
    </row>
    <row r="1269" ht="11.25">
      <c r="S1269" s="21"/>
    </row>
    <row r="1270" ht="11.25">
      <c r="S1270" s="21"/>
    </row>
    <row r="1271" ht="11.25">
      <c r="S1271" s="21"/>
    </row>
    <row r="1272" ht="11.25">
      <c r="S1272" s="21"/>
    </row>
    <row r="1273" ht="11.25">
      <c r="S1273" s="21"/>
    </row>
    <row r="1274" ht="11.25">
      <c r="S1274" s="21"/>
    </row>
    <row r="1275" ht="11.25">
      <c r="S1275" s="21"/>
    </row>
    <row r="1276" ht="11.25">
      <c r="S1276" s="21"/>
    </row>
    <row r="1277" ht="11.25">
      <c r="S1277" s="21"/>
    </row>
    <row r="1278" ht="11.25">
      <c r="S1278" s="21"/>
    </row>
    <row r="1279" ht="11.25">
      <c r="S1279" s="21"/>
    </row>
    <row r="1280" ht="11.25">
      <c r="S1280" s="21"/>
    </row>
    <row r="1281" ht="11.25">
      <c r="S1281" s="21"/>
    </row>
    <row r="1282" ht="11.25">
      <c r="S1282" s="21"/>
    </row>
    <row r="1283" ht="11.25">
      <c r="S1283" s="21"/>
    </row>
    <row r="1284" ht="11.25">
      <c r="S1284" s="21"/>
    </row>
    <row r="1285" ht="11.25">
      <c r="S1285" s="21"/>
    </row>
    <row r="1286" ht="11.25">
      <c r="S1286" s="21"/>
    </row>
    <row r="1287" ht="11.25">
      <c r="S1287" s="21"/>
    </row>
    <row r="1288" ht="11.25">
      <c r="S1288" s="21"/>
    </row>
    <row r="1289" ht="11.25">
      <c r="S1289" s="21"/>
    </row>
    <row r="1290" ht="11.25">
      <c r="S1290" s="21"/>
    </row>
    <row r="1291" ht="11.25">
      <c r="S1291" s="21"/>
    </row>
    <row r="1292" ht="11.25">
      <c r="S1292" s="21"/>
    </row>
    <row r="1293" ht="11.25">
      <c r="S1293" s="21"/>
    </row>
    <row r="1294" ht="11.25">
      <c r="S1294" s="21"/>
    </row>
    <row r="1295" ht="11.25">
      <c r="S1295" s="21"/>
    </row>
    <row r="1296" ht="11.25">
      <c r="S1296" s="21"/>
    </row>
    <row r="1297" ht="11.25">
      <c r="S1297" s="21"/>
    </row>
    <row r="1298" ht="11.25">
      <c r="S1298" s="21"/>
    </row>
    <row r="1299" ht="11.25">
      <c r="S1299" s="21"/>
    </row>
    <row r="1300" ht="11.25">
      <c r="S1300" s="21"/>
    </row>
    <row r="1301" ht="11.25">
      <c r="S1301" s="21"/>
    </row>
    <row r="1302" ht="11.25">
      <c r="S1302" s="21"/>
    </row>
    <row r="1303" ht="11.25">
      <c r="S1303" s="21"/>
    </row>
    <row r="1304" ht="11.25">
      <c r="S1304" s="21"/>
    </row>
    <row r="1305" ht="11.25">
      <c r="S1305" s="21"/>
    </row>
    <row r="1306" ht="11.25">
      <c r="S1306" s="21"/>
    </row>
    <row r="1307" ht="11.25">
      <c r="S1307" s="21"/>
    </row>
    <row r="1308" ht="11.25">
      <c r="S1308" s="21"/>
    </row>
    <row r="1309" ht="11.25">
      <c r="S1309" s="21"/>
    </row>
    <row r="1310" ht="11.25">
      <c r="S1310" s="21"/>
    </row>
    <row r="1311" ht="11.25">
      <c r="S1311" s="21"/>
    </row>
    <row r="1312" ht="11.25">
      <c r="S1312" s="21"/>
    </row>
    <row r="1313" ht="11.25">
      <c r="S1313" s="21"/>
    </row>
    <row r="1314" ht="11.25">
      <c r="S1314" s="21"/>
    </row>
    <row r="1315" ht="11.25">
      <c r="S1315" s="21"/>
    </row>
    <row r="1316" ht="11.25">
      <c r="S1316" s="21"/>
    </row>
    <row r="1317" ht="11.25">
      <c r="S1317" s="21"/>
    </row>
    <row r="1318" ht="11.25">
      <c r="S1318" s="21"/>
    </row>
    <row r="1319" ht="11.25">
      <c r="S1319" s="21"/>
    </row>
    <row r="1320" ht="11.25">
      <c r="S1320" s="21"/>
    </row>
    <row r="1321" ht="11.25">
      <c r="S1321" s="21"/>
    </row>
    <row r="1322" ht="11.25">
      <c r="S1322" s="21"/>
    </row>
    <row r="1323" ht="11.25">
      <c r="S1323" s="21"/>
    </row>
    <row r="1324" ht="11.25">
      <c r="S1324" s="21"/>
    </row>
    <row r="1325" ht="11.25">
      <c r="S1325" s="21"/>
    </row>
    <row r="1326" ht="11.25">
      <c r="S1326" s="21"/>
    </row>
    <row r="1327" ht="11.25">
      <c r="S1327" s="21"/>
    </row>
    <row r="1328" ht="11.25">
      <c r="S1328" s="21"/>
    </row>
    <row r="1329" ht="11.25">
      <c r="S1329" s="21"/>
    </row>
    <row r="1330" ht="11.25">
      <c r="S1330" s="21"/>
    </row>
    <row r="1331" ht="11.25">
      <c r="S1331" s="21"/>
    </row>
    <row r="1332" ht="11.25">
      <c r="S1332" s="21"/>
    </row>
    <row r="1333" ht="11.25">
      <c r="S1333" s="21"/>
    </row>
    <row r="1334" ht="11.25">
      <c r="S1334" s="21"/>
    </row>
    <row r="1335" ht="11.25">
      <c r="S1335" s="21"/>
    </row>
    <row r="1336" ht="11.25">
      <c r="S1336" s="21"/>
    </row>
    <row r="1337" ht="11.25">
      <c r="S1337" s="21"/>
    </row>
    <row r="1338" ht="11.25">
      <c r="S1338" s="21"/>
    </row>
    <row r="1339" ht="11.25">
      <c r="S1339" s="21"/>
    </row>
    <row r="1340" ht="11.25">
      <c r="S1340" s="21"/>
    </row>
    <row r="1341" ht="11.25">
      <c r="S1341" s="21"/>
    </row>
    <row r="1342" ht="11.25">
      <c r="S1342" s="21"/>
    </row>
    <row r="1343" ht="11.25">
      <c r="S1343" s="21"/>
    </row>
    <row r="1344" ht="11.25">
      <c r="S1344" s="21"/>
    </row>
    <row r="1345" ht="11.25">
      <c r="S1345" s="21"/>
    </row>
    <row r="1346" ht="11.25">
      <c r="S1346" s="21"/>
    </row>
    <row r="1347" ht="11.25">
      <c r="S1347" s="21"/>
    </row>
    <row r="1348" ht="11.25">
      <c r="S1348" s="21"/>
    </row>
    <row r="1349" ht="11.25">
      <c r="S1349" s="21"/>
    </row>
    <row r="1350" ht="11.25">
      <c r="S1350" s="21"/>
    </row>
    <row r="1351" ht="11.25">
      <c r="S1351" s="21"/>
    </row>
    <row r="1352" ht="11.25">
      <c r="S1352" s="21"/>
    </row>
    <row r="1353" ht="11.25">
      <c r="S1353" s="21"/>
    </row>
    <row r="1354" ht="11.25">
      <c r="S1354" s="21"/>
    </row>
    <row r="1355" ht="11.25">
      <c r="S1355" s="21"/>
    </row>
    <row r="1356" ht="11.25">
      <c r="S1356" s="21"/>
    </row>
    <row r="1357" ht="11.25">
      <c r="S1357" s="21"/>
    </row>
    <row r="1358" ht="11.25">
      <c r="S1358" s="21"/>
    </row>
    <row r="1359" ht="11.25">
      <c r="S1359" s="21"/>
    </row>
    <row r="1360" ht="11.25">
      <c r="S1360" s="21"/>
    </row>
    <row r="1361" ht="11.25">
      <c r="S1361" s="21"/>
    </row>
    <row r="1362" ht="11.25">
      <c r="S1362" s="21"/>
    </row>
    <row r="1363" ht="11.25">
      <c r="S1363" s="21"/>
    </row>
    <row r="1364" ht="11.25">
      <c r="S1364" s="21"/>
    </row>
    <row r="1365" ht="11.25">
      <c r="S1365" s="21"/>
    </row>
    <row r="1366" ht="11.25">
      <c r="S1366" s="21"/>
    </row>
    <row r="1367" ht="11.25">
      <c r="S1367" s="21"/>
    </row>
    <row r="1368" ht="11.25">
      <c r="S1368" s="21"/>
    </row>
    <row r="1369" ht="11.25">
      <c r="S1369" s="21"/>
    </row>
    <row r="1370" ht="11.25">
      <c r="S1370" s="21"/>
    </row>
    <row r="1371" ht="11.25">
      <c r="S1371" s="21"/>
    </row>
    <row r="1372" ht="11.25">
      <c r="S1372" s="21"/>
    </row>
    <row r="1373" ht="11.25">
      <c r="S1373" s="21"/>
    </row>
    <row r="1374" ht="11.25">
      <c r="S1374" s="21"/>
    </row>
    <row r="1375" ht="11.25">
      <c r="S1375" s="21"/>
    </row>
    <row r="1376" ht="11.25">
      <c r="S1376" s="21"/>
    </row>
    <row r="1377" ht="11.25">
      <c r="S1377" s="21"/>
    </row>
    <row r="1378" ht="11.25">
      <c r="S1378" s="21"/>
    </row>
    <row r="1379" ht="11.25">
      <c r="S1379" s="21"/>
    </row>
    <row r="1380" ht="11.25">
      <c r="S1380" s="21"/>
    </row>
    <row r="1381" ht="11.25">
      <c r="S1381" s="21"/>
    </row>
    <row r="1382" ht="11.25">
      <c r="S1382" s="21"/>
    </row>
    <row r="1383" ht="11.25">
      <c r="S1383" s="21"/>
    </row>
    <row r="1384" ht="11.25">
      <c r="S1384" s="21"/>
    </row>
    <row r="1385" ht="11.25">
      <c r="S1385" s="21"/>
    </row>
    <row r="1386" ht="11.25">
      <c r="S1386" s="21"/>
    </row>
    <row r="1387" ht="11.25">
      <c r="S1387" s="21"/>
    </row>
    <row r="1388" ht="11.25">
      <c r="S1388" s="21"/>
    </row>
    <row r="1389" ht="11.25">
      <c r="S1389" s="21"/>
    </row>
    <row r="1390" ht="11.25">
      <c r="S1390" s="21"/>
    </row>
    <row r="1391" ht="11.25">
      <c r="S1391" s="21"/>
    </row>
    <row r="1392" ht="11.25">
      <c r="S1392" s="21"/>
    </row>
    <row r="1393" ht="11.25">
      <c r="S1393" s="21"/>
    </row>
    <row r="1394" ht="11.25">
      <c r="S1394" s="21"/>
    </row>
    <row r="1395" ht="11.25">
      <c r="S1395" s="21"/>
    </row>
    <row r="1396" ht="11.25">
      <c r="S1396" s="21"/>
    </row>
    <row r="1397" ht="11.25">
      <c r="S1397" s="21"/>
    </row>
    <row r="1398" ht="11.25">
      <c r="S1398" s="21"/>
    </row>
    <row r="1399" ht="11.25">
      <c r="S1399" s="21"/>
    </row>
    <row r="1400" ht="11.25">
      <c r="S1400" s="21"/>
    </row>
    <row r="1401" ht="11.25">
      <c r="S1401" s="21"/>
    </row>
    <row r="1402" ht="11.25">
      <c r="S1402" s="21"/>
    </row>
    <row r="1403" ht="11.25">
      <c r="S1403" s="21"/>
    </row>
    <row r="1404" ht="11.25">
      <c r="S1404" s="21"/>
    </row>
    <row r="1405" ht="11.25">
      <c r="S1405" s="21"/>
    </row>
    <row r="1406" ht="11.25">
      <c r="S1406" s="21"/>
    </row>
    <row r="1407" ht="11.25">
      <c r="S1407" s="21"/>
    </row>
    <row r="1408" ht="11.25">
      <c r="S1408" s="21"/>
    </row>
    <row r="1409" ht="11.25">
      <c r="S1409" s="21"/>
    </row>
    <row r="1410" ht="11.25">
      <c r="S1410" s="21"/>
    </row>
    <row r="1411" ht="11.25">
      <c r="S1411" s="21"/>
    </row>
    <row r="1412" ht="11.25">
      <c r="S1412" s="21"/>
    </row>
    <row r="1413" ht="11.25">
      <c r="S1413" s="21"/>
    </row>
    <row r="1414" ht="11.25">
      <c r="S1414" s="21"/>
    </row>
    <row r="1415" ht="11.25">
      <c r="S1415" s="21"/>
    </row>
    <row r="1416" ht="11.25">
      <c r="S1416" s="21"/>
    </row>
    <row r="1417" ht="11.25">
      <c r="S1417" s="21"/>
    </row>
    <row r="1418" ht="11.25">
      <c r="S1418" s="21"/>
    </row>
    <row r="1419" ht="11.25">
      <c r="S1419" s="21"/>
    </row>
    <row r="1420" ht="11.25">
      <c r="S1420" s="21"/>
    </row>
    <row r="1421" ht="11.25">
      <c r="S1421" s="21"/>
    </row>
    <row r="1422" ht="11.25">
      <c r="S1422" s="21"/>
    </row>
    <row r="1423" ht="11.25">
      <c r="S1423" s="21"/>
    </row>
    <row r="1424" ht="11.25">
      <c r="S1424" s="21"/>
    </row>
    <row r="1425" ht="11.25">
      <c r="S1425" s="21"/>
    </row>
    <row r="1426" ht="11.25">
      <c r="S1426" s="21"/>
    </row>
    <row r="1427" ht="11.25">
      <c r="S1427" s="21"/>
    </row>
    <row r="1428" ht="11.25">
      <c r="S1428" s="21"/>
    </row>
    <row r="1429" ht="11.25">
      <c r="S1429" s="21"/>
    </row>
    <row r="1430" ht="11.25">
      <c r="S1430" s="21"/>
    </row>
    <row r="1431" ht="11.25">
      <c r="S1431" s="21"/>
    </row>
    <row r="1432" ht="11.25">
      <c r="S1432" s="21"/>
    </row>
    <row r="1433" ht="11.25">
      <c r="S1433" s="21"/>
    </row>
    <row r="1434" ht="11.25">
      <c r="S1434" s="21"/>
    </row>
    <row r="1435" ht="11.25">
      <c r="S1435" s="21"/>
    </row>
    <row r="1436" ht="11.25">
      <c r="S1436" s="21"/>
    </row>
    <row r="1437" ht="11.25">
      <c r="S1437" s="21"/>
    </row>
    <row r="1438" ht="11.25">
      <c r="S1438" s="21"/>
    </row>
    <row r="1439" ht="11.25">
      <c r="S1439" s="21"/>
    </row>
    <row r="1440" ht="11.25">
      <c r="S1440" s="21"/>
    </row>
    <row r="1441" ht="11.25">
      <c r="S1441" s="21"/>
    </row>
    <row r="1442" ht="11.25">
      <c r="S1442" s="21"/>
    </row>
    <row r="1443" ht="11.25">
      <c r="S1443" s="21"/>
    </row>
    <row r="1444" ht="11.25">
      <c r="S1444" s="21"/>
    </row>
    <row r="1445" ht="11.25">
      <c r="S1445" s="21"/>
    </row>
    <row r="1446" ht="11.25">
      <c r="S1446" s="21"/>
    </row>
    <row r="1447" ht="11.25">
      <c r="S1447" s="21"/>
    </row>
    <row r="1448" ht="11.25">
      <c r="S1448" s="21"/>
    </row>
    <row r="1449" ht="11.25">
      <c r="S1449" s="21"/>
    </row>
    <row r="1450" ht="11.25">
      <c r="S1450" s="21"/>
    </row>
    <row r="1451" ht="11.25">
      <c r="S1451" s="21"/>
    </row>
    <row r="1452" ht="11.25">
      <c r="S1452" s="21"/>
    </row>
    <row r="1453" ht="11.25">
      <c r="S1453" s="21"/>
    </row>
    <row r="1454" ht="11.25">
      <c r="S1454" s="21"/>
    </row>
    <row r="1455" ht="11.25">
      <c r="S1455" s="21"/>
    </row>
    <row r="1456" ht="11.25">
      <c r="S1456" s="21"/>
    </row>
    <row r="1457" ht="11.25">
      <c r="S1457" s="21"/>
    </row>
    <row r="1458" ht="11.25">
      <c r="S1458" s="21"/>
    </row>
    <row r="1459" ht="11.25">
      <c r="S1459" s="21"/>
    </row>
    <row r="1460" ht="11.25">
      <c r="S1460" s="21"/>
    </row>
    <row r="1461" ht="11.25">
      <c r="S1461" s="21"/>
    </row>
    <row r="1462" ht="11.25">
      <c r="S1462" s="21"/>
    </row>
    <row r="1463" ht="11.25">
      <c r="S1463" s="21"/>
    </row>
    <row r="1464" ht="11.25">
      <c r="S1464" s="21"/>
    </row>
    <row r="1465" ht="11.25">
      <c r="S1465" s="21"/>
    </row>
    <row r="1466" ht="11.25">
      <c r="S1466" s="21"/>
    </row>
    <row r="1467" ht="11.25">
      <c r="S1467" s="21"/>
    </row>
    <row r="1468" ht="11.25">
      <c r="S1468" s="21"/>
    </row>
    <row r="1469" ht="11.25">
      <c r="S1469" s="21"/>
    </row>
    <row r="1470" ht="11.25">
      <c r="S1470" s="21"/>
    </row>
    <row r="1471" ht="11.25">
      <c r="S1471" s="21"/>
    </row>
    <row r="1472" ht="11.25">
      <c r="S1472" s="21"/>
    </row>
    <row r="1473" ht="11.25">
      <c r="S1473" s="21"/>
    </row>
    <row r="1474" ht="11.25">
      <c r="S1474" s="21"/>
    </row>
    <row r="1475" ht="11.25">
      <c r="S1475" s="21"/>
    </row>
    <row r="1476" ht="11.25">
      <c r="S1476" s="21"/>
    </row>
    <row r="1477" ht="11.25">
      <c r="S1477" s="21"/>
    </row>
    <row r="1478" ht="11.25">
      <c r="S1478" s="21"/>
    </row>
    <row r="1479" ht="11.25">
      <c r="S1479" s="21"/>
    </row>
    <row r="1480" ht="11.25">
      <c r="S1480" s="21"/>
    </row>
    <row r="1481" ht="11.25">
      <c r="S1481" s="21"/>
    </row>
    <row r="1482" ht="11.25">
      <c r="S1482" s="21"/>
    </row>
    <row r="1483" ht="11.25">
      <c r="S1483" s="21"/>
    </row>
    <row r="1484" ht="11.25">
      <c r="S1484" s="21"/>
    </row>
    <row r="1485" ht="11.25">
      <c r="S1485" s="21"/>
    </row>
    <row r="1486" ht="11.25">
      <c r="S1486" s="21"/>
    </row>
    <row r="1487" ht="11.25">
      <c r="S1487" s="21"/>
    </row>
    <row r="1488" ht="11.25">
      <c r="S1488" s="21"/>
    </row>
    <row r="1489" ht="11.25">
      <c r="S1489" s="21"/>
    </row>
    <row r="1490" ht="11.25">
      <c r="S1490" s="21"/>
    </row>
    <row r="1491" ht="11.25">
      <c r="S1491" s="21"/>
    </row>
    <row r="1492" ht="11.25">
      <c r="S1492" s="21"/>
    </row>
    <row r="1493" ht="11.25">
      <c r="S1493" s="21"/>
    </row>
    <row r="1494" ht="11.25">
      <c r="S1494" s="21"/>
    </row>
    <row r="1495" ht="11.25">
      <c r="S1495" s="21"/>
    </row>
    <row r="1496" ht="11.25">
      <c r="S1496" s="21"/>
    </row>
    <row r="1497" ht="11.25">
      <c r="S1497" s="21"/>
    </row>
    <row r="1498" ht="11.25">
      <c r="S1498" s="21"/>
    </row>
    <row r="1499" ht="11.25">
      <c r="S1499" s="21"/>
    </row>
    <row r="1500" ht="11.25">
      <c r="S1500" s="21"/>
    </row>
    <row r="1501" ht="11.25">
      <c r="S1501" s="21"/>
    </row>
    <row r="1502" ht="11.25">
      <c r="S1502" s="21"/>
    </row>
    <row r="1503" ht="11.25">
      <c r="S1503" s="21"/>
    </row>
    <row r="1504" ht="11.25">
      <c r="S1504" s="21"/>
    </row>
    <row r="1505" ht="11.25">
      <c r="S1505" s="21"/>
    </row>
    <row r="1506" ht="11.25">
      <c r="S1506" s="21"/>
    </row>
    <row r="1507" ht="11.25">
      <c r="S1507" s="21"/>
    </row>
    <row r="1508" ht="11.25">
      <c r="S1508" s="21"/>
    </row>
    <row r="1509" ht="11.25">
      <c r="S1509" s="21"/>
    </row>
    <row r="1510" ht="11.25">
      <c r="S1510" s="21"/>
    </row>
    <row r="1511" ht="11.25">
      <c r="S1511" s="21"/>
    </row>
    <row r="1512" ht="11.25">
      <c r="S1512" s="21"/>
    </row>
    <row r="1513" ht="11.25">
      <c r="S1513" s="21"/>
    </row>
    <row r="1514" ht="11.25">
      <c r="S1514" s="21"/>
    </row>
    <row r="1515" ht="11.25">
      <c r="S1515" s="21"/>
    </row>
    <row r="1516" ht="11.25">
      <c r="S1516" s="21"/>
    </row>
    <row r="1517" ht="11.25">
      <c r="S1517" s="21"/>
    </row>
    <row r="1518" ht="11.25">
      <c r="S1518" s="21"/>
    </row>
    <row r="1519" ht="11.25">
      <c r="S1519" s="21"/>
    </row>
    <row r="1520" ht="11.25">
      <c r="S1520" s="21"/>
    </row>
    <row r="1521" ht="11.25">
      <c r="S1521" s="21"/>
    </row>
    <row r="1522" ht="11.25">
      <c r="S1522" s="21"/>
    </row>
    <row r="1523" ht="11.25">
      <c r="S1523" s="21"/>
    </row>
    <row r="1524" ht="11.25">
      <c r="S1524" s="21"/>
    </row>
    <row r="1525" ht="11.25">
      <c r="S1525" s="21"/>
    </row>
    <row r="1526" ht="11.25">
      <c r="S1526" s="21"/>
    </row>
    <row r="1527" ht="11.25">
      <c r="S1527" s="21"/>
    </row>
    <row r="1528" ht="11.25">
      <c r="S1528" s="21"/>
    </row>
    <row r="1529" ht="11.25">
      <c r="S1529" s="21"/>
    </row>
    <row r="1530" ht="11.25">
      <c r="S1530" s="21"/>
    </row>
    <row r="1531" ht="11.25">
      <c r="S1531" s="21"/>
    </row>
    <row r="1532" ht="11.25">
      <c r="S1532" s="21"/>
    </row>
    <row r="1533" ht="11.25">
      <c r="S1533" s="21"/>
    </row>
    <row r="1534" ht="11.25">
      <c r="S1534" s="21"/>
    </row>
    <row r="1535" ht="11.25">
      <c r="S1535" s="21"/>
    </row>
    <row r="1536" ht="11.25">
      <c r="S1536" s="21"/>
    </row>
    <row r="1537" ht="11.25">
      <c r="S1537" s="21"/>
    </row>
    <row r="1538" ht="11.25">
      <c r="S1538" s="21"/>
    </row>
    <row r="1539" ht="11.25">
      <c r="S1539" s="21"/>
    </row>
    <row r="1540" ht="11.25">
      <c r="S1540" s="21"/>
    </row>
    <row r="1541" ht="11.25">
      <c r="S1541" s="21"/>
    </row>
    <row r="1542" ht="11.25">
      <c r="S1542" s="21"/>
    </row>
    <row r="1543" ht="11.25">
      <c r="S1543" s="21"/>
    </row>
    <row r="1544" ht="11.25">
      <c r="S1544" s="21"/>
    </row>
    <row r="1545" ht="11.25">
      <c r="S1545" s="21"/>
    </row>
    <row r="1546" ht="11.25">
      <c r="S1546" s="21"/>
    </row>
    <row r="1547" ht="11.25">
      <c r="S1547" s="21"/>
    </row>
    <row r="1548" ht="11.25">
      <c r="S1548" s="21"/>
    </row>
    <row r="1549" ht="11.25">
      <c r="S1549" s="21"/>
    </row>
    <row r="1550" ht="11.25">
      <c r="S1550" s="21"/>
    </row>
    <row r="1551" ht="11.25">
      <c r="S1551" s="21"/>
    </row>
    <row r="1552" ht="11.25">
      <c r="S1552" s="21"/>
    </row>
    <row r="1553" ht="11.25">
      <c r="S1553" s="21"/>
    </row>
    <row r="1554" ht="11.25">
      <c r="S1554" s="21"/>
    </row>
    <row r="1555" ht="11.25">
      <c r="S1555" s="21"/>
    </row>
    <row r="1556" ht="11.25">
      <c r="S1556" s="21"/>
    </row>
    <row r="1557" ht="11.25">
      <c r="S1557" s="21"/>
    </row>
    <row r="1558" ht="11.25">
      <c r="S1558" s="21"/>
    </row>
    <row r="1559" ht="11.25">
      <c r="S1559" s="21"/>
    </row>
    <row r="1560" ht="11.25">
      <c r="S1560" s="21"/>
    </row>
    <row r="1561" ht="11.25">
      <c r="S1561" s="21"/>
    </row>
    <row r="1562" ht="11.25">
      <c r="S1562" s="21"/>
    </row>
    <row r="1563" ht="11.25">
      <c r="S1563" s="21"/>
    </row>
    <row r="1564" ht="11.25">
      <c r="S1564" s="21"/>
    </row>
    <row r="1565" ht="11.25">
      <c r="S1565" s="21"/>
    </row>
    <row r="1566" ht="11.25">
      <c r="S1566" s="21"/>
    </row>
    <row r="1567" ht="11.25">
      <c r="S1567" s="21"/>
    </row>
    <row r="1568" ht="11.25">
      <c r="S1568" s="21"/>
    </row>
    <row r="1569" ht="11.25">
      <c r="S1569" s="21"/>
    </row>
    <row r="1570" ht="11.25">
      <c r="S1570" s="21"/>
    </row>
    <row r="1571" ht="11.25">
      <c r="S1571" s="21"/>
    </row>
    <row r="1572" ht="11.25">
      <c r="S1572" s="21"/>
    </row>
    <row r="1573" ht="11.25">
      <c r="S1573" s="21"/>
    </row>
    <row r="1574" ht="11.25">
      <c r="S1574" s="21"/>
    </row>
    <row r="1575" ht="11.25">
      <c r="S1575" s="21"/>
    </row>
    <row r="1576" ht="11.25">
      <c r="S1576" s="21"/>
    </row>
    <row r="1577" ht="11.25">
      <c r="S1577" s="21"/>
    </row>
    <row r="1578" ht="11.25">
      <c r="S1578" s="21"/>
    </row>
    <row r="1579" ht="11.25">
      <c r="S1579" s="21"/>
    </row>
    <row r="1580" ht="11.25">
      <c r="S1580" s="21"/>
    </row>
    <row r="1581" ht="11.25">
      <c r="S1581" s="21"/>
    </row>
    <row r="1582" ht="11.25">
      <c r="S1582" s="21"/>
    </row>
    <row r="1583" ht="11.25">
      <c r="S1583" s="21"/>
    </row>
    <row r="1584" ht="11.25">
      <c r="S1584" s="21"/>
    </row>
    <row r="1585" ht="11.25">
      <c r="S1585" s="21"/>
    </row>
    <row r="1586" ht="11.25">
      <c r="S1586" s="21"/>
    </row>
    <row r="1587" ht="11.25">
      <c r="S1587" s="21"/>
    </row>
    <row r="1588" ht="11.25">
      <c r="S1588" s="21"/>
    </row>
    <row r="1589" ht="11.25">
      <c r="S1589" s="21"/>
    </row>
    <row r="1590" ht="11.25">
      <c r="S1590" s="21"/>
    </row>
    <row r="1591" ht="11.25">
      <c r="S1591" s="21"/>
    </row>
    <row r="1592" ht="11.25">
      <c r="S1592" s="21"/>
    </row>
    <row r="1593" ht="11.25">
      <c r="S1593" s="21"/>
    </row>
    <row r="1594" ht="11.25">
      <c r="S1594" s="21"/>
    </row>
    <row r="1595" ht="11.25">
      <c r="S1595" s="21"/>
    </row>
    <row r="1596" ht="11.25">
      <c r="S1596" s="21"/>
    </row>
    <row r="1597" ht="11.25">
      <c r="S1597" s="21"/>
    </row>
    <row r="1598" ht="11.25">
      <c r="S1598" s="21"/>
    </row>
    <row r="1599" ht="11.25">
      <c r="S1599" s="21"/>
    </row>
    <row r="1600" ht="11.25">
      <c r="S1600" s="21"/>
    </row>
    <row r="1601" ht="11.25">
      <c r="S1601" s="21"/>
    </row>
    <row r="1602" ht="11.25">
      <c r="S1602" s="21"/>
    </row>
    <row r="1603" ht="11.25">
      <c r="S1603" s="21"/>
    </row>
    <row r="1604" ht="11.25">
      <c r="S1604" s="21"/>
    </row>
    <row r="1605" ht="11.25">
      <c r="S1605" s="21"/>
    </row>
    <row r="1606" ht="11.25">
      <c r="S1606" s="21"/>
    </row>
    <row r="1607" ht="11.25">
      <c r="S1607" s="21"/>
    </row>
    <row r="1608" ht="11.25">
      <c r="S1608" s="21"/>
    </row>
    <row r="1609" ht="11.25">
      <c r="S1609" s="21"/>
    </row>
    <row r="1610" ht="11.25">
      <c r="S1610" s="21"/>
    </row>
    <row r="1611" ht="11.25">
      <c r="S1611" s="21"/>
    </row>
    <row r="1612" ht="11.25">
      <c r="S1612" s="21"/>
    </row>
    <row r="1613" ht="11.25">
      <c r="S1613" s="21"/>
    </row>
    <row r="1614" ht="11.25">
      <c r="S1614" s="21"/>
    </row>
    <row r="1615" ht="11.25">
      <c r="S1615" s="21"/>
    </row>
    <row r="1616" ht="11.25">
      <c r="S1616" s="21"/>
    </row>
    <row r="1617" ht="11.25">
      <c r="S1617" s="21"/>
    </row>
    <row r="1618" ht="11.25">
      <c r="S1618" s="21"/>
    </row>
    <row r="1619" ht="11.25">
      <c r="S1619" s="21"/>
    </row>
    <row r="1620" ht="11.25">
      <c r="S1620" s="21"/>
    </row>
    <row r="1621" ht="11.25">
      <c r="S1621" s="21"/>
    </row>
    <row r="1622" ht="11.25">
      <c r="S1622" s="21"/>
    </row>
    <row r="1623" ht="11.25">
      <c r="S1623" s="21"/>
    </row>
    <row r="1624" ht="11.25">
      <c r="S1624" s="21"/>
    </row>
    <row r="1625" ht="11.25">
      <c r="S1625" s="21"/>
    </row>
    <row r="1626" ht="11.25">
      <c r="S1626" s="21"/>
    </row>
    <row r="1627" ht="11.25">
      <c r="S1627" s="21"/>
    </row>
    <row r="1628" ht="11.25">
      <c r="S1628" s="21"/>
    </row>
    <row r="1629" ht="11.25">
      <c r="S1629" s="21"/>
    </row>
    <row r="1630" ht="11.25">
      <c r="S1630" s="21"/>
    </row>
    <row r="1631" ht="11.25">
      <c r="S1631" s="21"/>
    </row>
    <row r="1632" ht="11.25">
      <c r="S1632" s="21"/>
    </row>
    <row r="1633" ht="11.25">
      <c r="S1633" s="21"/>
    </row>
    <row r="1634" ht="11.25">
      <c r="S1634" s="21"/>
    </row>
    <row r="1635" ht="11.25">
      <c r="S1635" s="21"/>
    </row>
    <row r="1636" ht="11.25">
      <c r="S1636" s="21"/>
    </row>
    <row r="1637" ht="11.25">
      <c r="S1637" s="21"/>
    </row>
    <row r="1638" ht="11.25">
      <c r="S1638" s="21"/>
    </row>
    <row r="1639" ht="11.25">
      <c r="S1639" s="21"/>
    </row>
    <row r="1640" ht="11.25">
      <c r="S1640" s="21"/>
    </row>
    <row r="1641" ht="11.25">
      <c r="S1641" s="21"/>
    </row>
    <row r="1642" ht="11.25">
      <c r="S1642" s="21"/>
    </row>
    <row r="1643" ht="11.25">
      <c r="S1643" s="21"/>
    </row>
    <row r="1644" ht="11.25">
      <c r="S1644" s="21"/>
    </row>
    <row r="1645" ht="11.25">
      <c r="S1645" s="21"/>
    </row>
    <row r="1646" ht="11.25">
      <c r="S1646" s="21"/>
    </row>
    <row r="1647" ht="11.25">
      <c r="S1647" s="21"/>
    </row>
    <row r="1648" ht="11.25">
      <c r="S1648" s="21"/>
    </row>
    <row r="1649" ht="11.25">
      <c r="S1649" s="21"/>
    </row>
    <row r="1650" ht="11.25">
      <c r="S1650" s="21"/>
    </row>
    <row r="1651" ht="11.25">
      <c r="S1651" s="21"/>
    </row>
    <row r="1652" ht="11.25">
      <c r="S1652" s="21"/>
    </row>
    <row r="1653" ht="11.25">
      <c r="S1653" s="21"/>
    </row>
    <row r="1654" ht="11.25">
      <c r="S1654" s="21"/>
    </row>
    <row r="1655" ht="11.25">
      <c r="S1655" s="21"/>
    </row>
    <row r="1656" ht="11.25">
      <c r="S1656" s="21"/>
    </row>
    <row r="1657" ht="11.25">
      <c r="S1657" s="21"/>
    </row>
    <row r="1658" ht="11.25">
      <c r="S1658" s="21"/>
    </row>
    <row r="1659" ht="11.25">
      <c r="S1659" s="21"/>
    </row>
    <row r="1660" ht="11.25">
      <c r="S1660" s="21"/>
    </row>
    <row r="1661" ht="11.25">
      <c r="S1661" s="21"/>
    </row>
    <row r="1662" ht="11.25">
      <c r="S1662" s="21"/>
    </row>
    <row r="1663" ht="11.25">
      <c r="S1663" s="21"/>
    </row>
    <row r="1664" ht="11.25">
      <c r="S1664" s="21"/>
    </row>
    <row r="1665" ht="11.25">
      <c r="S1665" s="21"/>
    </row>
    <row r="1666" ht="11.25">
      <c r="S1666" s="21"/>
    </row>
    <row r="1667" ht="11.25">
      <c r="S1667" s="21"/>
    </row>
    <row r="1668" ht="11.25">
      <c r="S1668" s="21"/>
    </row>
    <row r="1669" ht="11.25">
      <c r="S1669" s="21"/>
    </row>
    <row r="1670" ht="11.25">
      <c r="S1670" s="21"/>
    </row>
    <row r="1671" ht="11.25">
      <c r="S1671" s="21"/>
    </row>
    <row r="1672" ht="11.25">
      <c r="S1672" s="21"/>
    </row>
    <row r="1673" ht="11.25">
      <c r="S1673" s="21"/>
    </row>
    <row r="1674" ht="11.25">
      <c r="S1674" s="21"/>
    </row>
    <row r="1675" ht="11.25">
      <c r="S1675" s="21"/>
    </row>
    <row r="1676" ht="11.25">
      <c r="S1676" s="21"/>
    </row>
    <row r="1677" ht="11.25">
      <c r="S1677" s="21"/>
    </row>
    <row r="1678" ht="11.25">
      <c r="S1678" s="21"/>
    </row>
    <row r="1679" ht="11.25">
      <c r="S1679" s="21"/>
    </row>
    <row r="1680" ht="11.25">
      <c r="S1680" s="21"/>
    </row>
    <row r="1681" ht="11.25">
      <c r="S1681" s="21"/>
    </row>
    <row r="1682" ht="11.25">
      <c r="S1682" s="21"/>
    </row>
    <row r="1683" ht="11.25">
      <c r="S1683" s="21"/>
    </row>
    <row r="1684" ht="11.25">
      <c r="S1684" s="21"/>
    </row>
    <row r="1685" ht="11.25">
      <c r="S1685" s="21"/>
    </row>
    <row r="1686" ht="11.25">
      <c r="S1686" s="21"/>
    </row>
    <row r="1687" ht="11.25">
      <c r="S1687" s="21"/>
    </row>
    <row r="1688" ht="11.25">
      <c r="S1688" s="21"/>
    </row>
    <row r="1689" ht="11.25">
      <c r="S1689" s="21"/>
    </row>
    <row r="1690" ht="11.25">
      <c r="S1690" s="21"/>
    </row>
    <row r="1691" ht="11.25">
      <c r="S1691" s="21"/>
    </row>
    <row r="1692" ht="11.25">
      <c r="S1692" s="21"/>
    </row>
    <row r="1693" ht="11.25">
      <c r="S1693" s="21"/>
    </row>
    <row r="1694" ht="11.25">
      <c r="S1694" s="21"/>
    </row>
    <row r="1695" ht="11.25">
      <c r="S1695" s="21"/>
    </row>
    <row r="1696" ht="11.25">
      <c r="S1696" s="21"/>
    </row>
    <row r="1697" ht="11.25">
      <c r="S1697" s="21"/>
    </row>
    <row r="1698" ht="11.25">
      <c r="S1698" s="21"/>
    </row>
    <row r="1699" ht="11.25">
      <c r="S1699" s="21"/>
    </row>
    <row r="1700" ht="11.25">
      <c r="S1700" s="21"/>
    </row>
    <row r="1701" ht="11.25">
      <c r="S1701" s="21"/>
    </row>
    <row r="1702" ht="11.25">
      <c r="S1702" s="21"/>
    </row>
    <row r="1703" ht="11.25">
      <c r="S1703" s="21"/>
    </row>
    <row r="1704" ht="11.25">
      <c r="S1704" s="21"/>
    </row>
    <row r="1705" ht="11.25">
      <c r="S1705" s="21"/>
    </row>
    <row r="1706" ht="11.25">
      <c r="S1706" s="21"/>
    </row>
    <row r="1707" ht="11.25">
      <c r="S1707" s="21"/>
    </row>
    <row r="1708" ht="11.25">
      <c r="S1708" s="21"/>
    </row>
    <row r="1709" ht="11.25">
      <c r="S1709" s="21"/>
    </row>
    <row r="1710" ht="11.25">
      <c r="S1710" s="21"/>
    </row>
    <row r="1711" ht="11.25">
      <c r="S1711" s="21"/>
    </row>
    <row r="1712" ht="11.25">
      <c r="S1712" s="21"/>
    </row>
    <row r="1713" ht="11.25">
      <c r="S1713" s="21"/>
    </row>
    <row r="1714" ht="11.25">
      <c r="S1714" s="21"/>
    </row>
    <row r="1715" ht="11.25">
      <c r="S1715" s="21"/>
    </row>
    <row r="1716" ht="11.25">
      <c r="S1716" s="21"/>
    </row>
    <row r="1717" ht="11.25">
      <c r="S1717" s="21"/>
    </row>
    <row r="1718" ht="11.25">
      <c r="S1718" s="21"/>
    </row>
    <row r="1719" ht="11.25">
      <c r="S1719" s="21"/>
    </row>
    <row r="1720" ht="11.25">
      <c r="S1720" s="21"/>
    </row>
    <row r="1721" ht="11.25">
      <c r="S1721" s="21"/>
    </row>
    <row r="1722" ht="11.25">
      <c r="S1722" s="21"/>
    </row>
    <row r="1723" ht="11.25">
      <c r="S1723" s="21"/>
    </row>
    <row r="1724" ht="11.25">
      <c r="S1724" s="21"/>
    </row>
    <row r="1725" ht="11.25">
      <c r="S1725" s="21"/>
    </row>
    <row r="1726" ht="11.25">
      <c r="S1726" s="21"/>
    </row>
    <row r="1727" ht="11.25">
      <c r="S1727" s="21"/>
    </row>
    <row r="1728" ht="11.25">
      <c r="S1728" s="21"/>
    </row>
    <row r="1729" ht="11.25">
      <c r="S1729" s="21"/>
    </row>
    <row r="1730" ht="11.25">
      <c r="S1730" s="21"/>
    </row>
    <row r="1731" ht="11.25">
      <c r="S1731" s="21"/>
    </row>
    <row r="1732" ht="11.25">
      <c r="S1732" s="21"/>
    </row>
    <row r="1733" ht="11.25">
      <c r="S1733" s="21"/>
    </row>
    <row r="1734" ht="11.25">
      <c r="S1734" s="21"/>
    </row>
    <row r="1735" ht="11.25">
      <c r="S1735" s="21"/>
    </row>
    <row r="1736" ht="11.25">
      <c r="S1736" s="21"/>
    </row>
    <row r="1737" ht="11.25">
      <c r="S1737" s="21"/>
    </row>
    <row r="1738" ht="11.25">
      <c r="S1738" s="21"/>
    </row>
    <row r="1739" ht="11.25">
      <c r="S1739" s="21"/>
    </row>
    <row r="1740" ht="11.25">
      <c r="S1740" s="21"/>
    </row>
    <row r="1741" ht="11.25">
      <c r="S1741" s="21"/>
    </row>
    <row r="1742" ht="11.25">
      <c r="S1742" s="21"/>
    </row>
    <row r="1743" ht="11.25">
      <c r="S1743" s="21"/>
    </row>
    <row r="1744" ht="11.25">
      <c r="S1744" s="21"/>
    </row>
    <row r="1745" ht="11.25">
      <c r="S1745" s="21"/>
    </row>
    <row r="1746" ht="11.25">
      <c r="S1746" s="21"/>
    </row>
    <row r="1747" ht="11.25">
      <c r="S1747" s="21"/>
    </row>
    <row r="1748" ht="11.25">
      <c r="S1748" s="21"/>
    </row>
    <row r="1749" ht="11.25">
      <c r="S1749" s="21"/>
    </row>
    <row r="1750" ht="11.25">
      <c r="S1750" s="21"/>
    </row>
    <row r="1751" ht="11.25">
      <c r="S1751" s="21"/>
    </row>
    <row r="1752" ht="11.25">
      <c r="S1752" s="21"/>
    </row>
    <row r="1753" ht="11.25">
      <c r="S1753" s="21"/>
    </row>
    <row r="1754" ht="11.25">
      <c r="S1754" s="21"/>
    </row>
    <row r="1755" ht="11.25">
      <c r="S1755" s="21"/>
    </row>
    <row r="1756" ht="11.25">
      <c r="S1756" s="21"/>
    </row>
    <row r="1757" ht="11.25">
      <c r="S1757" s="21"/>
    </row>
    <row r="1758" ht="11.25">
      <c r="S1758" s="21"/>
    </row>
    <row r="1759" ht="11.25">
      <c r="S1759" s="21"/>
    </row>
    <row r="1760" ht="11.25">
      <c r="S1760" s="21"/>
    </row>
    <row r="1761" ht="11.25">
      <c r="S1761" s="21"/>
    </row>
    <row r="1762" ht="11.25">
      <c r="S1762" s="21"/>
    </row>
    <row r="1763" ht="11.25">
      <c r="S1763" s="21"/>
    </row>
    <row r="1764" ht="11.25">
      <c r="S1764" s="21"/>
    </row>
    <row r="1765" ht="11.25">
      <c r="S1765" s="21"/>
    </row>
    <row r="1766" ht="11.25">
      <c r="S1766" s="21"/>
    </row>
    <row r="1767" ht="11.25">
      <c r="S1767" s="21"/>
    </row>
    <row r="1768" ht="11.25">
      <c r="S1768" s="21"/>
    </row>
    <row r="1769" ht="11.25">
      <c r="S1769" s="21"/>
    </row>
    <row r="1770" ht="11.25">
      <c r="S1770" s="21"/>
    </row>
    <row r="1771" ht="11.25">
      <c r="S1771" s="21"/>
    </row>
    <row r="1772" ht="11.25">
      <c r="S1772" s="21"/>
    </row>
    <row r="1773" ht="11.25">
      <c r="S1773" s="21"/>
    </row>
    <row r="1774" ht="11.25">
      <c r="S1774" s="21"/>
    </row>
    <row r="1775" ht="11.25">
      <c r="S1775" s="21"/>
    </row>
    <row r="1776" ht="11.25">
      <c r="S1776" s="21"/>
    </row>
    <row r="1777" ht="11.25">
      <c r="S1777" s="21"/>
    </row>
    <row r="1778" ht="11.25">
      <c r="S1778" s="21"/>
    </row>
    <row r="1779" ht="11.25">
      <c r="S1779" s="21"/>
    </row>
    <row r="1780" ht="11.25">
      <c r="S1780" s="21"/>
    </row>
    <row r="1781" ht="11.25">
      <c r="S1781" s="21"/>
    </row>
    <row r="1782" ht="11.25">
      <c r="S1782" s="21"/>
    </row>
    <row r="1783" ht="11.25">
      <c r="S1783" s="21"/>
    </row>
    <row r="1784" ht="11.25">
      <c r="S1784" s="21"/>
    </row>
    <row r="1785" ht="11.25">
      <c r="S1785" s="21"/>
    </row>
    <row r="1786" ht="11.25">
      <c r="S1786" s="21"/>
    </row>
    <row r="1787" ht="11.25">
      <c r="S1787" s="21"/>
    </row>
    <row r="1788" ht="11.25">
      <c r="S1788" s="21"/>
    </row>
    <row r="1789" ht="11.25">
      <c r="S1789" s="21"/>
    </row>
    <row r="1790" ht="11.25">
      <c r="S1790" s="21"/>
    </row>
    <row r="1791" ht="11.25">
      <c r="S1791" s="21"/>
    </row>
    <row r="1792" ht="11.25">
      <c r="S1792" s="21"/>
    </row>
    <row r="1793" ht="11.25">
      <c r="S1793" s="21"/>
    </row>
    <row r="1794" ht="11.25">
      <c r="S1794" s="21"/>
    </row>
    <row r="1795" ht="11.25">
      <c r="S1795" s="21"/>
    </row>
    <row r="1796" ht="11.25">
      <c r="S1796" s="21"/>
    </row>
    <row r="1797" ht="11.25">
      <c r="S1797" s="21"/>
    </row>
    <row r="1798" ht="11.25">
      <c r="S1798" s="21"/>
    </row>
    <row r="1799" ht="11.25">
      <c r="S1799" s="21"/>
    </row>
    <row r="1800" ht="11.25">
      <c r="S1800" s="21"/>
    </row>
    <row r="1801" ht="11.25">
      <c r="S1801" s="21"/>
    </row>
    <row r="1802" ht="11.25">
      <c r="S1802" s="21"/>
    </row>
    <row r="1803" ht="11.25">
      <c r="S1803" s="21"/>
    </row>
    <row r="1804" ht="11.25">
      <c r="S1804" s="21"/>
    </row>
    <row r="1805" ht="11.25">
      <c r="S1805" s="21"/>
    </row>
    <row r="1806" ht="11.25">
      <c r="S1806" s="21"/>
    </row>
    <row r="1807" ht="11.25">
      <c r="S1807" s="21"/>
    </row>
    <row r="1808" ht="11.25">
      <c r="S1808" s="21"/>
    </row>
    <row r="1809" ht="11.25">
      <c r="S1809" s="21"/>
    </row>
    <row r="1810" ht="11.25">
      <c r="S1810" s="21"/>
    </row>
    <row r="1811" ht="11.25">
      <c r="S1811" s="21"/>
    </row>
    <row r="1812" ht="11.25">
      <c r="S1812" s="21"/>
    </row>
    <row r="1813" ht="11.25">
      <c r="S1813" s="21"/>
    </row>
    <row r="1814" ht="11.25">
      <c r="S1814" s="21"/>
    </row>
    <row r="1815" ht="11.25">
      <c r="S1815" s="21"/>
    </row>
    <row r="1816" ht="11.25">
      <c r="S1816" s="21"/>
    </row>
    <row r="1817" ht="11.25">
      <c r="S1817" s="21"/>
    </row>
    <row r="1818" ht="11.25">
      <c r="S1818" s="21"/>
    </row>
    <row r="1819" ht="11.25">
      <c r="S1819" s="21"/>
    </row>
    <row r="1820" ht="11.25">
      <c r="S1820" s="21"/>
    </row>
    <row r="1821" ht="11.25">
      <c r="S1821" s="21"/>
    </row>
    <row r="1822" ht="11.25">
      <c r="S1822" s="21"/>
    </row>
    <row r="1823" ht="11.25">
      <c r="S1823" s="21"/>
    </row>
    <row r="1824" ht="11.25">
      <c r="S1824" s="21"/>
    </row>
    <row r="1825" ht="11.25">
      <c r="S1825" s="21"/>
    </row>
    <row r="1826" ht="11.25">
      <c r="S1826" s="21"/>
    </row>
    <row r="1827" ht="11.25">
      <c r="S1827" s="21"/>
    </row>
    <row r="1828" ht="11.25">
      <c r="S1828" s="21"/>
    </row>
    <row r="1829" ht="11.25">
      <c r="S1829" s="21"/>
    </row>
    <row r="1830" ht="11.25">
      <c r="S1830" s="21"/>
    </row>
    <row r="1831" ht="11.25">
      <c r="S1831" s="21"/>
    </row>
    <row r="1832" ht="11.25">
      <c r="S1832" s="21"/>
    </row>
    <row r="1833" ht="11.25">
      <c r="S1833" s="21"/>
    </row>
    <row r="1834" ht="11.25">
      <c r="S1834" s="21"/>
    </row>
    <row r="1835" ht="11.25">
      <c r="S1835" s="21"/>
    </row>
    <row r="1836" ht="11.25">
      <c r="S1836" s="21"/>
    </row>
    <row r="1837" ht="11.25">
      <c r="S1837" s="21"/>
    </row>
    <row r="1838" ht="11.25">
      <c r="S1838" s="21"/>
    </row>
    <row r="1839" ht="11.25">
      <c r="S1839" s="21"/>
    </row>
    <row r="1840" ht="11.25">
      <c r="S1840" s="21"/>
    </row>
    <row r="1841" ht="11.25">
      <c r="S1841" s="21"/>
    </row>
    <row r="1842" ht="11.25">
      <c r="S1842" s="21"/>
    </row>
    <row r="1843" ht="11.25">
      <c r="S1843" s="21"/>
    </row>
    <row r="1844" ht="11.25">
      <c r="S1844" s="21"/>
    </row>
    <row r="1845" ht="11.25">
      <c r="S1845" s="21"/>
    </row>
    <row r="1846" ht="11.25">
      <c r="S1846" s="21"/>
    </row>
    <row r="1847" ht="11.25">
      <c r="S1847" s="21"/>
    </row>
    <row r="1848" ht="11.25">
      <c r="S1848" s="21"/>
    </row>
    <row r="1849" ht="11.25">
      <c r="S1849" s="21"/>
    </row>
    <row r="1850" ht="11.25">
      <c r="S1850" s="21"/>
    </row>
    <row r="1851" ht="11.25">
      <c r="S1851" s="21"/>
    </row>
    <row r="1852" ht="11.25">
      <c r="S1852" s="21"/>
    </row>
    <row r="1853" ht="11.25">
      <c r="S1853" s="21"/>
    </row>
    <row r="1854" ht="11.25">
      <c r="S1854" s="21"/>
    </row>
    <row r="1855" ht="11.25">
      <c r="S1855" s="21"/>
    </row>
    <row r="1856" ht="11.25">
      <c r="S1856" s="21"/>
    </row>
    <row r="1857" ht="11.25">
      <c r="S1857" s="21"/>
    </row>
    <row r="1858" ht="11.25">
      <c r="S1858" s="21"/>
    </row>
    <row r="1859" ht="11.25">
      <c r="S1859" s="21"/>
    </row>
    <row r="1860" ht="11.25">
      <c r="S1860" s="21"/>
    </row>
    <row r="1861" ht="11.25">
      <c r="S1861" s="21"/>
    </row>
    <row r="1862" ht="11.25">
      <c r="S1862" s="21"/>
    </row>
    <row r="1863" ht="11.25">
      <c r="S1863" s="21"/>
    </row>
    <row r="1864" ht="11.25">
      <c r="S1864" s="21"/>
    </row>
    <row r="1865" ht="11.25">
      <c r="S1865" s="21"/>
    </row>
    <row r="1866" ht="11.25">
      <c r="S1866" s="21"/>
    </row>
    <row r="1867" ht="11.25">
      <c r="S1867" s="21"/>
    </row>
    <row r="1868" ht="11.25">
      <c r="S1868" s="21"/>
    </row>
    <row r="1869" ht="11.25">
      <c r="S1869" s="21"/>
    </row>
    <row r="1870" ht="11.25">
      <c r="S1870" s="21"/>
    </row>
    <row r="1871" ht="11.25">
      <c r="S1871" s="21"/>
    </row>
    <row r="1872" ht="11.25">
      <c r="S1872" s="21"/>
    </row>
    <row r="1873" ht="11.25">
      <c r="S1873" s="21"/>
    </row>
    <row r="1874" ht="11.25">
      <c r="S1874" s="21"/>
    </row>
    <row r="1875" ht="11.25">
      <c r="S1875" s="21"/>
    </row>
    <row r="1876" ht="11.25">
      <c r="S1876" s="21"/>
    </row>
    <row r="1877" ht="11.25">
      <c r="S1877" s="21"/>
    </row>
    <row r="1878" ht="11.25">
      <c r="S1878" s="21"/>
    </row>
    <row r="1879" ht="11.25">
      <c r="S1879" s="21"/>
    </row>
    <row r="1880" ht="11.25">
      <c r="S1880" s="21"/>
    </row>
    <row r="1881" ht="11.25">
      <c r="S1881" s="21"/>
    </row>
    <row r="1882" ht="11.25">
      <c r="S1882" s="21"/>
    </row>
    <row r="1883" ht="11.25">
      <c r="S1883" s="21"/>
    </row>
    <row r="1884" ht="11.25">
      <c r="S1884" s="21"/>
    </row>
    <row r="1885" ht="11.25">
      <c r="S1885" s="21"/>
    </row>
    <row r="1886" ht="11.25">
      <c r="S1886" s="21"/>
    </row>
    <row r="1887" ht="11.25">
      <c r="S1887" s="21"/>
    </row>
    <row r="1888" ht="11.25">
      <c r="S1888" s="21"/>
    </row>
    <row r="1889" ht="11.25">
      <c r="S1889" s="21"/>
    </row>
    <row r="1890" ht="11.25">
      <c r="S1890" s="21"/>
    </row>
    <row r="1891" ht="11.25">
      <c r="S1891" s="21"/>
    </row>
    <row r="1892" ht="11.25">
      <c r="S1892" s="21"/>
    </row>
    <row r="1893" ht="11.25">
      <c r="S1893" s="21"/>
    </row>
    <row r="1894" ht="11.25">
      <c r="S1894" s="21"/>
    </row>
    <row r="1895" ht="11.25">
      <c r="S1895" s="21"/>
    </row>
    <row r="1896" ht="11.25">
      <c r="S1896" s="21"/>
    </row>
    <row r="1897" ht="11.25">
      <c r="S1897" s="21"/>
    </row>
    <row r="1898" ht="11.25">
      <c r="S1898" s="21"/>
    </row>
    <row r="1899" ht="11.25">
      <c r="S1899" s="21"/>
    </row>
    <row r="1900" ht="11.25">
      <c r="S1900" s="21"/>
    </row>
    <row r="1901" ht="11.25">
      <c r="S1901" s="21"/>
    </row>
    <row r="1902" ht="11.25">
      <c r="S1902" s="21"/>
    </row>
    <row r="1903" ht="11.25">
      <c r="S1903" s="21"/>
    </row>
    <row r="1904" ht="11.25">
      <c r="S1904" s="21"/>
    </row>
    <row r="1905" ht="11.25">
      <c r="S1905" s="21"/>
    </row>
    <row r="1906" ht="11.25">
      <c r="S1906" s="21"/>
    </row>
    <row r="1907" ht="11.25">
      <c r="S1907" s="21"/>
    </row>
    <row r="1908" ht="11.25">
      <c r="S1908" s="21"/>
    </row>
    <row r="1909" ht="11.25">
      <c r="S1909" s="21"/>
    </row>
    <row r="1910" ht="11.25">
      <c r="S1910" s="21"/>
    </row>
    <row r="1911" ht="11.25">
      <c r="S1911" s="21"/>
    </row>
    <row r="1912" ht="11.25">
      <c r="S1912" s="21"/>
    </row>
    <row r="1913" ht="11.25">
      <c r="S1913" s="21"/>
    </row>
    <row r="1914" ht="11.25">
      <c r="S1914" s="21"/>
    </row>
    <row r="1915" ht="11.25">
      <c r="S1915" s="21"/>
    </row>
    <row r="1916" ht="11.25">
      <c r="S1916" s="21"/>
    </row>
    <row r="1917" ht="11.25">
      <c r="S1917" s="21"/>
    </row>
    <row r="1918" ht="11.25">
      <c r="S1918" s="21"/>
    </row>
    <row r="1919" ht="11.25">
      <c r="S1919" s="21"/>
    </row>
    <row r="1920" ht="11.25">
      <c r="S1920" s="21"/>
    </row>
    <row r="1921" ht="11.25">
      <c r="S1921" s="21"/>
    </row>
    <row r="1922" ht="11.25">
      <c r="S1922" s="21"/>
    </row>
    <row r="1923" ht="11.25">
      <c r="S1923" s="21"/>
    </row>
    <row r="1924" ht="11.25">
      <c r="S1924" s="21"/>
    </row>
    <row r="1925" ht="11.25">
      <c r="S1925" s="21"/>
    </row>
    <row r="1926" ht="11.25">
      <c r="S1926" s="21"/>
    </row>
    <row r="1927" ht="11.25">
      <c r="S1927" s="21"/>
    </row>
    <row r="1928" ht="11.25">
      <c r="S1928" s="21"/>
    </row>
    <row r="1929" ht="11.25">
      <c r="S1929" s="21"/>
    </row>
    <row r="1930" ht="11.25">
      <c r="S1930" s="21"/>
    </row>
    <row r="1931" ht="11.25">
      <c r="S1931" s="21"/>
    </row>
    <row r="1932" ht="11.25">
      <c r="S1932" s="21"/>
    </row>
    <row r="1933" ht="11.25">
      <c r="S1933" s="21"/>
    </row>
    <row r="1934" ht="11.25">
      <c r="S1934" s="21"/>
    </row>
    <row r="1935" ht="11.25">
      <c r="S1935" s="21"/>
    </row>
    <row r="1936" ht="11.25">
      <c r="S1936" s="21"/>
    </row>
    <row r="1937" ht="11.25">
      <c r="S1937" s="21"/>
    </row>
    <row r="1938" ht="11.25">
      <c r="S1938" s="21"/>
    </row>
    <row r="1939" ht="11.25">
      <c r="S1939" s="21"/>
    </row>
    <row r="1940" ht="11.25">
      <c r="S1940" s="21"/>
    </row>
    <row r="1941" ht="11.25">
      <c r="S1941" s="21"/>
    </row>
    <row r="1942" ht="11.25">
      <c r="S1942" s="21"/>
    </row>
    <row r="1943" ht="11.25">
      <c r="S1943" s="21"/>
    </row>
    <row r="1944" ht="11.25">
      <c r="S1944" s="21"/>
    </row>
    <row r="1945" ht="11.25">
      <c r="S1945" s="21"/>
    </row>
    <row r="1946" ht="11.25">
      <c r="S1946" s="21"/>
    </row>
    <row r="1947" ht="11.25">
      <c r="S1947" s="21"/>
    </row>
    <row r="1948" ht="11.25">
      <c r="S1948" s="21"/>
    </row>
    <row r="1949" ht="11.25">
      <c r="S1949" s="21"/>
    </row>
    <row r="1950" ht="11.25">
      <c r="S1950" s="21"/>
    </row>
    <row r="1951" ht="11.25">
      <c r="S1951" s="21"/>
    </row>
    <row r="1952" ht="11.25">
      <c r="S1952" s="21"/>
    </row>
    <row r="1953" ht="11.25">
      <c r="S1953" s="21"/>
    </row>
    <row r="1954" ht="11.25">
      <c r="S1954" s="21"/>
    </row>
    <row r="1955" ht="11.25">
      <c r="S1955" s="21"/>
    </row>
    <row r="1956" ht="11.25">
      <c r="S1956" s="21"/>
    </row>
    <row r="1957" ht="11.25">
      <c r="S1957" s="21"/>
    </row>
    <row r="1958" ht="11.25">
      <c r="S1958" s="21"/>
    </row>
    <row r="1959" ht="11.25">
      <c r="S1959" s="21"/>
    </row>
    <row r="1960" ht="11.25">
      <c r="S1960" s="21"/>
    </row>
    <row r="1961" ht="11.25">
      <c r="S1961" s="21"/>
    </row>
    <row r="1962" ht="11.25">
      <c r="S1962" s="21"/>
    </row>
    <row r="1963" ht="11.25">
      <c r="S1963" s="21"/>
    </row>
    <row r="1964" ht="11.25">
      <c r="S1964" s="21"/>
    </row>
    <row r="1965" ht="11.25">
      <c r="S1965" s="21"/>
    </row>
    <row r="1966" ht="11.25">
      <c r="S1966" s="21"/>
    </row>
    <row r="1967" ht="11.25">
      <c r="S1967" s="21"/>
    </row>
    <row r="1968" ht="11.25">
      <c r="S1968" s="21"/>
    </row>
    <row r="1969" ht="11.25">
      <c r="S1969" s="21"/>
    </row>
    <row r="1970" ht="11.25">
      <c r="S1970" s="21"/>
    </row>
    <row r="1971" ht="11.25">
      <c r="S1971" s="21"/>
    </row>
    <row r="1972" ht="11.25">
      <c r="S1972" s="21"/>
    </row>
    <row r="1973" ht="11.25">
      <c r="S1973" s="21"/>
    </row>
    <row r="1974" ht="11.25">
      <c r="S1974" s="21"/>
    </row>
    <row r="1975" ht="11.25">
      <c r="S1975" s="21"/>
    </row>
    <row r="1976" ht="11.25">
      <c r="S1976" s="21"/>
    </row>
    <row r="1977" ht="11.25">
      <c r="S1977" s="21"/>
    </row>
    <row r="1978" ht="11.25">
      <c r="S1978" s="21"/>
    </row>
    <row r="1979" ht="11.25">
      <c r="S1979" s="21"/>
    </row>
    <row r="1980" ht="11.25">
      <c r="S1980" s="21"/>
    </row>
    <row r="1981" ht="11.25">
      <c r="S1981" s="21"/>
    </row>
    <row r="1982" ht="11.25">
      <c r="S1982" s="21"/>
    </row>
    <row r="1983" ht="11.25">
      <c r="S1983" s="21"/>
    </row>
    <row r="1984" ht="11.25">
      <c r="S1984" s="21"/>
    </row>
    <row r="1985" ht="11.25">
      <c r="S1985" s="21"/>
    </row>
    <row r="1986" ht="11.25">
      <c r="S1986" s="21"/>
    </row>
    <row r="1987" ht="11.25">
      <c r="S1987" s="21"/>
    </row>
    <row r="1988" ht="11.25">
      <c r="S1988" s="21"/>
    </row>
    <row r="1989" ht="11.25">
      <c r="S1989" s="21"/>
    </row>
    <row r="1990" ht="11.25">
      <c r="S1990" s="21"/>
    </row>
    <row r="1991" ht="11.25">
      <c r="S1991" s="21"/>
    </row>
    <row r="1992" ht="11.25">
      <c r="S1992" s="21"/>
    </row>
    <row r="1993" ht="11.25">
      <c r="S1993" s="21"/>
    </row>
    <row r="1994" ht="11.25">
      <c r="S1994" s="21"/>
    </row>
    <row r="1995" ht="11.25">
      <c r="S1995" s="21"/>
    </row>
    <row r="1996" ht="11.25">
      <c r="S1996" s="21"/>
    </row>
    <row r="1997" ht="11.25">
      <c r="S1997" s="21"/>
    </row>
    <row r="1998" ht="11.25">
      <c r="S1998" s="21"/>
    </row>
    <row r="1999" ht="11.25">
      <c r="S1999" s="21"/>
    </row>
    <row r="2000" ht="11.25">
      <c r="S2000" s="21"/>
    </row>
    <row r="2001" ht="11.25">
      <c r="S2001" s="21"/>
    </row>
    <row r="2002" ht="11.25">
      <c r="S2002" s="21"/>
    </row>
    <row r="2003" ht="11.25">
      <c r="S2003" s="21"/>
    </row>
    <row r="2004" ht="11.25">
      <c r="S2004" s="21"/>
    </row>
    <row r="2005" ht="11.25">
      <c r="S2005" s="21"/>
    </row>
    <row r="2006" ht="11.25">
      <c r="S2006" s="21"/>
    </row>
    <row r="2007" ht="11.25">
      <c r="S2007" s="21"/>
    </row>
    <row r="2008" ht="11.25">
      <c r="S2008" s="21"/>
    </row>
    <row r="2009" ht="11.25">
      <c r="S2009" s="21"/>
    </row>
    <row r="2010" ht="11.25">
      <c r="S2010" s="21"/>
    </row>
    <row r="2011" ht="11.25">
      <c r="S2011" s="21"/>
    </row>
    <row r="2012" ht="11.25">
      <c r="S2012" s="21"/>
    </row>
    <row r="2013" ht="11.25">
      <c r="S2013" s="21"/>
    </row>
    <row r="2014" ht="11.25">
      <c r="S2014" s="21"/>
    </row>
    <row r="2015" ht="11.25">
      <c r="S2015" s="21"/>
    </row>
    <row r="2016" ht="11.25">
      <c r="S2016" s="21"/>
    </row>
    <row r="2017" ht="11.25">
      <c r="S2017" s="21"/>
    </row>
    <row r="2018" ht="11.25">
      <c r="S2018" s="21"/>
    </row>
    <row r="2019" ht="11.25">
      <c r="S2019" s="21"/>
    </row>
    <row r="2020" ht="11.25">
      <c r="S2020" s="21"/>
    </row>
    <row r="2021" ht="11.25">
      <c r="S2021" s="21"/>
    </row>
    <row r="2022" ht="11.25">
      <c r="S2022" s="21"/>
    </row>
    <row r="2023" ht="11.25">
      <c r="S2023" s="21"/>
    </row>
    <row r="2024" ht="11.25">
      <c r="S2024" s="21"/>
    </row>
    <row r="2025" ht="11.25">
      <c r="S2025" s="21"/>
    </row>
    <row r="2026" ht="11.25">
      <c r="S2026" s="21"/>
    </row>
    <row r="2027" ht="11.25">
      <c r="S2027" s="21"/>
    </row>
    <row r="2028" ht="11.25">
      <c r="S2028" s="21"/>
    </row>
    <row r="2029" ht="11.25">
      <c r="S2029" s="21"/>
    </row>
    <row r="2030" ht="11.25">
      <c r="S2030" s="21"/>
    </row>
    <row r="2031" ht="11.25">
      <c r="S2031" s="21"/>
    </row>
    <row r="2032" ht="11.25">
      <c r="S2032" s="21"/>
    </row>
    <row r="2033" ht="11.25">
      <c r="S2033" s="21"/>
    </row>
    <row r="2034" ht="11.25">
      <c r="S2034" s="21"/>
    </row>
    <row r="2035" ht="11.25">
      <c r="S2035" s="21"/>
    </row>
    <row r="2036" ht="11.25">
      <c r="S2036" s="21"/>
    </row>
    <row r="2037" ht="11.25">
      <c r="S2037" s="21"/>
    </row>
    <row r="2038" ht="11.25">
      <c r="S2038" s="21"/>
    </row>
    <row r="2039" ht="11.25">
      <c r="S2039" s="21"/>
    </row>
    <row r="2040" ht="11.25">
      <c r="S2040" s="21"/>
    </row>
    <row r="2041" ht="11.25">
      <c r="S2041" s="21"/>
    </row>
    <row r="2042" ht="11.25">
      <c r="S2042" s="21"/>
    </row>
    <row r="2043" ht="11.25">
      <c r="S2043" s="21"/>
    </row>
    <row r="2044" ht="11.25">
      <c r="S2044" s="21"/>
    </row>
    <row r="2045" ht="11.25">
      <c r="S2045" s="21"/>
    </row>
    <row r="2046" ht="11.25">
      <c r="S2046" s="21"/>
    </row>
    <row r="2047" ht="11.25">
      <c r="S2047" s="21"/>
    </row>
    <row r="2048" ht="11.25">
      <c r="S2048" s="21"/>
    </row>
    <row r="2049" ht="11.25">
      <c r="S2049" s="21"/>
    </row>
    <row r="2050" ht="11.25">
      <c r="S2050" s="21"/>
    </row>
    <row r="2051" ht="11.25">
      <c r="S2051" s="21"/>
    </row>
    <row r="2052" ht="11.25">
      <c r="S2052" s="21"/>
    </row>
    <row r="2053" ht="11.25">
      <c r="S2053" s="21"/>
    </row>
    <row r="2054" ht="11.25">
      <c r="S2054" s="21"/>
    </row>
    <row r="2055" ht="11.25">
      <c r="S2055" s="21"/>
    </row>
    <row r="2056" ht="11.25">
      <c r="S2056" s="21"/>
    </row>
    <row r="2057" ht="11.25">
      <c r="S2057" s="21"/>
    </row>
    <row r="2058" ht="11.25">
      <c r="S2058" s="21"/>
    </row>
    <row r="2059" ht="11.25">
      <c r="S2059" s="21"/>
    </row>
    <row r="2060" ht="11.25">
      <c r="S2060" s="21"/>
    </row>
    <row r="2061" ht="11.25">
      <c r="S2061" s="21"/>
    </row>
    <row r="2062" ht="11.25">
      <c r="S2062" s="21"/>
    </row>
    <row r="2063" ht="11.25">
      <c r="S2063" s="21"/>
    </row>
    <row r="2064" ht="11.25">
      <c r="S2064" s="21"/>
    </row>
    <row r="2065" ht="11.25">
      <c r="S2065" s="21"/>
    </row>
    <row r="2066" ht="11.25">
      <c r="S2066" s="21"/>
    </row>
    <row r="2067" ht="11.25">
      <c r="S2067" s="21"/>
    </row>
    <row r="2068" ht="11.25">
      <c r="S2068" s="21"/>
    </row>
    <row r="2069" ht="11.25">
      <c r="S2069" s="21"/>
    </row>
    <row r="2070" ht="11.25">
      <c r="S2070" s="21"/>
    </row>
    <row r="2071" ht="11.25">
      <c r="S2071" s="21"/>
    </row>
    <row r="2072" ht="11.25">
      <c r="S2072" s="21"/>
    </row>
    <row r="2073" ht="11.25">
      <c r="S2073" s="21"/>
    </row>
    <row r="2074" ht="11.25">
      <c r="S2074" s="21"/>
    </row>
    <row r="2075" ht="11.25">
      <c r="S2075" s="21"/>
    </row>
    <row r="2076" ht="11.25">
      <c r="S2076" s="21"/>
    </row>
    <row r="2077" ht="11.25">
      <c r="S2077" s="21"/>
    </row>
    <row r="2078" ht="11.25">
      <c r="S2078" s="21"/>
    </row>
    <row r="2079" ht="11.25">
      <c r="S2079" s="21"/>
    </row>
    <row r="2080" ht="11.25">
      <c r="S2080" s="21"/>
    </row>
    <row r="2081" ht="11.25">
      <c r="S2081" s="21"/>
    </row>
    <row r="2082" ht="11.25">
      <c r="S2082" s="21"/>
    </row>
    <row r="2083" ht="11.25">
      <c r="S2083" s="21"/>
    </row>
    <row r="2084" ht="11.25">
      <c r="S2084" s="21"/>
    </row>
    <row r="2085" ht="11.25">
      <c r="S2085" s="21"/>
    </row>
    <row r="2086" ht="11.25">
      <c r="S2086" s="21"/>
    </row>
    <row r="2087" ht="11.25">
      <c r="S2087" s="21"/>
    </row>
    <row r="2088" ht="11.25">
      <c r="S2088" s="21"/>
    </row>
    <row r="2089" ht="11.25">
      <c r="S2089" s="21"/>
    </row>
    <row r="2090" ht="11.25">
      <c r="S2090" s="21"/>
    </row>
    <row r="2091" ht="11.25">
      <c r="S2091" s="21"/>
    </row>
    <row r="2092" ht="11.25">
      <c r="S2092" s="21"/>
    </row>
    <row r="2093" ht="11.25">
      <c r="S2093" s="21"/>
    </row>
    <row r="2094" ht="11.25">
      <c r="S2094" s="21"/>
    </row>
    <row r="2095" ht="11.25">
      <c r="S2095" s="21"/>
    </row>
    <row r="2096" ht="11.25">
      <c r="S2096" s="21"/>
    </row>
    <row r="2097" ht="11.25">
      <c r="S2097" s="21"/>
    </row>
    <row r="2098" ht="11.25">
      <c r="S2098" s="21"/>
    </row>
    <row r="2099" ht="11.25">
      <c r="S2099" s="21"/>
    </row>
    <row r="2100" ht="11.25">
      <c r="S2100" s="21"/>
    </row>
    <row r="2101" ht="11.25">
      <c r="S2101" s="21"/>
    </row>
    <row r="2102" ht="11.25">
      <c r="S2102" s="21"/>
    </row>
    <row r="2103" ht="11.25">
      <c r="S2103" s="21"/>
    </row>
    <row r="2104" ht="11.25">
      <c r="S2104" s="21"/>
    </row>
    <row r="2105" ht="11.25">
      <c r="S2105" s="21"/>
    </row>
    <row r="2106" ht="11.25">
      <c r="S2106" s="21"/>
    </row>
    <row r="2107" ht="11.25">
      <c r="S2107" s="21"/>
    </row>
    <row r="2108" ht="11.25">
      <c r="S2108" s="21"/>
    </row>
    <row r="2109" ht="11.25">
      <c r="S2109" s="21"/>
    </row>
    <row r="2110" ht="11.25">
      <c r="S2110" s="21"/>
    </row>
    <row r="2111" ht="11.25">
      <c r="S2111" s="21"/>
    </row>
    <row r="2112" ht="11.25">
      <c r="S2112" s="21"/>
    </row>
    <row r="2113" ht="11.25">
      <c r="S2113" s="21"/>
    </row>
    <row r="2114" ht="11.25">
      <c r="S2114" s="21"/>
    </row>
    <row r="2115" ht="11.25">
      <c r="S2115" s="21"/>
    </row>
    <row r="2116" ht="11.25">
      <c r="S2116" s="21"/>
    </row>
    <row r="2117" ht="11.25">
      <c r="S2117" s="21"/>
    </row>
    <row r="2118" ht="11.25">
      <c r="S2118" s="21"/>
    </row>
    <row r="2119" ht="11.25">
      <c r="S2119" s="21"/>
    </row>
    <row r="2120" ht="11.25">
      <c r="S2120" s="21"/>
    </row>
    <row r="2121" ht="11.25">
      <c r="S2121" s="21"/>
    </row>
    <row r="2122" ht="11.25">
      <c r="S2122" s="21"/>
    </row>
    <row r="2123" ht="11.25">
      <c r="S2123" s="21"/>
    </row>
    <row r="2124" ht="11.25">
      <c r="S2124" s="21"/>
    </row>
    <row r="2125" ht="11.25">
      <c r="S2125" s="21"/>
    </row>
    <row r="2126" ht="11.25">
      <c r="S2126" s="21"/>
    </row>
    <row r="2127" ht="11.25">
      <c r="S2127" s="21"/>
    </row>
    <row r="2128" ht="11.25">
      <c r="S2128" s="21"/>
    </row>
    <row r="2129" ht="11.25">
      <c r="S2129" s="21"/>
    </row>
    <row r="2130" ht="11.25">
      <c r="S2130" s="21"/>
    </row>
    <row r="2131" ht="11.25">
      <c r="S2131" s="21"/>
    </row>
    <row r="2132" ht="11.25">
      <c r="S2132" s="21"/>
    </row>
    <row r="2133" ht="11.25">
      <c r="S2133" s="21"/>
    </row>
    <row r="2134" ht="11.25">
      <c r="S2134" s="21"/>
    </row>
    <row r="2135" ht="11.25">
      <c r="S2135" s="21"/>
    </row>
    <row r="2136" ht="11.25">
      <c r="S2136" s="21"/>
    </row>
    <row r="2137" ht="11.25">
      <c r="S2137" s="21"/>
    </row>
    <row r="2138" ht="11.25">
      <c r="S2138" s="21"/>
    </row>
    <row r="2139" ht="11.25">
      <c r="S2139" s="21"/>
    </row>
    <row r="2140" ht="11.25">
      <c r="S2140" s="21"/>
    </row>
    <row r="2141" ht="11.25">
      <c r="S2141" s="21"/>
    </row>
    <row r="2142" ht="11.25">
      <c r="S2142" s="21"/>
    </row>
    <row r="2143" ht="11.25">
      <c r="S2143" s="21"/>
    </row>
    <row r="2144" ht="11.25">
      <c r="S2144" s="21"/>
    </row>
    <row r="2145" ht="11.25">
      <c r="S2145" s="21"/>
    </row>
    <row r="2146" ht="11.25">
      <c r="S2146" s="21"/>
    </row>
    <row r="2147" ht="11.25">
      <c r="S2147" s="21"/>
    </row>
    <row r="2148" ht="11.25">
      <c r="S2148" s="21"/>
    </row>
    <row r="2149" ht="11.25">
      <c r="S2149" s="21"/>
    </row>
    <row r="2150" ht="11.25">
      <c r="S2150" s="21"/>
    </row>
    <row r="2151" ht="11.25">
      <c r="S2151" s="21"/>
    </row>
    <row r="2152" ht="11.25">
      <c r="S2152" s="21"/>
    </row>
    <row r="2153" ht="11.25">
      <c r="S2153" s="21"/>
    </row>
    <row r="2154" ht="11.25">
      <c r="S2154" s="21"/>
    </row>
    <row r="2155" ht="11.25">
      <c r="S2155" s="21"/>
    </row>
    <row r="2156" ht="11.25">
      <c r="S2156" s="21"/>
    </row>
    <row r="2157" ht="11.25">
      <c r="S2157" s="21"/>
    </row>
    <row r="2158" ht="11.25">
      <c r="S2158" s="21"/>
    </row>
    <row r="2159" ht="11.25">
      <c r="S2159" s="21"/>
    </row>
    <row r="2160" ht="11.25">
      <c r="S2160" s="21"/>
    </row>
    <row r="2161" ht="11.25">
      <c r="S2161" s="21"/>
    </row>
    <row r="2162" ht="11.25">
      <c r="S2162" s="21"/>
    </row>
    <row r="2163" ht="11.25">
      <c r="S2163" s="21"/>
    </row>
    <row r="2164" ht="11.25">
      <c r="S2164" s="21"/>
    </row>
    <row r="2165" ht="11.25">
      <c r="S2165" s="21"/>
    </row>
    <row r="2166" ht="11.25">
      <c r="S2166" s="21"/>
    </row>
    <row r="2167" ht="11.25">
      <c r="S2167" s="21"/>
    </row>
    <row r="2168" ht="11.25">
      <c r="S2168" s="21"/>
    </row>
    <row r="2169" ht="11.25">
      <c r="S2169" s="21"/>
    </row>
    <row r="2170" ht="11.25">
      <c r="S2170" s="21"/>
    </row>
    <row r="2171" ht="11.25">
      <c r="S2171" s="21"/>
    </row>
    <row r="2172" ht="11.25">
      <c r="S2172" s="21"/>
    </row>
    <row r="2173" ht="11.25">
      <c r="S2173" s="21"/>
    </row>
    <row r="2174" ht="11.25">
      <c r="S2174" s="21"/>
    </row>
    <row r="2175" ht="11.25">
      <c r="S2175" s="21"/>
    </row>
    <row r="2176" ht="11.25">
      <c r="S2176" s="21"/>
    </row>
    <row r="2177" ht="11.25">
      <c r="S2177" s="21"/>
    </row>
    <row r="2178" ht="11.25">
      <c r="S2178" s="21"/>
    </row>
    <row r="2179" ht="11.25">
      <c r="S2179" s="21"/>
    </row>
    <row r="2180" ht="11.25">
      <c r="S2180" s="21"/>
    </row>
    <row r="2181" ht="11.25">
      <c r="S2181" s="21"/>
    </row>
    <row r="2182" ht="11.25">
      <c r="S2182" s="21"/>
    </row>
    <row r="2183" ht="11.25">
      <c r="S2183" s="21"/>
    </row>
    <row r="2184" ht="11.25">
      <c r="S2184" s="21"/>
    </row>
    <row r="2185" ht="11.25">
      <c r="S2185" s="21"/>
    </row>
    <row r="2186" ht="11.25">
      <c r="S2186" s="21"/>
    </row>
    <row r="2187" ht="11.25">
      <c r="S2187" s="21"/>
    </row>
    <row r="2188" ht="11.25">
      <c r="S2188" s="21"/>
    </row>
    <row r="2189" ht="11.25">
      <c r="S2189" s="21"/>
    </row>
    <row r="2190" ht="11.25">
      <c r="S2190" s="21"/>
    </row>
    <row r="2191" ht="11.25">
      <c r="S2191" s="21"/>
    </row>
    <row r="2192" ht="11.25">
      <c r="S2192" s="21"/>
    </row>
    <row r="2193" ht="11.25">
      <c r="S2193" s="21"/>
    </row>
    <row r="2194" ht="11.25">
      <c r="S2194" s="21"/>
    </row>
    <row r="2195" ht="11.25">
      <c r="S2195" s="21"/>
    </row>
    <row r="2196" ht="11.25">
      <c r="S2196" s="21"/>
    </row>
    <row r="2197" ht="11.25">
      <c r="S2197" s="21"/>
    </row>
    <row r="2198" ht="11.25">
      <c r="S2198" s="21"/>
    </row>
    <row r="2199" ht="11.25">
      <c r="S2199" s="21"/>
    </row>
    <row r="2200" ht="11.25">
      <c r="S2200" s="21"/>
    </row>
    <row r="2201" ht="11.25">
      <c r="S2201" s="21"/>
    </row>
    <row r="2202" ht="11.25">
      <c r="S2202" s="21"/>
    </row>
    <row r="2203" ht="11.25">
      <c r="S2203" s="21"/>
    </row>
    <row r="2204" ht="11.25">
      <c r="S2204" s="21"/>
    </row>
    <row r="2205" ht="11.25">
      <c r="S2205" s="21"/>
    </row>
    <row r="2206" ht="11.25">
      <c r="S2206" s="21"/>
    </row>
    <row r="2207" ht="11.25">
      <c r="S2207" s="21"/>
    </row>
    <row r="2208" ht="11.25">
      <c r="S2208" s="21"/>
    </row>
    <row r="2209" ht="11.25">
      <c r="S2209" s="21"/>
    </row>
    <row r="2210" ht="11.25">
      <c r="S2210" s="21"/>
    </row>
    <row r="2211" ht="11.25">
      <c r="S2211" s="21"/>
    </row>
    <row r="2212" ht="11.25">
      <c r="S2212" s="21"/>
    </row>
    <row r="2213" ht="11.25">
      <c r="S2213" s="21"/>
    </row>
    <row r="2214" ht="11.25">
      <c r="S2214" s="21"/>
    </row>
    <row r="2215" ht="11.25">
      <c r="S2215" s="21"/>
    </row>
    <row r="2216" ht="11.25">
      <c r="S2216" s="21"/>
    </row>
    <row r="2217" ht="11.25">
      <c r="S2217" s="21"/>
    </row>
    <row r="2218" ht="11.25">
      <c r="S2218" s="21"/>
    </row>
    <row r="2219" ht="11.25">
      <c r="S2219" s="21"/>
    </row>
    <row r="2220" ht="11.25">
      <c r="S2220" s="21"/>
    </row>
    <row r="2221" ht="11.25">
      <c r="S2221" s="21"/>
    </row>
    <row r="2222" ht="11.25">
      <c r="S2222" s="21"/>
    </row>
    <row r="2223" ht="11.25">
      <c r="S2223" s="21"/>
    </row>
    <row r="2224" ht="11.25">
      <c r="S2224" s="21"/>
    </row>
    <row r="2225" ht="11.25">
      <c r="S2225" s="21"/>
    </row>
    <row r="2226" ht="11.25">
      <c r="S2226" s="21"/>
    </row>
    <row r="2227" ht="11.25">
      <c r="S2227" s="21"/>
    </row>
    <row r="2228" ht="11.25">
      <c r="S2228" s="21"/>
    </row>
    <row r="2229" ht="11.25">
      <c r="S2229" s="21"/>
    </row>
    <row r="2230" ht="11.25">
      <c r="S2230" s="21"/>
    </row>
    <row r="2231" ht="11.25">
      <c r="S2231" s="21"/>
    </row>
    <row r="2232" ht="11.25">
      <c r="S2232" s="21"/>
    </row>
    <row r="2233" ht="11.25">
      <c r="S2233" s="21"/>
    </row>
    <row r="2234" ht="11.25">
      <c r="S2234" s="21"/>
    </row>
    <row r="2235" ht="11.25">
      <c r="S2235" s="21"/>
    </row>
    <row r="2236" ht="11.25">
      <c r="S2236" s="21"/>
    </row>
    <row r="2237" ht="11.25">
      <c r="S2237" s="21"/>
    </row>
    <row r="2238" ht="11.25">
      <c r="S2238" s="21"/>
    </row>
    <row r="2239" ht="11.25">
      <c r="S2239" s="21"/>
    </row>
    <row r="2240" ht="11.25">
      <c r="S2240" s="21"/>
    </row>
    <row r="2241" ht="11.25">
      <c r="S2241" s="21"/>
    </row>
    <row r="2242" ht="11.25">
      <c r="S2242" s="21"/>
    </row>
    <row r="2243" ht="11.25">
      <c r="S2243" s="21"/>
    </row>
    <row r="2244" ht="11.25">
      <c r="S2244" s="21"/>
    </row>
    <row r="2245" ht="11.25">
      <c r="S2245" s="21"/>
    </row>
    <row r="2246" ht="11.25">
      <c r="S2246" s="21"/>
    </row>
    <row r="2247" ht="11.25">
      <c r="S2247" s="21"/>
    </row>
    <row r="2248" ht="11.25">
      <c r="S2248" s="21"/>
    </row>
    <row r="2249" ht="11.25">
      <c r="S2249" s="21"/>
    </row>
    <row r="2250" ht="11.25">
      <c r="S2250" s="21"/>
    </row>
    <row r="2251" ht="11.25">
      <c r="S2251" s="21"/>
    </row>
    <row r="2252" ht="11.25">
      <c r="S2252" s="21"/>
    </row>
    <row r="2253" ht="11.25">
      <c r="S2253" s="21"/>
    </row>
    <row r="2254" ht="11.25">
      <c r="S2254" s="21"/>
    </row>
    <row r="2255" ht="11.25">
      <c r="S2255" s="21"/>
    </row>
    <row r="2256" ht="11.25">
      <c r="S2256" s="21"/>
    </row>
    <row r="2257" ht="11.25">
      <c r="S2257" s="21"/>
    </row>
    <row r="2258" ht="11.25">
      <c r="S2258" s="21"/>
    </row>
    <row r="2259" ht="11.25">
      <c r="S2259" s="21"/>
    </row>
    <row r="2260" ht="11.25">
      <c r="S2260" s="21"/>
    </row>
    <row r="2261" ht="11.25">
      <c r="S2261" s="21"/>
    </row>
    <row r="2262" ht="11.25">
      <c r="S2262" s="21"/>
    </row>
    <row r="2263" ht="11.25">
      <c r="S2263" s="21"/>
    </row>
    <row r="2264" ht="11.25">
      <c r="S2264" s="21"/>
    </row>
    <row r="2265" ht="11.25">
      <c r="S2265" s="21"/>
    </row>
    <row r="2266" ht="11.25">
      <c r="S2266" s="21"/>
    </row>
    <row r="2267" ht="11.25">
      <c r="S2267" s="21"/>
    </row>
    <row r="2268" ht="11.25">
      <c r="S2268" s="21"/>
    </row>
    <row r="2269" ht="11.25">
      <c r="S2269" s="21"/>
    </row>
    <row r="2270" ht="11.25">
      <c r="S2270" s="21"/>
    </row>
    <row r="2271" ht="11.25">
      <c r="S2271" s="21"/>
    </row>
    <row r="2272" ht="11.25">
      <c r="S2272" s="21"/>
    </row>
    <row r="2273" ht="11.25">
      <c r="S2273" s="21"/>
    </row>
    <row r="2274" ht="11.25">
      <c r="S2274" s="21"/>
    </row>
    <row r="2275" ht="11.25">
      <c r="S2275" s="21"/>
    </row>
    <row r="2276" ht="11.25">
      <c r="S2276" s="21"/>
    </row>
    <row r="2277" ht="11.25">
      <c r="S2277" s="21"/>
    </row>
    <row r="2278" ht="11.25">
      <c r="S2278" s="21"/>
    </row>
    <row r="2279" ht="11.25">
      <c r="S2279" s="21"/>
    </row>
    <row r="2280" ht="11.25">
      <c r="S2280" s="21"/>
    </row>
    <row r="2281" ht="11.25">
      <c r="S2281" s="21"/>
    </row>
    <row r="2282" ht="11.25">
      <c r="S2282" s="21"/>
    </row>
    <row r="2283" ht="11.25">
      <c r="S2283" s="21"/>
    </row>
    <row r="2284" ht="11.25">
      <c r="S2284" s="21"/>
    </row>
    <row r="2285" ht="11.25">
      <c r="S2285" s="21"/>
    </row>
    <row r="2286" ht="11.25">
      <c r="S2286" s="21"/>
    </row>
    <row r="2287" ht="11.25">
      <c r="S2287" s="21"/>
    </row>
    <row r="2288" ht="11.25">
      <c r="S2288" s="21"/>
    </row>
    <row r="2289" ht="11.25">
      <c r="S2289" s="21"/>
    </row>
    <row r="2290" ht="11.25">
      <c r="S2290" s="21"/>
    </row>
    <row r="2291" ht="11.25">
      <c r="S2291" s="21"/>
    </row>
    <row r="2292" ht="11.25">
      <c r="S2292" s="21"/>
    </row>
    <row r="2293" ht="11.25">
      <c r="S2293" s="21"/>
    </row>
    <row r="2294" ht="11.25">
      <c r="S2294" s="21"/>
    </row>
    <row r="2295" ht="11.25">
      <c r="S2295" s="21"/>
    </row>
    <row r="2296" ht="11.25">
      <c r="S2296" s="21"/>
    </row>
    <row r="2297" ht="11.25">
      <c r="S2297" s="21"/>
    </row>
    <row r="2298" ht="11.25">
      <c r="S2298" s="21"/>
    </row>
    <row r="2299" ht="11.25">
      <c r="S2299" s="21"/>
    </row>
    <row r="2300" ht="11.25">
      <c r="S2300" s="21"/>
    </row>
    <row r="2301" ht="11.25">
      <c r="S2301" s="21"/>
    </row>
    <row r="2302" ht="11.25">
      <c r="S2302" s="21"/>
    </row>
    <row r="2303" ht="11.25">
      <c r="S2303" s="21"/>
    </row>
    <row r="2304" ht="11.25">
      <c r="S2304" s="21"/>
    </row>
    <row r="2305" ht="11.25">
      <c r="S2305" s="21"/>
    </row>
    <row r="2306" ht="11.25">
      <c r="S2306" s="21"/>
    </row>
    <row r="2307" ht="11.25">
      <c r="S2307" s="21"/>
    </row>
    <row r="2308" ht="11.25">
      <c r="S2308" s="21"/>
    </row>
    <row r="2309" ht="11.25">
      <c r="S2309" s="21"/>
    </row>
    <row r="2310" ht="11.25">
      <c r="S2310" s="21"/>
    </row>
    <row r="2311" ht="11.25">
      <c r="S2311" s="21"/>
    </row>
    <row r="2312" ht="11.25">
      <c r="S2312" s="21"/>
    </row>
    <row r="2313" ht="11.25">
      <c r="S2313" s="21"/>
    </row>
    <row r="2314" ht="11.25">
      <c r="S2314" s="21"/>
    </row>
    <row r="2315" ht="11.25">
      <c r="S2315" s="21"/>
    </row>
    <row r="2316" ht="11.25">
      <c r="S2316" s="21"/>
    </row>
    <row r="2317" ht="11.25">
      <c r="S2317" s="21"/>
    </row>
    <row r="2318" ht="11.25">
      <c r="S2318" s="21"/>
    </row>
    <row r="2319" ht="11.25">
      <c r="S2319" s="21"/>
    </row>
    <row r="2320" ht="11.25">
      <c r="S2320" s="21"/>
    </row>
    <row r="2321" ht="11.25">
      <c r="S2321" s="21"/>
    </row>
    <row r="2322" ht="11.25">
      <c r="S2322" s="21"/>
    </row>
    <row r="2323" ht="11.25">
      <c r="S2323" s="21"/>
    </row>
    <row r="2324" ht="11.25">
      <c r="S2324" s="21"/>
    </row>
    <row r="2325" ht="11.25">
      <c r="S2325" s="21"/>
    </row>
    <row r="2326" ht="11.25">
      <c r="S2326" s="21"/>
    </row>
    <row r="2327" ht="11.25">
      <c r="S2327" s="21"/>
    </row>
    <row r="2328" ht="11.25">
      <c r="S2328" s="21"/>
    </row>
    <row r="2329" ht="11.25">
      <c r="S2329" s="21"/>
    </row>
    <row r="2330" ht="11.25">
      <c r="S2330" s="21"/>
    </row>
    <row r="2331" ht="11.25">
      <c r="S2331" s="21"/>
    </row>
    <row r="2332" ht="11.25">
      <c r="S2332" s="21"/>
    </row>
    <row r="2333" ht="11.25">
      <c r="S2333" s="21"/>
    </row>
    <row r="2334" ht="11.25">
      <c r="S2334" s="21"/>
    </row>
    <row r="2335" ht="11.25">
      <c r="S2335" s="21"/>
    </row>
    <row r="2336" ht="11.25">
      <c r="S2336" s="21"/>
    </row>
    <row r="2337" ht="11.25">
      <c r="S2337" s="21"/>
    </row>
    <row r="2338" ht="11.25">
      <c r="S2338" s="21"/>
    </row>
    <row r="2339" ht="11.25">
      <c r="S2339" s="21"/>
    </row>
    <row r="2340" ht="11.25">
      <c r="S2340" s="21"/>
    </row>
    <row r="2341" ht="11.25">
      <c r="S2341" s="21"/>
    </row>
    <row r="2342" ht="11.25">
      <c r="S2342" s="21"/>
    </row>
    <row r="2343" ht="11.25">
      <c r="S2343" s="21"/>
    </row>
    <row r="2344" ht="11.25">
      <c r="S2344" s="21"/>
    </row>
    <row r="2345" ht="11.25">
      <c r="S2345" s="21"/>
    </row>
    <row r="2346" ht="11.25">
      <c r="S2346" s="21"/>
    </row>
    <row r="2347" ht="11.25">
      <c r="S2347" s="21"/>
    </row>
    <row r="2348" ht="11.25">
      <c r="S2348" s="21"/>
    </row>
    <row r="2349" ht="11.25">
      <c r="S2349" s="21"/>
    </row>
    <row r="2350" ht="11.25">
      <c r="S2350" s="21"/>
    </row>
    <row r="2351" ht="11.25">
      <c r="S2351" s="21"/>
    </row>
    <row r="2352" ht="11.25">
      <c r="S2352" s="21"/>
    </row>
    <row r="2353" ht="11.25">
      <c r="S2353" s="21"/>
    </row>
    <row r="2354" ht="11.25">
      <c r="S2354" s="21"/>
    </row>
    <row r="2355" ht="11.25">
      <c r="S2355" s="21"/>
    </row>
    <row r="2356" ht="11.25">
      <c r="S2356" s="21"/>
    </row>
    <row r="2357" ht="11.25">
      <c r="S2357" s="21"/>
    </row>
    <row r="2358" ht="11.25">
      <c r="S2358" s="21"/>
    </row>
    <row r="2359" ht="11.25">
      <c r="S2359" s="21"/>
    </row>
    <row r="2360" ht="11.25">
      <c r="S2360" s="21"/>
    </row>
    <row r="2361" ht="11.25">
      <c r="S2361" s="21"/>
    </row>
    <row r="2362" ht="11.25">
      <c r="S2362" s="21"/>
    </row>
    <row r="2363" ht="11.25">
      <c r="S2363" s="21"/>
    </row>
    <row r="2364" ht="11.25">
      <c r="S2364" s="21"/>
    </row>
    <row r="2365" ht="11.25">
      <c r="S2365" s="21"/>
    </row>
    <row r="2366" ht="11.25">
      <c r="S2366" s="21"/>
    </row>
    <row r="2367" ht="11.25">
      <c r="S2367" s="21"/>
    </row>
    <row r="2368" ht="11.25">
      <c r="S2368" s="21"/>
    </row>
    <row r="2369" ht="11.25">
      <c r="S2369" s="21"/>
    </row>
    <row r="2370" ht="11.25">
      <c r="S2370" s="21"/>
    </row>
    <row r="2371" ht="11.25">
      <c r="S2371" s="21"/>
    </row>
    <row r="2372" ht="11.25">
      <c r="S2372" s="21"/>
    </row>
    <row r="2373" ht="11.25">
      <c r="S2373" s="21"/>
    </row>
    <row r="2374" ht="11.25">
      <c r="S2374" s="21"/>
    </row>
    <row r="2375" ht="11.25">
      <c r="S2375" s="21"/>
    </row>
    <row r="2376" ht="11.25">
      <c r="S2376" s="21"/>
    </row>
    <row r="2377" ht="11.25">
      <c r="S2377" s="21"/>
    </row>
    <row r="2378" ht="11.25">
      <c r="S2378" s="21"/>
    </row>
    <row r="2379" ht="11.25">
      <c r="S2379" s="21"/>
    </row>
    <row r="2380" ht="11.25">
      <c r="S2380" s="21"/>
    </row>
    <row r="2381" ht="11.25">
      <c r="S2381" s="21"/>
    </row>
    <row r="2382" ht="11.25">
      <c r="S2382" s="21"/>
    </row>
    <row r="2383" ht="11.25">
      <c r="S2383" s="21"/>
    </row>
    <row r="2384" ht="11.25">
      <c r="S2384" s="21"/>
    </row>
    <row r="2385" ht="11.25">
      <c r="S2385" s="21"/>
    </row>
    <row r="2386" ht="11.25">
      <c r="S2386" s="21"/>
    </row>
    <row r="2387" ht="11.25">
      <c r="S2387" s="21"/>
    </row>
    <row r="2388" ht="11.25">
      <c r="S2388" s="21"/>
    </row>
    <row r="2389" ht="11.25">
      <c r="S2389" s="21"/>
    </row>
    <row r="2390" ht="11.25">
      <c r="S2390" s="21"/>
    </row>
    <row r="2391" ht="11.25">
      <c r="S2391" s="21"/>
    </row>
    <row r="2392" ht="11.25">
      <c r="S2392" s="21"/>
    </row>
    <row r="2393" ht="11.25">
      <c r="S2393" s="21"/>
    </row>
    <row r="2394" ht="11.25">
      <c r="S2394" s="21"/>
    </row>
    <row r="2395" ht="11.25">
      <c r="S2395" s="21"/>
    </row>
    <row r="2396" ht="11.25">
      <c r="S2396" s="21"/>
    </row>
    <row r="2397" ht="11.25">
      <c r="S2397" s="21"/>
    </row>
    <row r="2398" ht="11.25">
      <c r="S2398" s="21"/>
    </row>
    <row r="2399" ht="11.25">
      <c r="S2399" s="21"/>
    </row>
    <row r="2400" ht="11.25">
      <c r="S2400" s="21"/>
    </row>
    <row r="2401" ht="11.25">
      <c r="S2401" s="21"/>
    </row>
    <row r="2402" ht="11.25">
      <c r="S2402" s="21"/>
    </row>
    <row r="2403" ht="11.25">
      <c r="S2403" s="21"/>
    </row>
    <row r="2404" ht="11.25">
      <c r="S2404" s="21"/>
    </row>
    <row r="2405" ht="11.25">
      <c r="S2405" s="21"/>
    </row>
    <row r="2406" ht="11.25">
      <c r="S2406" s="21"/>
    </row>
    <row r="2407" ht="11.25">
      <c r="S2407" s="21"/>
    </row>
    <row r="2408" ht="11.25">
      <c r="S2408" s="21"/>
    </row>
    <row r="2409" ht="11.25">
      <c r="S2409" s="21"/>
    </row>
    <row r="2410" ht="11.25">
      <c r="S2410" s="21"/>
    </row>
    <row r="2411" ht="11.25">
      <c r="S2411" s="21"/>
    </row>
    <row r="2412" ht="11.25">
      <c r="S2412" s="21"/>
    </row>
    <row r="2413" ht="11.25">
      <c r="S2413" s="21"/>
    </row>
    <row r="2414" ht="11.25">
      <c r="S2414" s="21"/>
    </row>
    <row r="2415" ht="11.25">
      <c r="S2415" s="21"/>
    </row>
    <row r="2416" ht="11.25">
      <c r="S2416" s="21"/>
    </row>
    <row r="2417" ht="11.25">
      <c r="S2417" s="21"/>
    </row>
    <row r="2418" ht="11.25">
      <c r="S2418" s="21"/>
    </row>
    <row r="2419" ht="11.25">
      <c r="S2419" s="21"/>
    </row>
    <row r="2420" ht="11.25">
      <c r="S2420" s="21"/>
    </row>
    <row r="2421" ht="11.25">
      <c r="S2421" s="21"/>
    </row>
    <row r="2422" ht="11.25">
      <c r="S2422" s="21"/>
    </row>
    <row r="2423" ht="11.25">
      <c r="S2423" s="21"/>
    </row>
    <row r="2424" ht="11.25">
      <c r="S2424" s="21"/>
    </row>
    <row r="2425" ht="11.25">
      <c r="S2425" s="21"/>
    </row>
    <row r="2426" ht="11.25">
      <c r="S2426" s="21"/>
    </row>
    <row r="2427" ht="11.25">
      <c r="S2427" s="21"/>
    </row>
    <row r="2428" ht="11.25">
      <c r="S2428" s="21"/>
    </row>
    <row r="2429" ht="11.25">
      <c r="S2429" s="21"/>
    </row>
    <row r="2430" ht="11.25">
      <c r="S2430" s="21"/>
    </row>
    <row r="2431" ht="11.25">
      <c r="S2431" s="21"/>
    </row>
    <row r="2432" ht="11.25">
      <c r="S2432" s="21"/>
    </row>
    <row r="2433" ht="11.25">
      <c r="S2433" s="21"/>
    </row>
    <row r="2434" ht="11.25">
      <c r="S2434" s="21"/>
    </row>
    <row r="2435" ht="11.25">
      <c r="S2435" s="21"/>
    </row>
    <row r="2436" ht="11.25">
      <c r="S2436" s="21"/>
    </row>
    <row r="2437" ht="11.25">
      <c r="S2437" s="21"/>
    </row>
    <row r="2438" ht="11.25">
      <c r="S2438" s="21"/>
    </row>
    <row r="2439" ht="11.25">
      <c r="S2439" s="21"/>
    </row>
    <row r="2440" ht="11.25">
      <c r="S2440" s="21"/>
    </row>
    <row r="2441" ht="11.25">
      <c r="S2441" s="21"/>
    </row>
    <row r="2442" ht="11.25">
      <c r="S2442" s="21"/>
    </row>
    <row r="2443" ht="11.25">
      <c r="S2443" s="21"/>
    </row>
    <row r="2444" ht="11.25">
      <c r="S2444" s="21"/>
    </row>
    <row r="2445" ht="11.25">
      <c r="S2445" s="21"/>
    </row>
    <row r="2446" ht="11.25">
      <c r="S2446" s="21"/>
    </row>
    <row r="2447" ht="11.25">
      <c r="S2447" s="21"/>
    </row>
    <row r="2448" ht="11.25">
      <c r="S2448" s="21"/>
    </row>
    <row r="2449" ht="11.25">
      <c r="S2449" s="21"/>
    </row>
    <row r="2450" ht="11.25">
      <c r="S2450" s="21"/>
    </row>
    <row r="2451" ht="11.25">
      <c r="S2451" s="21"/>
    </row>
    <row r="2452" ht="11.25">
      <c r="S2452" s="21"/>
    </row>
    <row r="2453" ht="11.25">
      <c r="S2453" s="21"/>
    </row>
    <row r="2454" ht="11.25">
      <c r="S2454" s="21"/>
    </row>
    <row r="2455" ht="11.25">
      <c r="S2455" s="21"/>
    </row>
    <row r="2456" ht="11.25">
      <c r="S2456" s="21"/>
    </row>
    <row r="2457" ht="11.25">
      <c r="S2457" s="21"/>
    </row>
    <row r="2458" ht="11.25">
      <c r="S2458" s="21"/>
    </row>
    <row r="2459" ht="11.25">
      <c r="S2459" s="21"/>
    </row>
    <row r="2460" ht="11.25">
      <c r="S2460" s="21"/>
    </row>
    <row r="2461" ht="11.25">
      <c r="S2461" s="21"/>
    </row>
    <row r="2462" ht="11.25">
      <c r="S2462" s="21"/>
    </row>
    <row r="2463" ht="11.25">
      <c r="S2463" s="21"/>
    </row>
    <row r="2464" ht="11.25">
      <c r="S2464" s="21"/>
    </row>
    <row r="2465" ht="11.25">
      <c r="S2465" s="21"/>
    </row>
    <row r="2466" ht="11.25">
      <c r="S2466" s="21"/>
    </row>
    <row r="2467" ht="11.25">
      <c r="S2467" s="21"/>
    </row>
    <row r="2468" ht="11.25">
      <c r="S2468" s="21"/>
    </row>
    <row r="2469" ht="11.25">
      <c r="S2469" s="21"/>
    </row>
    <row r="2470" ht="11.25">
      <c r="S2470" s="21"/>
    </row>
    <row r="2471" ht="11.25">
      <c r="S2471" s="21"/>
    </row>
    <row r="2472" ht="11.25">
      <c r="S2472" s="21"/>
    </row>
    <row r="2473" ht="11.25">
      <c r="S2473" s="21"/>
    </row>
    <row r="2474" ht="11.25">
      <c r="S2474" s="21"/>
    </row>
    <row r="2475" ht="11.25">
      <c r="S2475" s="21"/>
    </row>
    <row r="2476" ht="11.25">
      <c r="S2476" s="21"/>
    </row>
    <row r="2477" ht="11.25">
      <c r="S2477" s="21"/>
    </row>
    <row r="2478" ht="11.25">
      <c r="S2478" s="21"/>
    </row>
    <row r="2479" ht="11.25">
      <c r="S2479" s="21"/>
    </row>
    <row r="2480" ht="11.25">
      <c r="S2480" s="21"/>
    </row>
    <row r="2481" ht="11.25">
      <c r="S2481" s="21"/>
    </row>
    <row r="2482" ht="11.25">
      <c r="S2482" s="21"/>
    </row>
    <row r="2483" ht="11.25">
      <c r="S2483" s="21"/>
    </row>
    <row r="2484" ht="11.25">
      <c r="S2484" s="21"/>
    </row>
    <row r="2485" ht="11.25">
      <c r="S2485" s="21"/>
    </row>
    <row r="2486" ht="11.25">
      <c r="S2486" s="21"/>
    </row>
    <row r="2487" ht="11.25">
      <c r="S2487" s="21"/>
    </row>
    <row r="2488" ht="11.25">
      <c r="S2488" s="21"/>
    </row>
    <row r="2489" ht="11.25">
      <c r="S2489" s="21"/>
    </row>
    <row r="2490" ht="11.25">
      <c r="S2490" s="21"/>
    </row>
    <row r="2491" ht="11.25">
      <c r="S2491" s="21"/>
    </row>
    <row r="2492" ht="11.25">
      <c r="S2492" s="21"/>
    </row>
    <row r="2493" ht="11.25">
      <c r="S2493" s="21"/>
    </row>
    <row r="2494" ht="11.25">
      <c r="S2494" s="21"/>
    </row>
    <row r="2495" ht="11.25">
      <c r="S2495" s="21"/>
    </row>
    <row r="2496" ht="11.25">
      <c r="S2496" s="21"/>
    </row>
    <row r="2497" ht="11.25">
      <c r="S2497" s="21"/>
    </row>
    <row r="2498" ht="11.25">
      <c r="S2498" s="21"/>
    </row>
    <row r="2499" ht="11.25">
      <c r="S2499" s="21"/>
    </row>
    <row r="2500" ht="11.25">
      <c r="S2500" s="21"/>
    </row>
    <row r="2501" ht="11.25">
      <c r="S2501" s="21"/>
    </row>
    <row r="2502" ht="11.25">
      <c r="S2502" s="21"/>
    </row>
    <row r="2503" ht="11.25">
      <c r="S2503" s="21"/>
    </row>
    <row r="2504" ht="11.25">
      <c r="S2504" s="21"/>
    </row>
    <row r="2505" ht="11.25">
      <c r="S2505" s="21"/>
    </row>
    <row r="2506" ht="11.25">
      <c r="S2506" s="21"/>
    </row>
    <row r="2507" ht="11.25">
      <c r="S2507" s="21"/>
    </row>
    <row r="2508" ht="11.25">
      <c r="S2508" s="21"/>
    </row>
    <row r="2509" ht="11.25">
      <c r="S2509" s="21"/>
    </row>
    <row r="2510" ht="11.25">
      <c r="S2510" s="21"/>
    </row>
    <row r="2511" ht="11.25">
      <c r="S2511" s="21"/>
    </row>
    <row r="2512" ht="11.25">
      <c r="S2512" s="21"/>
    </row>
    <row r="2513" ht="11.25">
      <c r="S2513" s="21"/>
    </row>
    <row r="2514" ht="11.25">
      <c r="S2514" s="21"/>
    </row>
    <row r="2515" ht="11.25">
      <c r="S2515" s="21"/>
    </row>
    <row r="2516" ht="11.25">
      <c r="S2516" s="21"/>
    </row>
    <row r="2517" ht="11.25">
      <c r="S2517" s="21"/>
    </row>
    <row r="2518" ht="11.25">
      <c r="S2518" s="21"/>
    </row>
    <row r="2519" ht="11.25">
      <c r="S2519" s="21"/>
    </row>
    <row r="2520" ht="11.25">
      <c r="S2520" s="21"/>
    </row>
    <row r="2521" ht="11.25">
      <c r="S2521" s="21"/>
    </row>
    <row r="2522" ht="11.25">
      <c r="S2522" s="21"/>
    </row>
    <row r="2523" ht="11.25">
      <c r="S2523" s="21"/>
    </row>
    <row r="2524" ht="11.25">
      <c r="S2524" s="21"/>
    </row>
    <row r="2525" ht="11.25">
      <c r="S2525" s="21"/>
    </row>
    <row r="2526" ht="11.25">
      <c r="S2526" s="21"/>
    </row>
    <row r="2527" ht="11.25">
      <c r="S2527" s="21"/>
    </row>
    <row r="2528" ht="11.25">
      <c r="S2528" s="21"/>
    </row>
    <row r="2529" ht="11.25">
      <c r="S2529" s="21"/>
    </row>
    <row r="2530" ht="11.25">
      <c r="S2530" s="21"/>
    </row>
    <row r="2531" ht="11.25">
      <c r="S2531" s="21"/>
    </row>
    <row r="2532" ht="11.25">
      <c r="S2532" s="21"/>
    </row>
    <row r="2533" ht="11.25">
      <c r="S2533" s="21"/>
    </row>
    <row r="2534" ht="11.25">
      <c r="S2534" s="21"/>
    </row>
    <row r="2535" ht="11.25">
      <c r="S2535" s="21"/>
    </row>
    <row r="2536" ht="11.25">
      <c r="S2536" s="21"/>
    </row>
    <row r="2537" ht="11.25">
      <c r="S2537" s="21"/>
    </row>
    <row r="2538" ht="11.25">
      <c r="S2538" s="21"/>
    </row>
    <row r="2539" ht="11.25">
      <c r="S2539" s="21"/>
    </row>
    <row r="2540" ht="11.25">
      <c r="S2540" s="21"/>
    </row>
    <row r="2541" ht="11.25">
      <c r="S2541" s="21"/>
    </row>
    <row r="2542" ht="11.25">
      <c r="S2542" s="21"/>
    </row>
    <row r="2543" ht="11.25">
      <c r="S2543" s="21"/>
    </row>
    <row r="2544" ht="11.25">
      <c r="S2544" s="21"/>
    </row>
    <row r="2545" ht="11.25">
      <c r="S2545" s="21"/>
    </row>
    <row r="2546" ht="11.25">
      <c r="S2546" s="21"/>
    </row>
    <row r="2547" ht="11.25">
      <c r="S2547" s="21"/>
    </row>
    <row r="2548" ht="11.25">
      <c r="S2548" s="21"/>
    </row>
    <row r="2549" ht="11.25">
      <c r="S2549" s="21"/>
    </row>
    <row r="2550" ht="11.25">
      <c r="S2550" s="21"/>
    </row>
    <row r="2551" ht="11.25">
      <c r="S2551" s="21"/>
    </row>
    <row r="2552" ht="11.25">
      <c r="S2552" s="21"/>
    </row>
    <row r="2553" ht="11.25">
      <c r="S2553" s="21"/>
    </row>
    <row r="2554" ht="11.25">
      <c r="S2554" s="21"/>
    </row>
    <row r="2555" ht="11.25">
      <c r="S2555" s="21"/>
    </row>
    <row r="2556" ht="11.25">
      <c r="S2556" s="21"/>
    </row>
    <row r="2557" ht="11.25">
      <c r="S2557" s="21"/>
    </row>
    <row r="2558" ht="11.25">
      <c r="S2558" s="21"/>
    </row>
    <row r="2559" ht="11.25">
      <c r="S2559" s="21"/>
    </row>
    <row r="2560" ht="11.25">
      <c r="S2560" s="21"/>
    </row>
    <row r="2561" ht="11.25">
      <c r="S2561" s="21"/>
    </row>
    <row r="2562" ht="11.25">
      <c r="S2562" s="21"/>
    </row>
    <row r="2563" ht="11.25">
      <c r="S2563" s="21"/>
    </row>
    <row r="2564" ht="11.25">
      <c r="S2564" s="21"/>
    </row>
    <row r="2565" ht="11.25">
      <c r="S2565" s="21"/>
    </row>
    <row r="2566" ht="11.25">
      <c r="S2566" s="21"/>
    </row>
    <row r="2567" ht="11.25">
      <c r="S2567" s="21"/>
    </row>
    <row r="2568" ht="11.25">
      <c r="S2568" s="21"/>
    </row>
    <row r="2569" ht="11.25">
      <c r="S2569" s="21"/>
    </row>
    <row r="2570" ht="11.25">
      <c r="S2570" s="21"/>
    </row>
    <row r="2571" ht="11.25">
      <c r="S2571" s="21"/>
    </row>
    <row r="2572" ht="11.25">
      <c r="S2572" s="21"/>
    </row>
    <row r="2573" ht="11.25">
      <c r="S2573" s="21"/>
    </row>
    <row r="2574" ht="11.25">
      <c r="S2574" s="21"/>
    </row>
    <row r="2575" ht="11.25">
      <c r="S2575" s="21"/>
    </row>
    <row r="2576" ht="11.25">
      <c r="S2576" s="21"/>
    </row>
    <row r="2577" ht="11.25">
      <c r="S2577" s="21"/>
    </row>
    <row r="2578" ht="11.25">
      <c r="S2578" s="21"/>
    </row>
    <row r="2579" ht="11.25">
      <c r="S2579" s="21"/>
    </row>
    <row r="2580" ht="11.25">
      <c r="S2580" s="21"/>
    </row>
    <row r="2581" ht="11.25">
      <c r="S2581" s="21"/>
    </row>
    <row r="2582" ht="11.25">
      <c r="S2582" s="21"/>
    </row>
    <row r="2583" ht="11.25">
      <c r="S2583" s="21"/>
    </row>
    <row r="2584" ht="11.25">
      <c r="S2584" s="21"/>
    </row>
    <row r="2585" ht="11.25">
      <c r="S2585" s="21"/>
    </row>
    <row r="2586" ht="11.25">
      <c r="S2586" s="21"/>
    </row>
    <row r="2587" ht="11.25">
      <c r="S2587" s="21"/>
    </row>
    <row r="2588" ht="11.25">
      <c r="S2588" s="21"/>
    </row>
    <row r="2589" ht="11.25">
      <c r="S2589" s="21"/>
    </row>
    <row r="2590" ht="11.25">
      <c r="S2590" s="21"/>
    </row>
    <row r="2591" ht="11.25">
      <c r="S2591" s="21"/>
    </row>
    <row r="2592" ht="11.25">
      <c r="S2592" s="21"/>
    </row>
    <row r="2593" ht="11.25">
      <c r="S2593" s="21"/>
    </row>
    <row r="2594" ht="11.25">
      <c r="S2594" s="21"/>
    </row>
    <row r="2595" ht="11.25">
      <c r="S2595" s="21"/>
    </row>
    <row r="2596" ht="11.25">
      <c r="S2596" s="21"/>
    </row>
    <row r="2597" ht="11.25">
      <c r="S2597" s="21"/>
    </row>
    <row r="2598" ht="11.25">
      <c r="S2598" s="21"/>
    </row>
    <row r="2599" ht="11.25">
      <c r="S2599" s="21"/>
    </row>
    <row r="2600" ht="11.25">
      <c r="S2600" s="21"/>
    </row>
    <row r="2601" ht="11.25">
      <c r="S2601" s="21"/>
    </row>
    <row r="2602" ht="11.25">
      <c r="S2602" s="21"/>
    </row>
    <row r="2603" ht="11.25">
      <c r="S2603" s="21"/>
    </row>
    <row r="2604" ht="11.25">
      <c r="S2604" s="21"/>
    </row>
    <row r="2605" ht="11.25">
      <c r="S2605" s="21"/>
    </row>
    <row r="2606" ht="11.25">
      <c r="S2606" s="21"/>
    </row>
    <row r="2607" ht="11.25">
      <c r="S2607" s="21"/>
    </row>
    <row r="2608" ht="11.25">
      <c r="S2608" s="21"/>
    </row>
    <row r="2609" ht="11.25">
      <c r="S2609" s="21"/>
    </row>
    <row r="2610" ht="11.25">
      <c r="S2610" s="21"/>
    </row>
    <row r="2611" ht="11.25">
      <c r="S2611" s="21"/>
    </row>
    <row r="2612" ht="11.25">
      <c r="S2612" s="21"/>
    </row>
    <row r="2613" ht="11.25">
      <c r="S2613" s="21"/>
    </row>
    <row r="2614" ht="11.25">
      <c r="S2614" s="21"/>
    </row>
    <row r="2615" ht="11.25">
      <c r="S2615" s="21"/>
    </row>
    <row r="2616" ht="11.25">
      <c r="S2616" s="21"/>
    </row>
    <row r="2617" ht="11.25">
      <c r="S2617" s="21"/>
    </row>
    <row r="2618" ht="11.25">
      <c r="S2618" s="21"/>
    </row>
    <row r="2619" ht="11.25">
      <c r="S2619" s="21"/>
    </row>
    <row r="2620" ht="11.25">
      <c r="S2620" s="21"/>
    </row>
    <row r="2621" ht="11.25">
      <c r="S2621" s="21"/>
    </row>
    <row r="2622" ht="11.25">
      <c r="S2622" s="21"/>
    </row>
    <row r="2623" ht="11.25">
      <c r="S2623" s="21"/>
    </row>
    <row r="2624" ht="11.25">
      <c r="S2624" s="21"/>
    </row>
    <row r="2625" ht="11.25">
      <c r="S2625" s="21"/>
    </row>
    <row r="2626" ht="11.25">
      <c r="S2626" s="21"/>
    </row>
    <row r="2627" ht="11.25">
      <c r="S2627" s="21"/>
    </row>
    <row r="2628" ht="11.25">
      <c r="S2628" s="21"/>
    </row>
    <row r="2629" ht="11.25">
      <c r="S2629" s="21"/>
    </row>
    <row r="2630" ht="11.25">
      <c r="S2630" s="21"/>
    </row>
    <row r="2631" ht="11.25">
      <c r="S2631" s="21"/>
    </row>
    <row r="2632" ht="11.25">
      <c r="S2632" s="21"/>
    </row>
    <row r="2633" ht="11.25">
      <c r="S2633" s="21"/>
    </row>
    <row r="2634" ht="11.25">
      <c r="S2634" s="21"/>
    </row>
    <row r="2635" ht="11.25">
      <c r="S2635" s="21"/>
    </row>
    <row r="2636" ht="11.25">
      <c r="S2636" s="21"/>
    </row>
    <row r="2637" ht="11.25">
      <c r="S2637" s="21"/>
    </row>
    <row r="2638" ht="11.25">
      <c r="S2638" s="21"/>
    </row>
    <row r="2639" ht="11.25">
      <c r="S2639" s="21"/>
    </row>
    <row r="2640" ht="11.25">
      <c r="S2640" s="21"/>
    </row>
    <row r="2641" ht="11.25">
      <c r="S2641" s="21"/>
    </row>
    <row r="2642" ht="11.25">
      <c r="S2642" s="21"/>
    </row>
    <row r="2643" ht="11.25">
      <c r="S2643" s="21"/>
    </row>
    <row r="2644" ht="11.25">
      <c r="S2644" s="21"/>
    </row>
    <row r="2645" ht="11.25">
      <c r="S2645" s="21"/>
    </row>
    <row r="2646" ht="11.25">
      <c r="S2646" s="21"/>
    </row>
    <row r="2647" ht="11.25">
      <c r="S2647" s="21"/>
    </row>
    <row r="2648" ht="11.25">
      <c r="S2648" s="21"/>
    </row>
    <row r="2649" ht="11.25">
      <c r="S2649" s="21"/>
    </row>
    <row r="2650" ht="11.25">
      <c r="S2650" s="21"/>
    </row>
    <row r="2651" ht="11.25">
      <c r="S2651" s="21"/>
    </row>
    <row r="2652" ht="11.25">
      <c r="S2652" s="21"/>
    </row>
    <row r="2653" ht="11.25">
      <c r="S2653" s="21"/>
    </row>
    <row r="2654" ht="11.25">
      <c r="S2654" s="21"/>
    </row>
    <row r="2655" ht="11.25">
      <c r="S2655" s="21"/>
    </row>
    <row r="2656" ht="11.25">
      <c r="S2656" s="21"/>
    </row>
    <row r="2657" ht="11.25">
      <c r="S2657" s="21"/>
    </row>
    <row r="2658" ht="11.25">
      <c r="S2658" s="21"/>
    </row>
    <row r="2659" ht="11.25">
      <c r="S2659" s="21"/>
    </row>
    <row r="2660" ht="11.25">
      <c r="S2660" s="21"/>
    </row>
    <row r="2661" ht="11.25">
      <c r="S2661" s="21"/>
    </row>
    <row r="2662" ht="11.25">
      <c r="S2662" s="21"/>
    </row>
    <row r="2663" ht="11.25">
      <c r="S2663" s="21"/>
    </row>
    <row r="2664" ht="11.25">
      <c r="S2664" s="21"/>
    </row>
    <row r="2665" ht="11.25">
      <c r="S2665" s="21"/>
    </row>
    <row r="2666" ht="11.25">
      <c r="S2666" s="21"/>
    </row>
    <row r="2667" ht="11.25">
      <c r="S2667" s="21"/>
    </row>
    <row r="2668" ht="11.25">
      <c r="S2668" s="21"/>
    </row>
    <row r="2669" ht="11.25">
      <c r="S2669" s="21"/>
    </row>
    <row r="2670" ht="11.25">
      <c r="S2670" s="21"/>
    </row>
    <row r="2671" ht="11.25">
      <c r="S2671" s="21"/>
    </row>
    <row r="2672" ht="11.25">
      <c r="S2672" s="21"/>
    </row>
    <row r="2673" ht="11.25">
      <c r="S2673" s="21"/>
    </row>
    <row r="2674" ht="11.25">
      <c r="S2674" s="21"/>
    </row>
    <row r="2675" ht="11.25">
      <c r="S2675" s="21"/>
    </row>
    <row r="2676" ht="11.25">
      <c r="S2676" s="21"/>
    </row>
    <row r="2677" ht="11.25">
      <c r="S2677" s="21"/>
    </row>
    <row r="2678" ht="11.25">
      <c r="S2678" s="21"/>
    </row>
    <row r="2679" ht="11.25">
      <c r="S2679" s="21"/>
    </row>
    <row r="2680" ht="11.25">
      <c r="S2680" s="21"/>
    </row>
    <row r="2681" ht="11.25">
      <c r="S2681" s="21"/>
    </row>
    <row r="2682" ht="11.25">
      <c r="S2682" s="21"/>
    </row>
    <row r="2683" ht="11.25">
      <c r="S2683" s="21"/>
    </row>
    <row r="2684" ht="11.25">
      <c r="S2684" s="21"/>
    </row>
    <row r="2685" ht="11.25">
      <c r="S2685" s="21"/>
    </row>
    <row r="2686" ht="11.25">
      <c r="S2686" s="21"/>
    </row>
    <row r="2687" ht="11.25">
      <c r="S2687" s="21"/>
    </row>
    <row r="2688" ht="11.25">
      <c r="S2688" s="21"/>
    </row>
    <row r="2689" ht="11.25">
      <c r="S2689" s="21"/>
    </row>
    <row r="2690" ht="11.25">
      <c r="S2690" s="21"/>
    </row>
    <row r="2691" ht="11.25">
      <c r="S2691" s="21"/>
    </row>
    <row r="2692" ht="11.25">
      <c r="S2692" s="21"/>
    </row>
    <row r="2693" ht="11.25">
      <c r="S2693" s="21"/>
    </row>
    <row r="2694" ht="11.25">
      <c r="S2694" s="21"/>
    </row>
    <row r="2695" ht="11.25">
      <c r="S2695" s="21"/>
    </row>
    <row r="2696" ht="11.25">
      <c r="S2696" s="21"/>
    </row>
    <row r="2697" ht="11.25">
      <c r="S2697" s="21"/>
    </row>
    <row r="2698" ht="11.25">
      <c r="S2698" s="21"/>
    </row>
    <row r="2699" ht="11.25">
      <c r="S2699" s="21"/>
    </row>
    <row r="2700" ht="11.25">
      <c r="S2700" s="21"/>
    </row>
    <row r="2701" ht="11.25">
      <c r="S2701" s="21"/>
    </row>
    <row r="2702" ht="11.25">
      <c r="S2702" s="21"/>
    </row>
    <row r="2703" ht="11.25">
      <c r="S2703" s="21"/>
    </row>
    <row r="2704" ht="11.25">
      <c r="S2704" s="21"/>
    </row>
    <row r="2705" ht="11.25">
      <c r="S2705" s="21"/>
    </row>
    <row r="2706" ht="11.25">
      <c r="S2706" s="21"/>
    </row>
    <row r="2707" ht="11.25">
      <c r="S2707" s="21"/>
    </row>
    <row r="2708" ht="11.25">
      <c r="S2708" s="21"/>
    </row>
    <row r="2709" ht="11.25">
      <c r="S2709" s="21"/>
    </row>
    <row r="2710" ht="11.25">
      <c r="S2710" s="21"/>
    </row>
    <row r="2711" ht="11.25">
      <c r="S2711" s="21"/>
    </row>
    <row r="2712" ht="11.25">
      <c r="S2712" s="21"/>
    </row>
    <row r="2713" ht="11.25">
      <c r="S2713" s="21"/>
    </row>
    <row r="2714" ht="11.25">
      <c r="S2714" s="21"/>
    </row>
    <row r="2715" ht="11.25">
      <c r="S2715" s="21"/>
    </row>
    <row r="2716" ht="11.25">
      <c r="S2716" s="21"/>
    </row>
    <row r="2717" ht="11.25">
      <c r="S2717" s="21"/>
    </row>
    <row r="2718" ht="11.25">
      <c r="S2718" s="21"/>
    </row>
    <row r="2719" ht="11.25">
      <c r="S2719" s="21"/>
    </row>
    <row r="2720" ht="11.25">
      <c r="S2720" s="21"/>
    </row>
    <row r="2721" ht="11.25">
      <c r="S2721" s="21"/>
    </row>
    <row r="2722" ht="11.25">
      <c r="S2722" s="21"/>
    </row>
    <row r="2723" ht="11.25">
      <c r="S2723" s="21"/>
    </row>
    <row r="2724" ht="11.25">
      <c r="S2724" s="21"/>
    </row>
    <row r="2725" ht="11.25">
      <c r="S2725" s="21"/>
    </row>
    <row r="2726" ht="11.25">
      <c r="S2726" s="21"/>
    </row>
    <row r="2727" ht="11.25">
      <c r="S2727" s="21"/>
    </row>
    <row r="2728" ht="11.25">
      <c r="S2728" s="21"/>
    </row>
    <row r="2729" ht="11.25">
      <c r="S2729" s="21"/>
    </row>
    <row r="2730" ht="11.25">
      <c r="S2730" s="21"/>
    </row>
    <row r="2731" ht="11.25">
      <c r="S2731" s="21"/>
    </row>
    <row r="2732" ht="11.25">
      <c r="S2732" s="21"/>
    </row>
    <row r="2733" ht="11.25">
      <c r="S2733" s="21"/>
    </row>
    <row r="2734" ht="11.25">
      <c r="S2734" s="21"/>
    </row>
    <row r="2735" ht="11.25">
      <c r="S2735" s="21"/>
    </row>
    <row r="2736" ht="11.25">
      <c r="S2736" s="21"/>
    </row>
    <row r="2737" ht="11.25">
      <c r="S2737" s="21"/>
    </row>
    <row r="2738" ht="11.25">
      <c r="S2738" s="21"/>
    </row>
    <row r="2739" ht="11.25">
      <c r="S2739" s="21"/>
    </row>
    <row r="2740" ht="11.25">
      <c r="S2740" s="21"/>
    </row>
    <row r="2741" ht="11.25">
      <c r="S2741" s="21"/>
    </row>
    <row r="2742" ht="11.25">
      <c r="S2742" s="21"/>
    </row>
    <row r="2743" ht="11.25">
      <c r="S2743" s="21"/>
    </row>
    <row r="2744" ht="11.25">
      <c r="S2744" s="21"/>
    </row>
    <row r="2745" ht="11.25">
      <c r="S2745" s="21"/>
    </row>
    <row r="2746" ht="11.25">
      <c r="S2746" s="21"/>
    </row>
    <row r="2747" ht="11.25">
      <c r="S2747" s="21"/>
    </row>
    <row r="2748" ht="11.25">
      <c r="S2748" s="21"/>
    </row>
    <row r="2749" ht="11.25">
      <c r="S2749" s="21"/>
    </row>
    <row r="2750" ht="11.25">
      <c r="S2750" s="21"/>
    </row>
    <row r="2751" ht="11.25">
      <c r="S2751" s="21"/>
    </row>
    <row r="2752" ht="11.25">
      <c r="S2752" s="21"/>
    </row>
    <row r="2753" ht="11.25">
      <c r="S2753" s="21"/>
    </row>
    <row r="2754" ht="11.25">
      <c r="S2754" s="21"/>
    </row>
    <row r="2755" ht="11.25">
      <c r="S2755" s="21"/>
    </row>
    <row r="2756" ht="11.25">
      <c r="S2756" s="21"/>
    </row>
    <row r="2757" ht="11.25">
      <c r="S2757" s="21"/>
    </row>
    <row r="2758" ht="11.25">
      <c r="S2758" s="21"/>
    </row>
    <row r="2759" ht="11.25">
      <c r="S2759" s="21"/>
    </row>
    <row r="2760" ht="11.25">
      <c r="S2760" s="21"/>
    </row>
    <row r="2761" ht="11.25">
      <c r="S2761" s="21"/>
    </row>
    <row r="2762" ht="11.25">
      <c r="S2762" s="21"/>
    </row>
    <row r="2763" ht="11.25">
      <c r="S2763" s="21"/>
    </row>
    <row r="2764" ht="11.25">
      <c r="S2764" s="21"/>
    </row>
    <row r="2765" ht="11.25">
      <c r="S2765" s="21"/>
    </row>
    <row r="2766" ht="11.25">
      <c r="S2766" s="21"/>
    </row>
    <row r="2767" ht="11.25">
      <c r="S2767" s="21"/>
    </row>
    <row r="2768" ht="11.25">
      <c r="S2768" s="21"/>
    </row>
    <row r="2769" ht="11.25">
      <c r="S2769" s="21"/>
    </row>
    <row r="2770" ht="11.25">
      <c r="S2770" s="21"/>
    </row>
    <row r="2771" ht="11.25">
      <c r="S2771" s="21"/>
    </row>
    <row r="2772" ht="11.25">
      <c r="S2772" s="21"/>
    </row>
    <row r="2773" ht="11.25">
      <c r="S2773" s="21"/>
    </row>
    <row r="2774" ht="11.25">
      <c r="S2774" s="21"/>
    </row>
    <row r="2775" ht="11.25">
      <c r="S2775" s="21"/>
    </row>
    <row r="2776" ht="11.25">
      <c r="S2776" s="21"/>
    </row>
    <row r="2777" ht="11.25">
      <c r="S2777" s="21"/>
    </row>
    <row r="2778" ht="11.25">
      <c r="S2778" s="21"/>
    </row>
    <row r="2779" ht="11.25">
      <c r="S2779" s="21"/>
    </row>
    <row r="2780" ht="11.25">
      <c r="S2780" s="21"/>
    </row>
    <row r="2781" ht="11.25">
      <c r="S2781" s="21"/>
    </row>
    <row r="2782" ht="11.25">
      <c r="S2782" s="21"/>
    </row>
    <row r="2783" ht="11.25">
      <c r="S2783" s="21"/>
    </row>
    <row r="2784" ht="11.25">
      <c r="S2784" s="21"/>
    </row>
    <row r="2785" ht="11.25">
      <c r="S2785" s="21"/>
    </row>
    <row r="2786" ht="11.25">
      <c r="S2786" s="21"/>
    </row>
    <row r="2787" ht="11.25">
      <c r="S2787" s="21"/>
    </row>
    <row r="2788" ht="11.25">
      <c r="S2788" s="21"/>
    </row>
    <row r="2789" ht="11.25">
      <c r="S2789" s="21"/>
    </row>
    <row r="2790" ht="11.25">
      <c r="S2790" s="21"/>
    </row>
    <row r="2791" ht="11.25">
      <c r="S2791" s="21"/>
    </row>
    <row r="2792" ht="11.25">
      <c r="S2792" s="21"/>
    </row>
    <row r="2793" ht="11.25">
      <c r="S2793" s="21"/>
    </row>
    <row r="2794" ht="11.25">
      <c r="S2794" s="21"/>
    </row>
    <row r="2795" ht="11.25">
      <c r="S2795" s="21"/>
    </row>
    <row r="2796" ht="11.25">
      <c r="S2796" s="21"/>
    </row>
    <row r="2797" ht="11.25">
      <c r="S2797" s="21"/>
    </row>
    <row r="2798" ht="11.25">
      <c r="S2798" s="21"/>
    </row>
    <row r="2799" ht="11.25">
      <c r="S2799" s="21"/>
    </row>
    <row r="2800" ht="11.25">
      <c r="S2800" s="21"/>
    </row>
    <row r="2801" ht="11.25">
      <c r="S2801" s="21"/>
    </row>
    <row r="2802" ht="11.25">
      <c r="S2802" s="21"/>
    </row>
    <row r="2803" ht="11.25">
      <c r="S2803" s="21"/>
    </row>
    <row r="2804" ht="11.25">
      <c r="S2804" s="21"/>
    </row>
    <row r="2805" ht="11.25">
      <c r="S2805" s="21"/>
    </row>
    <row r="2806" ht="11.25">
      <c r="S2806" s="21"/>
    </row>
    <row r="2807" ht="11.25">
      <c r="S2807" s="21"/>
    </row>
    <row r="2808" ht="11.25">
      <c r="S2808" s="21"/>
    </row>
    <row r="2809" ht="11.25">
      <c r="S2809" s="21"/>
    </row>
    <row r="2810" ht="11.25">
      <c r="S2810" s="21"/>
    </row>
    <row r="2811" ht="11.25">
      <c r="S2811" s="21"/>
    </row>
    <row r="2812" ht="11.25">
      <c r="S2812" s="21"/>
    </row>
    <row r="2813" ht="11.25">
      <c r="S2813" s="21"/>
    </row>
    <row r="2814" ht="11.25">
      <c r="S2814" s="21"/>
    </row>
    <row r="2815" ht="11.25">
      <c r="S2815" s="21"/>
    </row>
    <row r="2816" ht="11.25">
      <c r="S2816" s="21"/>
    </row>
    <row r="2817" ht="11.25">
      <c r="S2817" s="21"/>
    </row>
    <row r="2818" ht="11.25">
      <c r="S2818" s="21"/>
    </row>
    <row r="2819" ht="11.25">
      <c r="S2819" s="21"/>
    </row>
    <row r="2820" ht="11.25">
      <c r="S2820" s="21"/>
    </row>
    <row r="2821" ht="11.25">
      <c r="S2821" s="21"/>
    </row>
    <row r="2822" ht="11.25">
      <c r="S2822" s="21"/>
    </row>
    <row r="2823" ht="11.25">
      <c r="S2823" s="21"/>
    </row>
    <row r="2824" ht="11.25">
      <c r="S2824" s="21"/>
    </row>
    <row r="2825" ht="11.25">
      <c r="S2825" s="21"/>
    </row>
    <row r="2826" ht="11.25">
      <c r="S2826" s="21"/>
    </row>
    <row r="2827" ht="11.25">
      <c r="S2827" s="21"/>
    </row>
    <row r="2828" ht="11.25">
      <c r="S2828" s="21"/>
    </row>
    <row r="2829" ht="11.25">
      <c r="S2829" s="21"/>
    </row>
    <row r="2830" ht="11.25">
      <c r="S2830" s="21"/>
    </row>
    <row r="2831" ht="11.25">
      <c r="S2831" s="21"/>
    </row>
    <row r="2832" ht="11.25">
      <c r="S2832" s="21"/>
    </row>
    <row r="2833" ht="11.25">
      <c r="S2833" s="21"/>
    </row>
    <row r="2834" ht="11.25">
      <c r="S2834" s="21"/>
    </row>
    <row r="2835" ht="11.25">
      <c r="S2835" s="21"/>
    </row>
    <row r="2836" ht="11.25">
      <c r="S2836" s="21"/>
    </row>
    <row r="2837" ht="11.25">
      <c r="S2837" s="21"/>
    </row>
    <row r="2838" ht="11.25">
      <c r="S2838" s="21"/>
    </row>
    <row r="2839" ht="11.25">
      <c r="S2839" s="21"/>
    </row>
    <row r="2840" ht="11.25">
      <c r="S2840" s="21"/>
    </row>
    <row r="2841" ht="11.25">
      <c r="S2841" s="21"/>
    </row>
    <row r="2842" ht="11.25">
      <c r="S2842" s="21"/>
    </row>
    <row r="2843" ht="11.25">
      <c r="S2843" s="21"/>
    </row>
    <row r="2844" ht="11.25">
      <c r="S2844" s="21"/>
    </row>
    <row r="2845" ht="11.25">
      <c r="S2845" s="21"/>
    </row>
    <row r="2846" ht="11.25">
      <c r="S2846" s="21"/>
    </row>
    <row r="2847" ht="11.25">
      <c r="S2847" s="21"/>
    </row>
    <row r="2848" ht="11.25">
      <c r="S2848" s="21"/>
    </row>
    <row r="2849" ht="11.25">
      <c r="S2849" s="21"/>
    </row>
    <row r="2850" ht="11.25">
      <c r="S2850" s="21"/>
    </row>
    <row r="2851" ht="11.25">
      <c r="S2851" s="21"/>
    </row>
    <row r="2852" ht="11.25">
      <c r="S2852" s="21"/>
    </row>
    <row r="2853" ht="11.25">
      <c r="S2853" s="21"/>
    </row>
    <row r="2854" ht="11.25">
      <c r="S2854" s="21"/>
    </row>
    <row r="2855" ht="11.25">
      <c r="S2855" s="21"/>
    </row>
    <row r="2856" ht="11.25">
      <c r="S2856" s="21"/>
    </row>
    <row r="2857" ht="11.25">
      <c r="S2857" s="21"/>
    </row>
    <row r="2858" ht="11.25">
      <c r="S2858" s="21"/>
    </row>
    <row r="2859" ht="11.25">
      <c r="S2859" s="21"/>
    </row>
    <row r="2860" ht="11.25">
      <c r="S2860" s="21"/>
    </row>
    <row r="2861" ht="11.25">
      <c r="S2861" s="21"/>
    </row>
    <row r="2862" ht="11.25">
      <c r="S2862" s="21"/>
    </row>
    <row r="2863" ht="11.25">
      <c r="S2863" s="21"/>
    </row>
    <row r="2864" ht="11.25">
      <c r="S2864" s="21"/>
    </row>
    <row r="2865" ht="11.25">
      <c r="S2865" s="21"/>
    </row>
    <row r="2866" ht="11.25">
      <c r="S2866" s="21"/>
    </row>
    <row r="2867" ht="11.25">
      <c r="S2867" s="21"/>
    </row>
    <row r="2868" ht="11.25">
      <c r="S2868" s="21"/>
    </row>
    <row r="2869" ht="11.25">
      <c r="S2869" s="21"/>
    </row>
    <row r="2870" ht="11.25">
      <c r="S2870" s="21"/>
    </row>
    <row r="2871" ht="11.25">
      <c r="S2871" s="21"/>
    </row>
    <row r="2872" ht="11.25">
      <c r="S2872" s="21"/>
    </row>
    <row r="2873" ht="11.25">
      <c r="S2873" s="21"/>
    </row>
    <row r="2874" ht="11.25">
      <c r="S2874" s="21"/>
    </row>
    <row r="2875" ht="11.25">
      <c r="S2875" s="21"/>
    </row>
    <row r="2876" ht="11.25">
      <c r="S2876" s="21"/>
    </row>
    <row r="2877" ht="11.25">
      <c r="S2877" s="21"/>
    </row>
    <row r="2878" ht="11.25">
      <c r="S2878" s="21"/>
    </row>
    <row r="2879" ht="11.25">
      <c r="S2879" s="21"/>
    </row>
    <row r="2880" ht="11.25">
      <c r="S2880" s="21"/>
    </row>
    <row r="2881" ht="11.25">
      <c r="S2881" s="21"/>
    </row>
    <row r="2882" ht="11.25">
      <c r="S2882" s="21"/>
    </row>
    <row r="2883" ht="11.25">
      <c r="S2883" s="21"/>
    </row>
    <row r="2884" ht="11.25">
      <c r="S2884" s="21"/>
    </row>
    <row r="2885" ht="11.25">
      <c r="S2885" s="21"/>
    </row>
    <row r="2886" ht="11.25">
      <c r="S2886" s="21"/>
    </row>
    <row r="2887" ht="11.25">
      <c r="S2887" s="21"/>
    </row>
    <row r="2888" ht="11.25">
      <c r="S2888" s="21"/>
    </row>
    <row r="2889" ht="11.25">
      <c r="S2889" s="21"/>
    </row>
    <row r="2890" ht="11.25">
      <c r="S2890" s="21"/>
    </row>
    <row r="2891" ht="11.25">
      <c r="S2891" s="21"/>
    </row>
    <row r="2892" ht="11.25">
      <c r="S2892" s="21"/>
    </row>
    <row r="2893" ht="11.25">
      <c r="S2893" s="21"/>
    </row>
    <row r="2894" ht="11.25">
      <c r="S2894" s="21"/>
    </row>
    <row r="2895" ht="11.25">
      <c r="S2895" s="21"/>
    </row>
    <row r="2896" ht="11.25">
      <c r="S2896" s="21"/>
    </row>
    <row r="2897" ht="11.25">
      <c r="S2897" s="21"/>
    </row>
    <row r="2898" ht="11.25">
      <c r="S2898" s="21"/>
    </row>
    <row r="2899" ht="11.25">
      <c r="S2899" s="21"/>
    </row>
    <row r="2900" ht="11.25">
      <c r="S2900" s="21"/>
    </row>
    <row r="2901" ht="11.25">
      <c r="S2901" s="21"/>
    </row>
    <row r="2902" ht="11.25">
      <c r="S2902" s="21"/>
    </row>
    <row r="2903" ht="11.25">
      <c r="S2903" s="21"/>
    </row>
    <row r="2904" ht="11.25">
      <c r="S2904" s="21"/>
    </row>
    <row r="2905" ht="11.25">
      <c r="S2905" s="21"/>
    </row>
    <row r="2906" ht="11.25">
      <c r="S2906" s="21"/>
    </row>
    <row r="2907" ht="11.25">
      <c r="S2907" s="21"/>
    </row>
    <row r="2908" ht="11.25">
      <c r="S2908" s="21"/>
    </row>
    <row r="2909" ht="11.25">
      <c r="S2909" s="21"/>
    </row>
    <row r="2910" ht="11.25">
      <c r="S2910" s="21"/>
    </row>
    <row r="2911" ht="11.25">
      <c r="S2911" s="21"/>
    </row>
    <row r="2912" ht="11.25">
      <c r="S2912" s="21"/>
    </row>
    <row r="2913" ht="11.25">
      <c r="S2913" s="21"/>
    </row>
    <row r="2914" ht="11.25">
      <c r="S2914" s="21"/>
    </row>
    <row r="2915" ht="11.25">
      <c r="S2915" s="21"/>
    </row>
    <row r="2916" ht="11.25">
      <c r="S2916" s="21"/>
    </row>
    <row r="2917" ht="11.25">
      <c r="S2917" s="21"/>
    </row>
    <row r="2918" ht="11.25">
      <c r="S2918" s="21"/>
    </row>
    <row r="2919" ht="11.25">
      <c r="S2919" s="21"/>
    </row>
    <row r="2920" ht="11.25">
      <c r="S2920" s="21"/>
    </row>
    <row r="2921" ht="11.25">
      <c r="S2921" s="21"/>
    </row>
    <row r="2922" ht="11.25">
      <c r="S2922" s="21"/>
    </row>
    <row r="2923" ht="11.25">
      <c r="S2923" s="21"/>
    </row>
    <row r="2924" ht="11.25">
      <c r="S2924" s="21"/>
    </row>
    <row r="2925" ht="11.25">
      <c r="S2925" s="21"/>
    </row>
    <row r="2926" ht="11.25">
      <c r="S2926" s="21"/>
    </row>
    <row r="2927" ht="11.25">
      <c r="S2927" s="21"/>
    </row>
    <row r="2928" ht="11.25">
      <c r="S2928" s="21"/>
    </row>
    <row r="2929" ht="11.25">
      <c r="S2929" s="21"/>
    </row>
    <row r="2930" ht="11.25">
      <c r="S2930" s="21"/>
    </row>
    <row r="2931" ht="11.25">
      <c r="S2931" s="21"/>
    </row>
    <row r="2932" ht="11.25">
      <c r="S2932" s="21"/>
    </row>
    <row r="2933" ht="11.25">
      <c r="S2933" s="21"/>
    </row>
    <row r="2934" ht="11.25">
      <c r="S2934" s="21"/>
    </row>
    <row r="2935" ht="11.25">
      <c r="S2935" s="21"/>
    </row>
    <row r="2936" ht="11.25">
      <c r="S2936" s="21"/>
    </row>
    <row r="2937" ht="11.25">
      <c r="S2937" s="21"/>
    </row>
    <row r="2938" ht="11.25">
      <c r="S2938" s="21"/>
    </row>
    <row r="2939" ht="11.25">
      <c r="S2939" s="21"/>
    </row>
    <row r="2940" ht="11.25">
      <c r="S2940" s="21"/>
    </row>
    <row r="2941" ht="11.25">
      <c r="S2941" s="21"/>
    </row>
    <row r="2942" ht="11.25">
      <c r="S2942" s="21"/>
    </row>
    <row r="2943" ht="11.25">
      <c r="S2943" s="21"/>
    </row>
    <row r="2944" ht="11.25">
      <c r="S2944" s="21"/>
    </row>
    <row r="2945" ht="11.25">
      <c r="S2945" s="21"/>
    </row>
    <row r="2946" ht="11.25">
      <c r="S2946" s="21"/>
    </row>
    <row r="2947" ht="11.25">
      <c r="S2947" s="21"/>
    </row>
    <row r="2948" ht="11.25">
      <c r="S2948" s="21"/>
    </row>
    <row r="2949" ht="11.25">
      <c r="S2949" s="21"/>
    </row>
    <row r="2950" ht="11.25">
      <c r="S2950" s="21"/>
    </row>
    <row r="2951" ht="11.25">
      <c r="S2951" s="21"/>
    </row>
    <row r="2952" ht="11.25">
      <c r="S2952" s="21"/>
    </row>
    <row r="2953" ht="11.25">
      <c r="S2953" s="21"/>
    </row>
    <row r="2954" ht="11.25">
      <c r="S2954" s="21"/>
    </row>
    <row r="2955" ht="11.25">
      <c r="S2955" s="21"/>
    </row>
    <row r="2956" ht="11.25">
      <c r="S2956" s="21"/>
    </row>
    <row r="2957" ht="11.25">
      <c r="S2957" s="21"/>
    </row>
    <row r="2958" ht="11.25">
      <c r="S2958" s="21"/>
    </row>
    <row r="2959" ht="11.25">
      <c r="S2959" s="21"/>
    </row>
    <row r="2960" ht="11.25">
      <c r="S2960" s="21"/>
    </row>
    <row r="2961" ht="11.25">
      <c r="S2961" s="21"/>
    </row>
    <row r="2962" ht="11.25">
      <c r="S2962" s="21"/>
    </row>
    <row r="2963" ht="11.25">
      <c r="S2963" s="21"/>
    </row>
    <row r="2964" ht="11.25">
      <c r="S2964" s="21"/>
    </row>
    <row r="2965" ht="11.25">
      <c r="S2965" s="21"/>
    </row>
    <row r="2966" ht="11.25">
      <c r="S2966" s="21"/>
    </row>
    <row r="2967" ht="11.25">
      <c r="S2967" s="21"/>
    </row>
    <row r="2968" ht="11.25">
      <c r="S2968" s="21"/>
    </row>
    <row r="2969" ht="11.25">
      <c r="S2969" s="21"/>
    </row>
    <row r="2970" ht="11.25">
      <c r="S2970" s="21"/>
    </row>
    <row r="2971" ht="11.25">
      <c r="S2971" s="21"/>
    </row>
    <row r="2972" ht="11.25">
      <c r="S2972" s="21"/>
    </row>
    <row r="2973" ht="11.25">
      <c r="S2973" s="21"/>
    </row>
    <row r="2974" ht="11.25">
      <c r="S2974" s="21"/>
    </row>
    <row r="2975" ht="11.25">
      <c r="S2975" s="21"/>
    </row>
    <row r="2976" ht="11.25">
      <c r="S2976" s="21"/>
    </row>
    <row r="2977" ht="11.25">
      <c r="S2977" s="21"/>
    </row>
    <row r="2978" ht="11.25">
      <c r="S2978" s="21"/>
    </row>
    <row r="2979" ht="11.25">
      <c r="S2979" s="21"/>
    </row>
    <row r="2980" ht="11.25">
      <c r="S2980" s="21"/>
    </row>
    <row r="2981" ht="11.25">
      <c r="S2981" s="21"/>
    </row>
    <row r="2982" ht="11.25">
      <c r="S2982" s="21"/>
    </row>
    <row r="2983" ht="11.25">
      <c r="S2983" s="21"/>
    </row>
    <row r="2984" ht="11.25">
      <c r="S2984" s="21"/>
    </row>
    <row r="2985" ht="11.25">
      <c r="S2985" s="21"/>
    </row>
    <row r="2986" ht="11.25">
      <c r="S2986" s="21"/>
    </row>
    <row r="2987" ht="11.25">
      <c r="S2987" s="21"/>
    </row>
    <row r="2988" ht="11.25">
      <c r="S2988" s="21"/>
    </row>
    <row r="2989" ht="11.25">
      <c r="S2989" s="21"/>
    </row>
    <row r="2990" ht="11.25">
      <c r="S2990" s="21"/>
    </row>
    <row r="2991" ht="11.25">
      <c r="S2991" s="21"/>
    </row>
    <row r="2992" ht="11.25">
      <c r="S2992" s="21"/>
    </row>
    <row r="2993" ht="11.25">
      <c r="S2993" s="21"/>
    </row>
    <row r="2994" ht="11.25">
      <c r="S2994" s="21"/>
    </row>
    <row r="2995" ht="11.25">
      <c r="S2995" s="21"/>
    </row>
    <row r="2996" ht="11.25">
      <c r="S2996" s="21"/>
    </row>
    <row r="2997" ht="11.25">
      <c r="S2997" s="21"/>
    </row>
    <row r="2998" ht="11.25">
      <c r="S2998" s="21"/>
    </row>
    <row r="2999" ht="11.25">
      <c r="S2999" s="21"/>
    </row>
    <row r="3000" ht="11.25">
      <c r="S3000" s="21"/>
    </row>
    <row r="3001" ht="11.25">
      <c r="S3001" s="21"/>
    </row>
    <row r="3002" ht="11.25">
      <c r="S3002" s="21"/>
    </row>
    <row r="3003" ht="11.25">
      <c r="S3003" s="21"/>
    </row>
    <row r="3004" ht="11.25">
      <c r="S3004" s="21"/>
    </row>
    <row r="3005" ht="11.25">
      <c r="S3005" s="21"/>
    </row>
    <row r="3006" ht="11.25">
      <c r="S3006" s="21"/>
    </row>
    <row r="3007" ht="11.25">
      <c r="S3007" s="21"/>
    </row>
    <row r="3008" ht="11.25">
      <c r="S3008" s="21"/>
    </row>
    <row r="3009" ht="11.25">
      <c r="S3009" s="21"/>
    </row>
    <row r="3010" ht="11.25">
      <c r="S3010" s="21"/>
    </row>
    <row r="3011" ht="11.25">
      <c r="S3011" s="21"/>
    </row>
    <row r="3012" ht="11.25">
      <c r="S3012" s="21"/>
    </row>
    <row r="3013" ht="11.25">
      <c r="S3013" s="21"/>
    </row>
    <row r="3014" ht="11.25">
      <c r="S3014" s="21"/>
    </row>
    <row r="3015" ht="11.25">
      <c r="S3015" s="21"/>
    </row>
    <row r="3016" ht="11.25">
      <c r="S3016" s="21"/>
    </row>
    <row r="3017" ht="11.25">
      <c r="S3017" s="21"/>
    </row>
    <row r="3018" ht="11.25">
      <c r="S3018" s="21"/>
    </row>
    <row r="3019" ht="11.25">
      <c r="S3019" s="21"/>
    </row>
    <row r="3020" ht="11.25">
      <c r="S3020" s="21"/>
    </row>
    <row r="3021" ht="11.25">
      <c r="S3021" s="21"/>
    </row>
    <row r="3022" ht="11.25">
      <c r="S3022" s="21"/>
    </row>
    <row r="3023" ht="11.25">
      <c r="S3023" s="21"/>
    </row>
    <row r="3024" ht="11.25">
      <c r="S3024" s="21"/>
    </row>
    <row r="3025" ht="11.25">
      <c r="S3025" s="21"/>
    </row>
    <row r="3026" ht="11.25">
      <c r="S3026" s="21"/>
    </row>
    <row r="3027" ht="11.25">
      <c r="S3027" s="21"/>
    </row>
    <row r="3028" ht="11.25">
      <c r="S3028" s="21"/>
    </row>
    <row r="3029" ht="11.25">
      <c r="S3029" s="21"/>
    </row>
    <row r="3030" ht="11.25">
      <c r="S3030" s="21"/>
    </row>
    <row r="3031" ht="11.25">
      <c r="S3031" s="21"/>
    </row>
    <row r="3032" ht="11.25">
      <c r="S3032" s="21"/>
    </row>
    <row r="3033" ht="11.25">
      <c r="S3033" s="21"/>
    </row>
    <row r="3034" ht="11.25">
      <c r="S3034" s="21"/>
    </row>
    <row r="3035" ht="11.25">
      <c r="S3035" s="21"/>
    </row>
    <row r="3036" ht="11.25">
      <c r="S3036" s="21"/>
    </row>
    <row r="3037" ht="11.25">
      <c r="S3037" s="21"/>
    </row>
    <row r="3038" ht="11.25">
      <c r="S3038" s="21"/>
    </row>
    <row r="3039" ht="11.25">
      <c r="S3039" s="21"/>
    </row>
    <row r="3040" ht="11.25">
      <c r="S3040" s="21"/>
    </row>
    <row r="3041" ht="11.25">
      <c r="S3041" s="21"/>
    </row>
    <row r="3042" ht="11.25">
      <c r="S3042" s="21"/>
    </row>
    <row r="3043" ht="11.25">
      <c r="S3043" s="21"/>
    </row>
    <row r="3044" ht="11.25">
      <c r="S3044" s="21"/>
    </row>
    <row r="3045" ht="11.25">
      <c r="S3045" s="21"/>
    </row>
    <row r="3046" ht="11.25">
      <c r="S3046" s="21"/>
    </row>
    <row r="3047" ht="11.25">
      <c r="S3047" s="21"/>
    </row>
    <row r="3048" ht="11.25">
      <c r="S3048" s="21"/>
    </row>
    <row r="3049" ht="11.25">
      <c r="S3049" s="21"/>
    </row>
    <row r="3050" ht="11.25">
      <c r="S3050" s="21"/>
    </row>
    <row r="3051" ht="11.25">
      <c r="S3051" s="21"/>
    </row>
    <row r="3052" ht="11.25">
      <c r="S3052" s="21"/>
    </row>
    <row r="3053" ht="11.25">
      <c r="S3053" s="21"/>
    </row>
    <row r="3054" ht="11.25">
      <c r="S3054" s="21"/>
    </row>
    <row r="3055" ht="11.25">
      <c r="S3055" s="21"/>
    </row>
    <row r="3056" ht="11.25">
      <c r="S3056" s="21"/>
    </row>
    <row r="3057" ht="11.25">
      <c r="S3057" s="21"/>
    </row>
    <row r="3058" ht="11.25">
      <c r="S3058" s="21"/>
    </row>
    <row r="3059" ht="11.25">
      <c r="S3059" s="21"/>
    </row>
    <row r="3060" ht="11.25">
      <c r="S3060" s="21"/>
    </row>
    <row r="3061" ht="11.25">
      <c r="S3061" s="21"/>
    </row>
    <row r="3062" ht="11.25">
      <c r="S3062" s="21"/>
    </row>
    <row r="3063" ht="11.25">
      <c r="S3063" s="21"/>
    </row>
    <row r="3064" ht="11.25">
      <c r="S3064" s="21"/>
    </row>
    <row r="3065" ht="11.25">
      <c r="S3065" s="21"/>
    </row>
    <row r="3066" ht="11.25">
      <c r="S3066" s="21"/>
    </row>
    <row r="3067" ht="11.25">
      <c r="S3067" s="21"/>
    </row>
    <row r="3068" ht="11.25">
      <c r="S3068" s="21"/>
    </row>
    <row r="3069" ht="11.25">
      <c r="S3069" s="21"/>
    </row>
    <row r="3070" ht="11.25">
      <c r="S3070" s="21"/>
    </row>
    <row r="3071" ht="11.25">
      <c r="S3071" s="21"/>
    </row>
    <row r="3072" ht="11.25">
      <c r="S3072" s="21"/>
    </row>
    <row r="3073" ht="11.25">
      <c r="S3073" s="21"/>
    </row>
    <row r="3074" ht="11.25">
      <c r="S3074" s="21"/>
    </row>
    <row r="3075" ht="11.25">
      <c r="S3075" s="21"/>
    </row>
    <row r="3076" ht="11.25">
      <c r="S3076" s="21"/>
    </row>
    <row r="3077" ht="11.25">
      <c r="S3077" s="21"/>
    </row>
    <row r="3078" ht="11.25">
      <c r="S3078" s="21"/>
    </row>
    <row r="3079" ht="11.25">
      <c r="S3079" s="21"/>
    </row>
    <row r="3080" ht="11.25">
      <c r="S3080" s="21"/>
    </row>
    <row r="3081" ht="11.25">
      <c r="S3081" s="21"/>
    </row>
    <row r="3082" ht="11.25">
      <c r="S3082" s="21"/>
    </row>
    <row r="3083" ht="11.25">
      <c r="S3083" s="21"/>
    </row>
    <row r="3084" ht="11.25">
      <c r="S3084" s="21"/>
    </row>
    <row r="3085" ht="11.25">
      <c r="S3085" s="21"/>
    </row>
    <row r="3086" ht="11.25">
      <c r="S3086" s="21"/>
    </row>
    <row r="3087" ht="11.25">
      <c r="S3087" s="21"/>
    </row>
    <row r="3088" ht="11.25">
      <c r="S3088" s="21"/>
    </row>
    <row r="3089" ht="11.25">
      <c r="S3089" s="21"/>
    </row>
    <row r="3090" ht="11.25">
      <c r="S3090" s="21"/>
    </row>
    <row r="3091" ht="11.25">
      <c r="S3091" s="21"/>
    </row>
    <row r="3092" ht="11.25">
      <c r="S3092" s="21"/>
    </row>
    <row r="3093" ht="11.25">
      <c r="S3093" s="21"/>
    </row>
    <row r="3094" ht="11.25">
      <c r="S3094" s="21"/>
    </row>
    <row r="3095" ht="11.25">
      <c r="S3095" s="21"/>
    </row>
    <row r="3096" ht="11.25">
      <c r="S3096" s="21"/>
    </row>
    <row r="3097" ht="11.25">
      <c r="S3097" s="21"/>
    </row>
    <row r="3098" ht="11.25">
      <c r="S3098" s="21"/>
    </row>
    <row r="3099" ht="11.25">
      <c r="S3099" s="21"/>
    </row>
    <row r="3100" ht="11.25">
      <c r="S3100" s="21"/>
    </row>
    <row r="3101" ht="11.25">
      <c r="S3101" s="21"/>
    </row>
    <row r="3102" ht="11.25">
      <c r="S3102" s="21"/>
    </row>
    <row r="3103" ht="11.25">
      <c r="S3103" s="21"/>
    </row>
    <row r="3104" ht="11.25">
      <c r="S3104" s="21"/>
    </row>
    <row r="3105" ht="11.25">
      <c r="S3105" s="21"/>
    </row>
    <row r="3106" ht="11.25">
      <c r="S3106" s="21"/>
    </row>
    <row r="3107" ht="11.25">
      <c r="S3107" s="21"/>
    </row>
    <row r="3108" ht="11.25">
      <c r="S3108" s="21"/>
    </row>
    <row r="3109" ht="11.25">
      <c r="S3109" s="21"/>
    </row>
    <row r="3110" ht="11.25">
      <c r="S3110" s="21"/>
    </row>
    <row r="3111" ht="11.25">
      <c r="S3111" s="21"/>
    </row>
    <row r="3112" ht="11.25">
      <c r="S3112" s="21"/>
    </row>
    <row r="3113" ht="11.25">
      <c r="S3113" s="21"/>
    </row>
    <row r="3114" ht="11.25">
      <c r="S3114" s="21"/>
    </row>
    <row r="3115" ht="11.25">
      <c r="S3115" s="21"/>
    </row>
    <row r="3116" ht="11.25">
      <c r="S3116" s="21"/>
    </row>
    <row r="3117" ht="11.25">
      <c r="S3117" s="21"/>
    </row>
    <row r="3118" ht="11.25">
      <c r="S3118" s="21"/>
    </row>
    <row r="3119" ht="11.25">
      <c r="S3119" s="21"/>
    </row>
    <row r="3120" ht="11.25">
      <c r="S3120" s="21"/>
    </row>
    <row r="3121" ht="11.25">
      <c r="S3121" s="21"/>
    </row>
    <row r="3122" ht="11.25">
      <c r="S3122" s="21"/>
    </row>
    <row r="3123" ht="11.25">
      <c r="S3123" s="21"/>
    </row>
    <row r="3124" ht="11.25">
      <c r="S3124" s="21"/>
    </row>
    <row r="3125" ht="11.25">
      <c r="S3125" s="21"/>
    </row>
    <row r="3126" ht="11.25">
      <c r="S3126" s="21"/>
    </row>
    <row r="3127" ht="11.25">
      <c r="S3127" s="21"/>
    </row>
    <row r="3128" ht="11.25">
      <c r="S3128" s="21"/>
    </row>
    <row r="3129" ht="11.25">
      <c r="S3129" s="21"/>
    </row>
    <row r="3130" ht="11.25">
      <c r="S3130" s="21"/>
    </row>
    <row r="3131" ht="11.25">
      <c r="S3131" s="21"/>
    </row>
    <row r="3132" ht="11.25">
      <c r="S3132" s="21"/>
    </row>
    <row r="3133" ht="11.25">
      <c r="S3133" s="21"/>
    </row>
    <row r="3134" ht="11.25">
      <c r="S3134" s="21"/>
    </row>
    <row r="3135" ht="11.25">
      <c r="S3135" s="21"/>
    </row>
    <row r="3136" ht="11.25">
      <c r="S3136" s="21"/>
    </row>
    <row r="3137" ht="11.25">
      <c r="S3137" s="21"/>
    </row>
    <row r="3138" ht="11.25">
      <c r="S3138" s="21"/>
    </row>
    <row r="3139" ht="11.25">
      <c r="S3139" s="21"/>
    </row>
    <row r="3140" ht="11.25">
      <c r="S3140" s="21"/>
    </row>
    <row r="3141" ht="11.25">
      <c r="S3141" s="21"/>
    </row>
    <row r="3142" ht="11.25">
      <c r="S3142" s="21"/>
    </row>
    <row r="3143" ht="11.25">
      <c r="S3143" s="21"/>
    </row>
    <row r="3144" ht="11.25">
      <c r="S3144" s="21"/>
    </row>
    <row r="3145" ht="11.25">
      <c r="S3145" s="21"/>
    </row>
    <row r="3146" ht="11.25">
      <c r="S3146" s="21"/>
    </row>
    <row r="3147" ht="11.25">
      <c r="S3147" s="21"/>
    </row>
    <row r="3148" ht="11.25">
      <c r="S3148" s="21"/>
    </row>
    <row r="3149" ht="11.25">
      <c r="S3149" s="21"/>
    </row>
    <row r="3150" ht="11.25">
      <c r="S3150" s="21"/>
    </row>
    <row r="3151" ht="11.25">
      <c r="S3151" s="21"/>
    </row>
    <row r="3152" ht="11.25">
      <c r="S3152" s="21"/>
    </row>
    <row r="3153" ht="11.25">
      <c r="S3153" s="21"/>
    </row>
    <row r="3154" ht="11.25">
      <c r="S3154" s="21"/>
    </row>
    <row r="3155" ht="11.25">
      <c r="S3155" s="21"/>
    </row>
    <row r="3156" ht="11.25">
      <c r="S3156" s="21"/>
    </row>
    <row r="3157" ht="11.25">
      <c r="S3157" s="21"/>
    </row>
    <row r="3158" ht="11.25">
      <c r="S3158" s="21"/>
    </row>
    <row r="3159" ht="11.25">
      <c r="S3159" s="21"/>
    </row>
    <row r="3160" ht="11.25">
      <c r="S3160" s="21"/>
    </row>
    <row r="3161" ht="11.25">
      <c r="S3161" s="21"/>
    </row>
    <row r="3162" ht="11.25">
      <c r="S3162" s="21"/>
    </row>
    <row r="3163" ht="11.25">
      <c r="S3163" s="21"/>
    </row>
    <row r="3164" ht="11.25">
      <c r="S3164" s="21"/>
    </row>
    <row r="3165" ht="11.25">
      <c r="S3165" s="21"/>
    </row>
    <row r="3166" ht="11.25">
      <c r="S3166" s="21"/>
    </row>
    <row r="3167" ht="11.25">
      <c r="S3167" s="21"/>
    </row>
    <row r="3168" ht="11.25">
      <c r="S3168" s="21"/>
    </row>
    <row r="3169" ht="11.25">
      <c r="S3169" s="21"/>
    </row>
    <row r="3170" ht="11.25">
      <c r="S3170" s="21"/>
    </row>
    <row r="3171" ht="11.25">
      <c r="S3171" s="21"/>
    </row>
    <row r="3172" ht="11.25">
      <c r="S3172" s="21"/>
    </row>
    <row r="3173" ht="11.25">
      <c r="S3173" s="21"/>
    </row>
    <row r="3174" ht="11.25">
      <c r="S3174" s="21"/>
    </row>
    <row r="3175" ht="11.25">
      <c r="S3175" s="21"/>
    </row>
    <row r="3176" ht="11.25">
      <c r="S3176" s="21"/>
    </row>
    <row r="3177" ht="11.25">
      <c r="S3177" s="21"/>
    </row>
    <row r="3178" ht="11.25">
      <c r="S3178" s="21"/>
    </row>
    <row r="3179" ht="11.25">
      <c r="S3179" s="21"/>
    </row>
    <row r="3180" ht="11.25">
      <c r="S3180" s="21"/>
    </row>
    <row r="3181" ht="11.25">
      <c r="S3181" s="21"/>
    </row>
    <row r="3182" ht="11.25">
      <c r="S3182" s="21"/>
    </row>
    <row r="3183" ht="11.25">
      <c r="S3183" s="21"/>
    </row>
    <row r="3184" ht="11.25">
      <c r="S3184" s="21"/>
    </row>
    <row r="3185" ht="11.25">
      <c r="S3185" s="21"/>
    </row>
    <row r="3186" ht="11.25">
      <c r="S3186" s="21"/>
    </row>
    <row r="3187" ht="11.25">
      <c r="S3187" s="21"/>
    </row>
    <row r="3188" ht="11.25">
      <c r="S3188" s="21"/>
    </row>
    <row r="3189" ht="11.25">
      <c r="S3189" s="21"/>
    </row>
    <row r="3190" ht="11.25">
      <c r="S3190" s="21"/>
    </row>
    <row r="3191" ht="11.25">
      <c r="S3191" s="21"/>
    </row>
    <row r="3192" ht="11.25">
      <c r="S3192" s="21"/>
    </row>
    <row r="3193" ht="11.25">
      <c r="S3193" s="21"/>
    </row>
    <row r="3194" ht="11.25">
      <c r="S3194" s="21"/>
    </row>
    <row r="3195" ht="11.25">
      <c r="S3195" s="21"/>
    </row>
    <row r="3196" ht="11.25">
      <c r="S3196" s="21"/>
    </row>
    <row r="3197" ht="11.25">
      <c r="S3197" s="21"/>
    </row>
    <row r="3198" ht="11.25">
      <c r="S3198" s="21"/>
    </row>
    <row r="3199" ht="11.25">
      <c r="S3199" s="21"/>
    </row>
    <row r="3200" ht="11.25">
      <c r="S3200" s="21"/>
    </row>
    <row r="3201" ht="11.25">
      <c r="S3201" s="21"/>
    </row>
    <row r="3202" ht="11.25">
      <c r="S3202" s="21"/>
    </row>
    <row r="3203" ht="11.25">
      <c r="S3203" s="21"/>
    </row>
    <row r="3204" ht="11.25">
      <c r="S3204" s="21"/>
    </row>
    <row r="3205" ht="11.25">
      <c r="S3205" s="21"/>
    </row>
    <row r="3206" ht="11.25">
      <c r="S3206" s="21"/>
    </row>
    <row r="3207" ht="11.25">
      <c r="S3207" s="21"/>
    </row>
    <row r="3208" ht="11.25">
      <c r="S3208" s="21"/>
    </row>
    <row r="3209" ht="11.25">
      <c r="S3209" s="21"/>
    </row>
    <row r="3210" ht="11.25">
      <c r="S3210" s="21"/>
    </row>
    <row r="3211" ht="11.25">
      <c r="S3211" s="21"/>
    </row>
    <row r="3212" ht="11.25">
      <c r="S3212" s="21"/>
    </row>
    <row r="3213" ht="11.25">
      <c r="S3213" s="21"/>
    </row>
    <row r="3214" ht="11.25">
      <c r="S3214" s="21"/>
    </row>
    <row r="3215" ht="11.25">
      <c r="S3215" s="21"/>
    </row>
    <row r="3216" ht="11.25">
      <c r="S3216" s="21"/>
    </row>
    <row r="3217" ht="11.25">
      <c r="S3217" s="21"/>
    </row>
    <row r="3218" ht="11.25">
      <c r="S3218" s="21"/>
    </row>
    <row r="3219" ht="11.25">
      <c r="S3219" s="21"/>
    </row>
    <row r="3220" ht="11.25">
      <c r="S3220" s="21"/>
    </row>
    <row r="3221" ht="11.25">
      <c r="S3221" s="21"/>
    </row>
    <row r="3222" ht="11.25">
      <c r="S3222" s="21"/>
    </row>
    <row r="3223" ht="11.25">
      <c r="S3223" s="21"/>
    </row>
    <row r="3224" ht="11.25">
      <c r="S3224" s="21"/>
    </row>
    <row r="3225" ht="11.25">
      <c r="S3225" s="21"/>
    </row>
    <row r="3226" ht="11.25">
      <c r="S3226" s="21"/>
    </row>
    <row r="3227" ht="11.25">
      <c r="S3227" s="21"/>
    </row>
    <row r="3228" ht="11.25">
      <c r="S3228" s="21"/>
    </row>
    <row r="3229" ht="11.25">
      <c r="S3229" s="21"/>
    </row>
    <row r="3230" ht="11.25">
      <c r="S3230" s="21"/>
    </row>
    <row r="3231" ht="11.25">
      <c r="S3231" s="21"/>
    </row>
    <row r="3232" ht="11.25">
      <c r="S3232" s="21"/>
    </row>
    <row r="3233" ht="11.25">
      <c r="S3233" s="21"/>
    </row>
    <row r="3234" ht="11.25">
      <c r="S3234" s="21"/>
    </row>
    <row r="3235" ht="11.25">
      <c r="S3235" s="21"/>
    </row>
    <row r="3236" ht="11.25">
      <c r="S3236" s="21"/>
    </row>
    <row r="3237" ht="11.25">
      <c r="S3237" s="21"/>
    </row>
    <row r="3238" ht="11.25">
      <c r="S3238" s="21"/>
    </row>
    <row r="3239" ht="11.25">
      <c r="S3239" s="21"/>
    </row>
    <row r="3240" ht="11.25">
      <c r="S3240" s="21"/>
    </row>
    <row r="3241" ht="11.25">
      <c r="S3241" s="21"/>
    </row>
    <row r="3242" ht="11.25">
      <c r="S3242" s="21"/>
    </row>
    <row r="3243" ht="11.25">
      <c r="S3243" s="21"/>
    </row>
    <row r="3244" ht="11.25">
      <c r="S3244" s="21"/>
    </row>
    <row r="3245" ht="11.25">
      <c r="S3245" s="21"/>
    </row>
    <row r="3246" ht="11.25">
      <c r="S3246" s="21"/>
    </row>
    <row r="3247" ht="11.25">
      <c r="S3247" s="21"/>
    </row>
    <row r="3248" ht="11.25">
      <c r="S3248" s="21"/>
    </row>
    <row r="3249" ht="11.25">
      <c r="S3249" s="21"/>
    </row>
    <row r="3250" ht="11.25">
      <c r="S3250" s="21"/>
    </row>
    <row r="3251" ht="11.25">
      <c r="S3251" s="21"/>
    </row>
    <row r="3252" ht="11.25">
      <c r="S3252" s="21"/>
    </row>
    <row r="3253" ht="11.25">
      <c r="S3253" s="21"/>
    </row>
    <row r="3254" ht="11.25">
      <c r="S3254" s="21"/>
    </row>
    <row r="3255" ht="11.25">
      <c r="S3255" s="21"/>
    </row>
    <row r="3256" ht="11.25">
      <c r="S3256" s="21"/>
    </row>
    <row r="3257" ht="11.25">
      <c r="S3257" s="21"/>
    </row>
    <row r="3258" ht="11.25">
      <c r="S3258" s="21"/>
    </row>
    <row r="3259" ht="11.25">
      <c r="S3259" s="21"/>
    </row>
    <row r="3260" ht="11.25">
      <c r="S3260" s="21"/>
    </row>
    <row r="3261" ht="11.25">
      <c r="S3261" s="21"/>
    </row>
    <row r="3262" ht="11.25">
      <c r="S3262" s="21"/>
    </row>
    <row r="3263" ht="11.25">
      <c r="S3263" s="21"/>
    </row>
    <row r="3264" ht="11.25">
      <c r="S3264" s="21"/>
    </row>
    <row r="3265" ht="11.25">
      <c r="S3265" s="21"/>
    </row>
    <row r="3266" ht="11.25">
      <c r="S3266" s="21"/>
    </row>
    <row r="3267" ht="11.25">
      <c r="S3267" s="21"/>
    </row>
    <row r="3268" ht="11.25">
      <c r="S3268" s="21"/>
    </row>
    <row r="3269" ht="11.25">
      <c r="S3269" s="21"/>
    </row>
    <row r="3270" ht="11.25">
      <c r="S3270" s="21"/>
    </row>
    <row r="3271" ht="11.25">
      <c r="S3271" s="21"/>
    </row>
    <row r="3272" ht="11.25">
      <c r="S3272" s="21"/>
    </row>
    <row r="3273" ht="11.25">
      <c r="S3273" s="21"/>
    </row>
    <row r="3274" ht="11.25">
      <c r="S3274" s="21"/>
    </row>
    <row r="3275" ht="11.25">
      <c r="S3275" s="21"/>
    </row>
    <row r="3276" ht="11.25">
      <c r="S3276" s="21"/>
    </row>
    <row r="3277" ht="11.25">
      <c r="S3277" s="21"/>
    </row>
    <row r="3278" ht="11.25">
      <c r="S3278" s="21"/>
    </row>
    <row r="3279" ht="11.25">
      <c r="S3279" s="21"/>
    </row>
    <row r="3280" ht="11.25">
      <c r="S3280" s="21"/>
    </row>
    <row r="3281" ht="11.25">
      <c r="S3281" s="21"/>
    </row>
    <row r="3282" ht="11.25">
      <c r="S3282" s="21"/>
    </row>
    <row r="3283" ht="11.25">
      <c r="S3283" s="21"/>
    </row>
    <row r="3284" ht="11.25">
      <c r="S3284" s="21"/>
    </row>
    <row r="3285" ht="11.25">
      <c r="S3285" s="21"/>
    </row>
    <row r="3286" ht="11.25">
      <c r="S3286" s="21"/>
    </row>
    <row r="3287" ht="11.25">
      <c r="S3287" s="21"/>
    </row>
    <row r="3288" ht="11.25">
      <c r="S3288" s="21"/>
    </row>
    <row r="3289" ht="11.25">
      <c r="S3289" s="21"/>
    </row>
    <row r="3290" ht="11.25">
      <c r="S3290" s="21"/>
    </row>
    <row r="3291" ht="11.25">
      <c r="S3291" s="21"/>
    </row>
    <row r="3292" ht="11.25">
      <c r="S3292" s="21"/>
    </row>
    <row r="3293" ht="11.25">
      <c r="S3293" s="21"/>
    </row>
    <row r="3294" ht="11.25">
      <c r="S3294" s="21"/>
    </row>
    <row r="3295" ht="11.25">
      <c r="S3295" s="21"/>
    </row>
    <row r="3296" ht="11.25">
      <c r="S3296" s="21"/>
    </row>
    <row r="3297" ht="11.25">
      <c r="S3297" s="21"/>
    </row>
    <row r="3298" ht="11.25">
      <c r="S3298" s="21"/>
    </row>
    <row r="3299" ht="11.25">
      <c r="S3299" s="21"/>
    </row>
    <row r="3300" ht="11.25">
      <c r="S3300" s="21"/>
    </row>
    <row r="3301" ht="11.25">
      <c r="S3301" s="21"/>
    </row>
    <row r="3302" ht="11.25">
      <c r="S3302" s="21"/>
    </row>
    <row r="3303" ht="11.25">
      <c r="S3303" s="21"/>
    </row>
    <row r="3304" ht="11.25">
      <c r="S3304" s="21"/>
    </row>
    <row r="3305" ht="11.25">
      <c r="S3305" s="21"/>
    </row>
    <row r="3306" ht="11.25">
      <c r="S3306" s="21"/>
    </row>
    <row r="3307" ht="11.25">
      <c r="S3307" s="21"/>
    </row>
    <row r="3308" ht="11.25">
      <c r="S3308" s="21"/>
    </row>
    <row r="3309" ht="11.25">
      <c r="S3309" s="21"/>
    </row>
    <row r="3310" ht="11.25">
      <c r="S3310" s="21"/>
    </row>
    <row r="3311" ht="11.25">
      <c r="S3311" s="21"/>
    </row>
    <row r="3312" ht="11.25">
      <c r="S3312" s="21"/>
    </row>
    <row r="3313" ht="11.25">
      <c r="S3313" s="21"/>
    </row>
    <row r="3314" ht="11.25">
      <c r="S3314" s="21"/>
    </row>
    <row r="3315" ht="11.25">
      <c r="S3315" s="21"/>
    </row>
    <row r="3316" ht="11.25">
      <c r="S3316" s="21"/>
    </row>
    <row r="3317" ht="11.25">
      <c r="S3317" s="21"/>
    </row>
    <row r="3318" ht="11.25">
      <c r="S3318" s="21"/>
    </row>
    <row r="3319" ht="11.25">
      <c r="S3319" s="21"/>
    </row>
    <row r="3320" ht="11.25">
      <c r="S3320" s="21"/>
    </row>
    <row r="3321" ht="11.25">
      <c r="S3321" s="21"/>
    </row>
    <row r="3322" ht="11.25">
      <c r="S3322" s="21"/>
    </row>
    <row r="3323" ht="11.25">
      <c r="S3323" s="21"/>
    </row>
    <row r="3324" ht="11.25">
      <c r="S3324" s="21"/>
    </row>
    <row r="3325" ht="11.25">
      <c r="S3325" s="21"/>
    </row>
    <row r="3326" ht="11.25">
      <c r="S3326" s="21"/>
    </row>
    <row r="3327" ht="11.25">
      <c r="S3327" s="21"/>
    </row>
    <row r="3328" ht="11.25">
      <c r="S3328" s="21"/>
    </row>
    <row r="3329" ht="11.25">
      <c r="S3329" s="21"/>
    </row>
    <row r="3330" ht="11.25">
      <c r="S3330" s="21"/>
    </row>
    <row r="3331" ht="11.25">
      <c r="S3331" s="21"/>
    </row>
    <row r="3332" ht="11.25">
      <c r="S3332" s="21"/>
    </row>
    <row r="3333" ht="11.25">
      <c r="S3333" s="21"/>
    </row>
    <row r="3334" ht="11.25">
      <c r="S3334" s="21"/>
    </row>
    <row r="3335" ht="11.25">
      <c r="S3335" s="21"/>
    </row>
    <row r="3336" ht="11.25">
      <c r="S3336" s="21"/>
    </row>
    <row r="3337" ht="11.25">
      <c r="S3337" s="21"/>
    </row>
    <row r="3338" ht="11.25">
      <c r="S3338" s="21"/>
    </row>
    <row r="3339" ht="11.25">
      <c r="S3339" s="21"/>
    </row>
    <row r="3340" ht="11.25">
      <c r="S3340" s="21"/>
    </row>
    <row r="3341" ht="11.25">
      <c r="S3341" s="21"/>
    </row>
    <row r="3342" ht="11.25">
      <c r="S3342" s="21"/>
    </row>
    <row r="3343" ht="11.25">
      <c r="S3343" s="21"/>
    </row>
    <row r="3344" ht="11.25">
      <c r="S3344" s="21"/>
    </row>
    <row r="3345" ht="11.25">
      <c r="S3345" s="21"/>
    </row>
    <row r="3346" ht="11.25">
      <c r="S3346" s="21"/>
    </row>
  </sheetData>
  <sheetProtection/>
  <autoFilter ref="A12:U835"/>
  <mergeCells count="897">
    <mergeCell ref="S77:T77"/>
    <mergeCell ref="S167:T167"/>
    <mergeCell ref="S883:T883"/>
    <mergeCell ref="S69:T69"/>
    <mergeCell ref="S237:T237"/>
    <mergeCell ref="S282:T282"/>
    <mergeCell ref="S340:T340"/>
    <mergeCell ref="S861:T861"/>
    <mergeCell ref="S854:T854"/>
    <mergeCell ref="S855:T855"/>
    <mergeCell ref="S856:T856"/>
    <mergeCell ref="S837:T837"/>
    <mergeCell ref="S67:T67"/>
    <mergeCell ref="S147:T147"/>
    <mergeCell ref="S839:T839"/>
    <mergeCell ref="S840:T840"/>
    <mergeCell ref="S841:T841"/>
    <mergeCell ref="S853:T853"/>
    <mergeCell ref="S842:T842"/>
    <mergeCell ref="S843:T843"/>
    <mergeCell ref="S881:T881"/>
    <mergeCell ref="S878:T878"/>
    <mergeCell ref="S857:T857"/>
    <mergeCell ref="S858:T858"/>
    <mergeCell ref="S864:T864"/>
    <mergeCell ref="S865:T865"/>
    <mergeCell ref="S859:T859"/>
    <mergeCell ref="S860:T860"/>
    <mergeCell ref="S58:T58"/>
    <mergeCell ref="S59:T59"/>
    <mergeCell ref="S830:T830"/>
    <mergeCell ref="S831:T831"/>
    <mergeCell ref="S822:T822"/>
    <mergeCell ref="S823:T823"/>
    <mergeCell ref="S824:T824"/>
    <mergeCell ref="S825:T825"/>
    <mergeCell ref="S826:T826"/>
    <mergeCell ref="S827:T827"/>
    <mergeCell ref="S844:T844"/>
    <mergeCell ref="S845:T845"/>
    <mergeCell ref="S846:T846"/>
    <mergeCell ref="S847:T847"/>
    <mergeCell ref="S850:T850"/>
    <mergeCell ref="S851:T851"/>
    <mergeCell ref="S848:T848"/>
    <mergeCell ref="S852:T852"/>
    <mergeCell ref="S849:T849"/>
    <mergeCell ref="S833:T833"/>
    <mergeCell ref="S838:T838"/>
    <mergeCell ref="S828:T828"/>
    <mergeCell ref="S829:T829"/>
    <mergeCell ref="S834:T834"/>
    <mergeCell ref="S832:T832"/>
    <mergeCell ref="S835:T835"/>
    <mergeCell ref="S836:T836"/>
    <mergeCell ref="S803:T803"/>
    <mergeCell ref="S817:T817"/>
    <mergeCell ref="S818:T818"/>
    <mergeCell ref="S805:T805"/>
    <mergeCell ref="S806:T806"/>
    <mergeCell ref="S807:T807"/>
    <mergeCell ref="S808:T808"/>
    <mergeCell ref="S809:T809"/>
    <mergeCell ref="S810:T810"/>
    <mergeCell ref="S762:T762"/>
    <mergeCell ref="S332:T332"/>
    <mergeCell ref="S293:T293"/>
    <mergeCell ref="S749:T750"/>
    <mergeCell ref="S743:T743"/>
    <mergeCell ref="S744:T744"/>
    <mergeCell ref="S745:T745"/>
    <mergeCell ref="S753:T753"/>
    <mergeCell ref="S754:T754"/>
    <mergeCell ref="S333:T333"/>
    <mergeCell ref="S819:T819"/>
    <mergeCell ref="S820:T820"/>
    <mergeCell ref="S821:T821"/>
    <mergeCell ref="S56:T56"/>
    <mergeCell ref="S811:T811"/>
    <mergeCell ref="S812:T812"/>
    <mergeCell ref="S813:T813"/>
    <mergeCell ref="S814:T814"/>
    <mergeCell ref="S815:T815"/>
    <mergeCell ref="S816:T816"/>
    <mergeCell ref="S798:T798"/>
    <mergeCell ref="S755:T755"/>
    <mergeCell ref="S52:T52"/>
    <mergeCell ref="S804:T804"/>
    <mergeCell ref="S769:T769"/>
    <mergeCell ref="S770:T770"/>
    <mergeCell ref="S775:T775"/>
    <mergeCell ref="S776:T776"/>
    <mergeCell ref="S232:T232"/>
    <mergeCell ref="S233:T233"/>
    <mergeCell ref="S801:T801"/>
    <mergeCell ref="S764:T764"/>
    <mergeCell ref="S334:T334"/>
    <mergeCell ref="S336:T336"/>
    <mergeCell ref="S337:T337"/>
    <mergeCell ref="S335:T335"/>
    <mergeCell ref="S752:T752"/>
    <mergeCell ref="S747:T747"/>
    <mergeCell ref="S792:T792"/>
    <mergeCell ref="S734:T734"/>
    <mergeCell ref="S125:T127"/>
    <mergeCell ref="S128:T128"/>
    <mergeCell ref="S732:T732"/>
    <mergeCell ref="S733:T733"/>
    <mergeCell ref="S329:T329"/>
    <mergeCell ref="S725:T725"/>
    <mergeCell ref="S712:T712"/>
    <mergeCell ref="S713:T713"/>
    <mergeCell ref="S705:T705"/>
    <mergeCell ref="S706:T706"/>
    <mergeCell ref="S746:T746"/>
    <mergeCell ref="S124:T124"/>
    <mergeCell ref="S131:T131"/>
    <mergeCell ref="S130:T130"/>
    <mergeCell ref="S742:T742"/>
    <mergeCell ref="S726:T726"/>
    <mergeCell ref="S727:T727"/>
    <mergeCell ref="S728:T728"/>
    <mergeCell ref="S729:T729"/>
    <mergeCell ref="S736:T736"/>
    <mergeCell ref="S789:T789"/>
    <mergeCell ref="S748:T748"/>
    <mergeCell ref="S724:T724"/>
    <mergeCell ref="S763:T763"/>
    <mergeCell ref="S756:T756"/>
    <mergeCell ref="S730:T730"/>
    <mergeCell ref="S735:T735"/>
    <mergeCell ref="S739:T739"/>
    <mergeCell ref="S740:T740"/>
    <mergeCell ref="S741:T741"/>
    <mergeCell ref="S738:T738"/>
    <mergeCell ref="S326:T326"/>
    <mergeCell ref="S716:T716"/>
    <mergeCell ref="S721:T721"/>
    <mergeCell ref="S711:T711"/>
    <mergeCell ref="S697:T697"/>
    <mergeCell ref="S699:T699"/>
    <mergeCell ref="S698:T698"/>
    <mergeCell ref="S702:T702"/>
    <mergeCell ref="S330:T330"/>
    <mergeCell ref="S714:T714"/>
    <mergeCell ref="S715:T715"/>
    <mergeCell ref="S707:T707"/>
    <mergeCell ref="S331:T331"/>
    <mergeCell ref="S709:T709"/>
    <mergeCell ref="S710:T710"/>
    <mergeCell ref="S704:T704"/>
    <mergeCell ref="S696:T696"/>
    <mergeCell ref="S703:T703"/>
    <mergeCell ref="S694:T694"/>
    <mergeCell ref="S684:T684"/>
    <mergeCell ref="S688:T688"/>
    <mergeCell ref="S687:T687"/>
    <mergeCell ref="S666:T666"/>
    <mergeCell ref="S695:T695"/>
    <mergeCell ref="S682:T682"/>
    <mergeCell ref="S683:T683"/>
    <mergeCell ref="S685:T685"/>
    <mergeCell ref="S686:T686"/>
    <mergeCell ref="S689:T689"/>
    <mergeCell ref="S693:T693"/>
    <mergeCell ref="S690:T690"/>
    <mergeCell ref="S691:T691"/>
    <mergeCell ref="S692:T692"/>
    <mergeCell ref="S391:T391"/>
    <mergeCell ref="S680:T680"/>
    <mergeCell ref="S681:T681"/>
    <mergeCell ref="S679:T679"/>
    <mergeCell ref="S672:T672"/>
    <mergeCell ref="S670:T670"/>
    <mergeCell ref="S675:T675"/>
    <mergeCell ref="S674:T674"/>
    <mergeCell ref="S570:T570"/>
    <mergeCell ref="S650:T657"/>
    <mergeCell ref="S757:T757"/>
    <mergeCell ref="S325:T325"/>
    <mergeCell ref="S45:T45"/>
    <mergeCell ref="S129:T129"/>
    <mergeCell ref="S46:T46"/>
    <mergeCell ref="S678:T678"/>
    <mergeCell ref="S667:T667"/>
    <mergeCell ref="S677:T677"/>
    <mergeCell ref="S676:T676"/>
    <mergeCell ref="S47:T47"/>
    <mergeCell ref="S24:T24"/>
    <mergeCell ref="S33:T33"/>
    <mergeCell ref="S42:T42"/>
    <mergeCell ref="S114:T114"/>
    <mergeCell ref="S41:T41"/>
    <mergeCell ref="S43:T43"/>
    <mergeCell ref="S44:T44"/>
    <mergeCell ref="S48:T48"/>
    <mergeCell ref="S113:T113"/>
    <mergeCell ref="S51:T51"/>
    <mergeCell ref="S665:T665"/>
    <mergeCell ref="S566:T566"/>
    <mergeCell ref="S567:T567"/>
    <mergeCell ref="S568:T568"/>
    <mergeCell ref="S569:T569"/>
    <mergeCell ref="S636:T636"/>
    <mergeCell ref="S637:T637"/>
    <mergeCell ref="S649:T649"/>
    <mergeCell ref="S648:T648"/>
    <mergeCell ref="S642:T642"/>
    <mergeCell ref="S546:T546"/>
    <mergeCell ref="S549:T549"/>
    <mergeCell ref="S553:T553"/>
    <mergeCell ref="S554:T554"/>
    <mergeCell ref="S552:T552"/>
    <mergeCell ref="S548:T548"/>
    <mergeCell ref="S561:T561"/>
    <mergeCell ref="S560:T560"/>
    <mergeCell ref="S556:T556"/>
    <mergeCell ref="S550:T550"/>
    <mergeCell ref="S551:T551"/>
    <mergeCell ref="S555:T555"/>
    <mergeCell ref="S544:T544"/>
    <mergeCell ref="S531:T531"/>
    <mergeCell ref="S527:T527"/>
    <mergeCell ref="S541:T541"/>
    <mergeCell ref="S542:T542"/>
    <mergeCell ref="S543:T543"/>
    <mergeCell ref="S536:T536"/>
    <mergeCell ref="S565:T565"/>
    <mergeCell ref="S545:T545"/>
    <mergeCell ref="S528:T528"/>
    <mergeCell ref="S530:T530"/>
    <mergeCell ref="S535:T535"/>
    <mergeCell ref="S559:T559"/>
    <mergeCell ref="S532:T532"/>
    <mergeCell ref="S533:T533"/>
    <mergeCell ref="S534:T534"/>
    <mergeCell ref="S539:T539"/>
    <mergeCell ref="S519:T519"/>
    <mergeCell ref="S520:T520"/>
    <mergeCell ref="S524:T524"/>
    <mergeCell ref="S529:T529"/>
    <mergeCell ref="S521:T521"/>
    <mergeCell ref="S522:T522"/>
    <mergeCell ref="S523:T523"/>
    <mergeCell ref="S525:T525"/>
    <mergeCell ref="S564:T564"/>
    <mergeCell ref="S563:T563"/>
    <mergeCell ref="S526:T526"/>
    <mergeCell ref="S537:T537"/>
    <mergeCell ref="S538:T538"/>
    <mergeCell ref="S557:T557"/>
    <mergeCell ref="S558:T558"/>
    <mergeCell ref="S562:T562"/>
    <mergeCell ref="S547:T547"/>
    <mergeCell ref="S540:T540"/>
    <mergeCell ref="S513:T513"/>
    <mergeCell ref="S514:T514"/>
    <mergeCell ref="S517:T517"/>
    <mergeCell ref="S518:T518"/>
    <mergeCell ref="S515:T515"/>
    <mergeCell ref="S516:T516"/>
    <mergeCell ref="S501:T501"/>
    <mergeCell ref="S502:T502"/>
    <mergeCell ref="S511:T511"/>
    <mergeCell ref="S512:T512"/>
    <mergeCell ref="S505:T505"/>
    <mergeCell ref="S506:T506"/>
    <mergeCell ref="S507:T507"/>
    <mergeCell ref="S508:T508"/>
    <mergeCell ref="S509:T509"/>
    <mergeCell ref="S510:T510"/>
    <mergeCell ref="S503:T503"/>
    <mergeCell ref="S504:T504"/>
    <mergeCell ref="S493:T493"/>
    <mergeCell ref="S494:T494"/>
    <mergeCell ref="S495:T495"/>
    <mergeCell ref="S496:T496"/>
    <mergeCell ref="S497:T497"/>
    <mergeCell ref="S498:T498"/>
    <mergeCell ref="S499:T499"/>
    <mergeCell ref="S500:T500"/>
    <mergeCell ref="S487:T487"/>
    <mergeCell ref="S488:T488"/>
    <mergeCell ref="S489:T489"/>
    <mergeCell ref="S490:T490"/>
    <mergeCell ref="S475:T475"/>
    <mergeCell ref="S476:T476"/>
    <mergeCell ref="S491:T491"/>
    <mergeCell ref="S492:T492"/>
    <mergeCell ref="S481:T481"/>
    <mergeCell ref="S482:T482"/>
    <mergeCell ref="S483:T483"/>
    <mergeCell ref="S484:T484"/>
    <mergeCell ref="S485:T485"/>
    <mergeCell ref="S486:T486"/>
    <mergeCell ref="S479:T479"/>
    <mergeCell ref="S480:T480"/>
    <mergeCell ref="S469:T469"/>
    <mergeCell ref="S470:T470"/>
    <mergeCell ref="S471:T471"/>
    <mergeCell ref="S472:T472"/>
    <mergeCell ref="S477:T477"/>
    <mergeCell ref="S478:T478"/>
    <mergeCell ref="S473:T473"/>
    <mergeCell ref="S474:T474"/>
    <mergeCell ref="S459:T459"/>
    <mergeCell ref="S468:T468"/>
    <mergeCell ref="S460:T460"/>
    <mergeCell ref="S461:T461"/>
    <mergeCell ref="S462:T462"/>
    <mergeCell ref="S463:T463"/>
    <mergeCell ref="S464:T464"/>
    <mergeCell ref="S465:T465"/>
    <mergeCell ref="S466:T466"/>
    <mergeCell ref="S467:T467"/>
    <mergeCell ref="S428:T428"/>
    <mergeCell ref="S441:T441"/>
    <mergeCell ref="S442:T442"/>
    <mergeCell ref="S443:T443"/>
    <mergeCell ref="S436:T436"/>
    <mergeCell ref="S432:T432"/>
    <mergeCell ref="S438:T438"/>
    <mergeCell ref="S437:T437"/>
    <mergeCell ref="S457:T457"/>
    <mergeCell ref="S447:T447"/>
    <mergeCell ref="S448:T448"/>
    <mergeCell ref="S449:T449"/>
    <mergeCell ref="S450:T450"/>
    <mergeCell ref="S453:T453"/>
    <mergeCell ref="S454:T454"/>
    <mergeCell ref="S455:T455"/>
    <mergeCell ref="S456:T456"/>
    <mergeCell ref="S445:T445"/>
    <mergeCell ref="S446:T446"/>
    <mergeCell ref="S421:T421"/>
    <mergeCell ref="S429:T429"/>
    <mergeCell ref="S430:T430"/>
    <mergeCell ref="S423:T423"/>
    <mergeCell ref="S424:T424"/>
    <mergeCell ref="S425:T425"/>
    <mergeCell ref="S426:T426"/>
    <mergeCell ref="S444:T444"/>
    <mergeCell ref="S400:T400"/>
    <mergeCell ref="S401:T401"/>
    <mergeCell ref="S402:T402"/>
    <mergeCell ref="S403:T403"/>
    <mergeCell ref="S404:T404"/>
    <mergeCell ref="S405:T405"/>
    <mergeCell ref="S411:T411"/>
    <mergeCell ref="S407:T407"/>
    <mergeCell ref="S408:T408"/>
    <mergeCell ref="S409:T409"/>
    <mergeCell ref="S410:T410"/>
    <mergeCell ref="S406:T406"/>
    <mergeCell ref="S417:T417"/>
    <mergeCell ref="S418:T418"/>
    <mergeCell ref="S427:T427"/>
    <mergeCell ref="S422:T422"/>
    <mergeCell ref="S641:T641"/>
    <mergeCell ref="S640:T640"/>
    <mergeCell ref="S645:T645"/>
    <mergeCell ref="S644:T644"/>
    <mergeCell ref="S643:T643"/>
    <mergeCell ref="S646:T646"/>
    <mergeCell ref="S647:T647"/>
    <mergeCell ref="S270:T270"/>
    <mergeCell ref="S115:T115"/>
    <mergeCell ref="S116:T116"/>
    <mergeCell ref="S257:T257"/>
    <mergeCell ref="S229:T229"/>
    <mergeCell ref="S231:T231"/>
    <mergeCell ref="S120:T120"/>
    <mergeCell ref="S121:T121"/>
    <mergeCell ref="S663:T663"/>
    <mergeCell ref="S664:T664"/>
    <mergeCell ref="S658:T658"/>
    <mergeCell ref="S659:T659"/>
    <mergeCell ref="S660:T660"/>
    <mergeCell ref="S661:T661"/>
    <mergeCell ref="S662:T662"/>
    <mergeCell ref="S639:T639"/>
    <mergeCell ref="S631:T631"/>
    <mergeCell ref="S633:T633"/>
    <mergeCell ref="S634:T634"/>
    <mergeCell ref="S635:T635"/>
    <mergeCell ref="S628:T628"/>
    <mergeCell ref="S629:T629"/>
    <mergeCell ref="S630:T630"/>
    <mergeCell ref="S638:T638"/>
    <mergeCell ref="S615:T615"/>
    <mergeCell ref="S616:T616"/>
    <mergeCell ref="S617:T617"/>
    <mergeCell ref="S594:T594"/>
    <mergeCell ref="S606:T606"/>
    <mergeCell ref="S609:T609"/>
    <mergeCell ref="S610:T610"/>
    <mergeCell ref="S598:T598"/>
    <mergeCell ref="S611:T611"/>
    <mergeCell ref="S608:T608"/>
    <mergeCell ref="S627:T627"/>
    <mergeCell ref="S597:T597"/>
    <mergeCell ref="S591:T591"/>
    <mergeCell ref="S626:T626"/>
    <mergeCell ref="S619:T619"/>
    <mergeCell ref="S620:T620"/>
    <mergeCell ref="S621:T621"/>
    <mergeCell ref="S622:T622"/>
    <mergeCell ref="S623:T623"/>
    <mergeCell ref="S624:T624"/>
    <mergeCell ref="S625:T625"/>
    <mergeCell ref="S230:T230"/>
    <mergeCell ref="A313:B321"/>
    <mergeCell ref="C313:K313"/>
    <mergeCell ref="C321:K321"/>
    <mergeCell ref="A380:K380"/>
    <mergeCell ref="S596:T596"/>
    <mergeCell ref="S434:T434"/>
    <mergeCell ref="S590:T590"/>
    <mergeCell ref="S435:T435"/>
    <mergeCell ref="S132:T132"/>
    <mergeCell ref="A261:B269"/>
    <mergeCell ref="S256:T256"/>
    <mergeCell ref="A260:L260"/>
    <mergeCell ref="S149:T149"/>
    <mergeCell ref="S217:T217"/>
    <mergeCell ref="S218:T218"/>
    <mergeCell ref="S258:T258"/>
    <mergeCell ref="S134:T134"/>
    <mergeCell ref="S135:T135"/>
    <mergeCell ref="S40:T40"/>
    <mergeCell ref="S123:T123"/>
    <mergeCell ref="S117:T117"/>
    <mergeCell ref="S118:T118"/>
    <mergeCell ref="S100:T100"/>
    <mergeCell ref="S54:T54"/>
    <mergeCell ref="S122:T122"/>
    <mergeCell ref="S57:T57"/>
    <mergeCell ref="S119:T119"/>
    <mergeCell ref="S55:T55"/>
    <mergeCell ref="S49:T49"/>
    <mergeCell ref="S30:T30"/>
    <mergeCell ref="S34:T34"/>
    <mergeCell ref="S112:T112"/>
    <mergeCell ref="S36:T36"/>
    <mergeCell ref="S37:T37"/>
    <mergeCell ref="S35:T35"/>
    <mergeCell ref="S50:T50"/>
    <mergeCell ref="S53:T53"/>
    <mergeCell ref="S38:T38"/>
    <mergeCell ref="S39:T39"/>
    <mergeCell ref="C111:K111"/>
    <mergeCell ref="A14:B22"/>
    <mergeCell ref="S23:T23"/>
    <mergeCell ref="S25:T25"/>
    <mergeCell ref="S26:T26"/>
    <mergeCell ref="S27:T27"/>
    <mergeCell ref="S32:T32"/>
    <mergeCell ref="S28:T28"/>
    <mergeCell ref="S29:T29"/>
    <mergeCell ref="S31:T31"/>
    <mergeCell ref="C261:K261"/>
    <mergeCell ref="A247:B255"/>
    <mergeCell ref="S378:T378"/>
    <mergeCell ref="C247:K247"/>
    <mergeCell ref="C255:K255"/>
    <mergeCell ref="A246:L246"/>
    <mergeCell ref="A312:K312"/>
    <mergeCell ref="S277:T277"/>
    <mergeCell ref="S133:T133"/>
    <mergeCell ref="A1:T1"/>
    <mergeCell ref="S244:T244"/>
    <mergeCell ref="C13:L13"/>
    <mergeCell ref="A102:L102"/>
    <mergeCell ref="A219:L219"/>
    <mergeCell ref="A103:B111"/>
    <mergeCell ref="C103:K103"/>
    <mergeCell ref="C220:K220"/>
    <mergeCell ref="C228:K228"/>
    <mergeCell ref="A220:B228"/>
    <mergeCell ref="S392:T392"/>
    <mergeCell ref="S393:T393"/>
    <mergeCell ref="S394:T394"/>
    <mergeCell ref="S395:T395"/>
    <mergeCell ref="S396:T396"/>
    <mergeCell ref="S433:T433"/>
    <mergeCell ref="S397:T397"/>
    <mergeCell ref="S413:T413"/>
    <mergeCell ref="S419:T419"/>
    <mergeCell ref="S412:T412"/>
    <mergeCell ref="S420:T420"/>
    <mergeCell ref="S414:T414"/>
    <mergeCell ref="S415:T415"/>
    <mergeCell ref="S416:T416"/>
    <mergeCell ref="C381:K381"/>
    <mergeCell ref="C389:K389"/>
    <mergeCell ref="S593:T593"/>
    <mergeCell ref="S584:T584"/>
    <mergeCell ref="S585:T585"/>
    <mergeCell ref="S439:T439"/>
    <mergeCell ref="S573:T573"/>
    <mergeCell ref="S458:T458"/>
    <mergeCell ref="S451:T451"/>
    <mergeCell ref="S452:T452"/>
    <mergeCell ref="S613:T613"/>
    <mergeCell ref="S614:T614"/>
    <mergeCell ref="S632:T632"/>
    <mergeCell ref="A381:B389"/>
    <mergeCell ref="S607:T607"/>
    <mergeCell ref="S605:T605"/>
    <mergeCell ref="S603:T603"/>
    <mergeCell ref="S604:T604"/>
    <mergeCell ref="S602:T602"/>
    <mergeCell ref="S595:T595"/>
    <mergeCell ref="S587:T587"/>
    <mergeCell ref="S589:T589"/>
    <mergeCell ref="S588:T588"/>
    <mergeCell ref="S1163:T1163"/>
    <mergeCell ref="S592:T592"/>
    <mergeCell ref="S600:T600"/>
    <mergeCell ref="S599:T599"/>
    <mergeCell ref="S601:T601"/>
    <mergeCell ref="S618:T618"/>
    <mergeCell ref="S612:T612"/>
    <mergeCell ref="S278:T278"/>
    <mergeCell ref="S583:T583"/>
    <mergeCell ref="S273:T273"/>
    <mergeCell ref="S274:T274"/>
    <mergeCell ref="S275:T275"/>
    <mergeCell ref="S276:T276"/>
    <mergeCell ref="S576:T576"/>
    <mergeCell ref="S580:T580"/>
    <mergeCell ref="S440:T440"/>
    <mergeCell ref="S581:T581"/>
    <mergeCell ref="S271:T271"/>
    <mergeCell ref="S272:T272"/>
    <mergeCell ref="S136:T136"/>
    <mergeCell ref="S323:T323"/>
    <mergeCell ref="S279:T279"/>
    <mergeCell ref="S280:T280"/>
    <mergeCell ref="S310:T310"/>
    <mergeCell ref="S322:T322"/>
    <mergeCell ref="S146:T146"/>
    <mergeCell ref="S148:T148"/>
    <mergeCell ref="S281:T281"/>
    <mergeCell ref="S574:T574"/>
    <mergeCell ref="S431:T431"/>
    <mergeCell ref="S338:T338"/>
    <mergeCell ref="S571:T571"/>
    <mergeCell ref="S390:T390"/>
    <mergeCell ref="S572:T572"/>
    <mergeCell ref="S324:T324"/>
    <mergeCell ref="S398:T398"/>
    <mergeCell ref="S399:T399"/>
    <mergeCell ref="S66:T66"/>
    <mergeCell ref="S60:T60"/>
    <mergeCell ref="S61:T61"/>
    <mergeCell ref="S62:T62"/>
    <mergeCell ref="S63:T63"/>
    <mergeCell ref="S64:T64"/>
    <mergeCell ref="S65:T65"/>
    <mergeCell ref="S294:T294"/>
    <mergeCell ref="S295:T295"/>
    <mergeCell ref="S296:T296"/>
    <mergeCell ref="S297:T297"/>
    <mergeCell ref="S298:T298"/>
    <mergeCell ref="S299:T299"/>
    <mergeCell ref="S300:T300"/>
    <mergeCell ref="S301:T301"/>
    <mergeCell ref="S302:T302"/>
    <mergeCell ref="S303:T303"/>
    <mergeCell ref="S304:T304"/>
    <mergeCell ref="S305:T305"/>
    <mergeCell ref="S306:T306"/>
    <mergeCell ref="S307:T307"/>
    <mergeCell ref="S341:T341"/>
    <mergeCell ref="S342:T342"/>
    <mergeCell ref="S328:T328"/>
    <mergeCell ref="S327:T327"/>
    <mergeCell ref="S343:T343"/>
    <mergeCell ref="S344:T344"/>
    <mergeCell ref="S345:T345"/>
    <mergeCell ref="S346:T346"/>
    <mergeCell ref="S347:T347"/>
    <mergeCell ref="S348:T348"/>
    <mergeCell ref="S349:T349"/>
    <mergeCell ref="S350:T350"/>
    <mergeCell ref="S351:T351"/>
    <mergeCell ref="S352:T352"/>
    <mergeCell ref="S353:T353"/>
    <mergeCell ref="S354:T354"/>
    <mergeCell ref="S355:T355"/>
    <mergeCell ref="S356:T356"/>
    <mergeCell ref="S357:T357"/>
    <mergeCell ref="S358:T358"/>
    <mergeCell ref="S359:T359"/>
    <mergeCell ref="S360:T360"/>
    <mergeCell ref="S361:T361"/>
    <mergeCell ref="S362:T362"/>
    <mergeCell ref="S363:T363"/>
    <mergeCell ref="S364:T364"/>
    <mergeCell ref="S365:T365"/>
    <mergeCell ref="S366:T366"/>
    <mergeCell ref="S367:T367"/>
    <mergeCell ref="S368:T368"/>
    <mergeCell ref="S369:T369"/>
    <mergeCell ref="S370:T370"/>
    <mergeCell ref="S371:T371"/>
    <mergeCell ref="S372:T372"/>
    <mergeCell ref="S373:T373"/>
    <mergeCell ref="S374:T374"/>
    <mergeCell ref="S375:T375"/>
    <mergeCell ref="S376:T376"/>
    <mergeCell ref="S884:T884"/>
    <mergeCell ref="S885:T885"/>
    <mergeCell ref="S575:T575"/>
    <mergeCell ref="S586:T586"/>
    <mergeCell ref="S582:T582"/>
    <mergeCell ref="S577:T577"/>
    <mergeCell ref="S578:T578"/>
    <mergeCell ref="S579:T579"/>
    <mergeCell ref="S886:T886"/>
    <mergeCell ref="S887:T887"/>
    <mergeCell ref="S888:T888"/>
    <mergeCell ref="S889:T889"/>
    <mergeCell ref="S890:T890"/>
    <mergeCell ref="S891:T891"/>
    <mergeCell ref="S892:T892"/>
    <mergeCell ref="S893:T893"/>
    <mergeCell ref="S894:T894"/>
    <mergeCell ref="S895:T895"/>
    <mergeCell ref="S896:T896"/>
    <mergeCell ref="S897:T897"/>
    <mergeCell ref="S898:T898"/>
    <mergeCell ref="S899:T899"/>
    <mergeCell ref="S900:T900"/>
    <mergeCell ref="S901:T901"/>
    <mergeCell ref="S902:T902"/>
    <mergeCell ref="S903:T903"/>
    <mergeCell ref="S904:T904"/>
    <mergeCell ref="S905:T905"/>
    <mergeCell ref="S906:T906"/>
    <mergeCell ref="S907:T907"/>
    <mergeCell ref="S908:T908"/>
    <mergeCell ref="S909:T909"/>
    <mergeCell ref="S910:T910"/>
    <mergeCell ref="S911:T911"/>
    <mergeCell ref="S912:T912"/>
    <mergeCell ref="S913:T913"/>
    <mergeCell ref="S914:T914"/>
    <mergeCell ref="S915:T915"/>
    <mergeCell ref="S916:T916"/>
    <mergeCell ref="S917:T917"/>
    <mergeCell ref="S918:T918"/>
    <mergeCell ref="S919:T919"/>
    <mergeCell ref="S920:T920"/>
    <mergeCell ref="S921:T921"/>
    <mergeCell ref="S922:T922"/>
    <mergeCell ref="S923:T923"/>
    <mergeCell ref="S924:T924"/>
    <mergeCell ref="S925:T925"/>
    <mergeCell ref="S926:T926"/>
    <mergeCell ref="S927:T927"/>
    <mergeCell ref="S928:T928"/>
    <mergeCell ref="S929:T929"/>
    <mergeCell ref="S930:T930"/>
    <mergeCell ref="S931:T931"/>
    <mergeCell ref="S932:T932"/>
    <mergeCell ref="S933:T933"/>
    <mergeCell ref="S934:T934"/>
    <mergeCell ref="S935:T935"/>
    <mergeCell ref="S936:T936"/>
    <mergeCell ref="S937:T937"/>
    <mergeCell ref="S938:T938"/>
    <mergeCell ref="S939:T939"/>
    <mergeCell ref="S940:T940"/>
    <mergeCell ref="S941:T941"/>
    <mergeCell ref="S942:T942"/>
    <mergeCell ref="S943:T943"/>
    <mergeCell ref="S944:T944"/>
    <mergeCell ref="S945:T945"/>
    <mergeCell ref="S946:T946"/>
    <mergeCell ref="S947:T947"/>
    <mergeCell ref="S948:T948"/>
    <mergeCell ref="S949:T949"/>
    <mergeCell ref="S950:T950"/>
    <mergeCell ref="S951:T951"/>
    <mergeCell ref="S952:T952"/>
    <mergeCell ref="S953:T953"/>
    <mergeCell ref="S954:T954"/>
    <mergeCell ref="S955:T955"/>
    <mergeCell ref="S956:T956"/>
    <mergeCell ref="S957:T957"/>
    <mergeCell ref="S958:T958"/>
    <mergeCell ref="S959:T959"/>
    <mergeCell ref="S960:T960"/>
    <mergeCell ref="S961:T961"/>
    <mergeCell ref="S962:T962"/>
    <mergeCell ref="S963:T963"/>
    <mergeCell ref="S964:T964"/>
    <mergeCell ref="S965:T965"/>
    <mergeCell ref="S966:T966"/>
    <mergeCell ref="S967:T967"/>
    <mergeCell ref="S968:T968"/>
    <mergeCell ref="S969:T969"/>
    <mergeCell ref="S970:T970"/>
    <mergeCell ref="S971:T971"/>
    <mergeCell ref="S972:T972"/>
    <mergeCell ref="S973:T973"/>
    <mergeCell ref="S974:T974"/>
    <mergeCell ref="S975:T975"/>
    <mergeCell ref="S976:T976"/>
    <mergeCell ref="S977:T977"/>
    <mergeCell ref="S978:T978"/>
    <mergeCell ref="S979:T979"/>
    <mergeCell ref="S980:T980"/>
    <mergeCell ref="S981:T981"/>
    <mergeCell ref="S982:T982"/>
    <mergeCell ref="S983:T983"/>
    <mergeCell ref="S984:T984"/>
    <mergeCell ref="S985:T985"/>
    <mergeCell ref="S986:T986"/>
    <mergeCell ref="S987:T987"/>
    <mergeCell ref="S988:T988"/>
    <mergeCell ref="S989:T989"/>
    <mergeCell ref="S990:T990"/>
    <mergeCell ref="S991:T991"/>
    <mergeCell ref="S992:T992"/>
    <mergeCell ref="S993:T993"/>
    <mergeCell ref="S994:T994"/>
    <mergeCell ref="S995:T995"/>
    <mergeCell ref="S996:T996"/>
    <mergeCell ref="S997:T997"/>
    <mergeCell ref="S998:T998"/>
    <mergeCell ref="S999:T999"/>
    <mergeCell ref="S1000:T1000"/>
    <mergeCell ref="S1001:T1001"/>
    <mergeCell ref="S1002:T1002"/>
    <mergeCell ref="S1003:T1003"/>
    <mergeCell ref="S1004:T1004"/>
    <mergeCell ref="S1005:T1005"/>
    <mergeCell ref="S1006:T1006"/>
    <mergeCell ref="S1007:T1007"/>
    <mergeCell ref="S1008:T1008"/>
    <mergeCell ref="S1009:T1009"/>
    <mergeCell ref="S1010:T1010"/>
    <mergeCell ref="S1011:T1011"/>
    <mergeCell ref="S1012:T1012"/>
    <mergeCell ref="S1013:T1013"/>
    <mergeCell ref="S1014:T1014"/>
    <mergeCell ref="S1015:T1015"/>
    <mergeCell ref="S1016:T1016"/>
    <mergeCell ref="S1017:T1017"/>
    <mergeCell ref="S1018:T1018"/>
    <mergeCell ref="S1019:T1019"/>
    <mergeCell ref="S1020:T1020"/>
    <mergeCell ref="S1021:T1021"/>
    <mergeCell ref="S1022:T1022"/>
    <mergeCell ref="S1023:T1023"/>
    <mergeCell ref="S1024:T1024"/>
    <mergeCell ref="S1025:T1025"/>
    <mergeCell ref="S1026:T1026"/>
    <mergeCell ref="S1027:T1027"/>
    <mergeCell ref="S1028:T1028"/>
    <mergeCell ref="S1029:T1029"/>
    <mergeCell ref="S1030:T1030"/>
    <mergeCell ref="S1031:T1031"/>
    <mergeCell ref="S1032:T1032"/>
    <mergeCell ref="S1033:T1033"/>
    <mergeCell ref="S1034:T1034"/>
    <mergeCell ref="S1035:T1035"/>
    <mergeCell ref="S1036:T1036"/>
    <mergeCell ref="S1037:T1037"/>
    <mergeCell ref="S1038:T1038"/>
    <mergeCell ref="S1039:T1039"/>
    <mergeCell ref="S1040:T1040"/>
    <mergeCell ref="S1041:T1041"/>
    <mergeCell ref="S1042:T1042"/>
    <mergeCell ref="S1043:T1043"/>
    <mergeCell ref="S1044:T1044"/>
    <mergeCell ref="S1045:T1045"/>
    <mergeCell ref="S1046:T1046"/>
    <mergeCell ref="S1047:T1047"/>
    <mergeCell ref="S1048:T1048"/>
    <mergeCell ref="S1049:T1049"/>
    <mergeCell ref="S1050:T1050"/>
    <mergeCell ref="S1051:T1051"/>
    <mergeCell ref="S1052:T1052"/>
    <mergeCell ref="S1053:T1053"/>
    <mergeCell ref="S1054:T1054"/>
    <mergeCell ref="S1055:T1055"/>
    <mergeCell ref="S1056:T1056"/>
    <mergeCell ref="S1057:T1057"/>
    <mergeCell ref="S1058:T1058"/>
    <mergeCell ref="S1059:T1059"/>
    <mergeCell ref="S1060:T1060"/>
    <mergeCell ref="S1061:T1061"/>
    <mergeCell ref="S1062:T1062"/>
    <mergeCell ref="S1063:T1063"/>
    <mergeCell ref="S1064:T1064"/>
    <mergeCell ref="S1065:T1065"/>
    <mergeCell ref="S1066:T1066"/>
    <mergeCell ref="S1067:T1067"/>
    <mergeCell ref="S1068:T1068"/>
    <mergeCell ref="S1069:T1069"/>
    <mergeCell ref="S1070:T1070"/>
    <mergeCell ref="S1071:T1071"/>
    <mergeCell ref="S1072:T1072"/>
    <mergeCell ref="S1073:T1073"/>
    <mergeCell ref="S1074:T1074"/>
    <mergeCell ref="S1075:T1075"/>
    <mergeCell ref="S1076:T1076"/>
    <mergeCell ref="S1077:T1077"/>
    <mergeCell ref="S1078:T1078"/>
    <mergeCell ref="S1079:T1079"/>
    <mergeCell ref="S1080:T1080"/>
    <mergeCell ref="S1081:T1081"/>
    <mergeCell ref="S1082:T1082"/>
    <mergeCell ref="S1083:T1083"/>
    <mergeCell ref="S1084:T1084"/>
    <mergeCell ref="S1085:T1085"/>
    <mergeCell ref="S1086:T1086"/>
    <mergeCell ref="S1087:T1087"/>
    <mergeCell ref="S1088:T1088"/>
    <mergeCell ref="S1089:T1089"/>
    <mergeCell ref="S1090:T1090"/>
    <mergeCell ref="S1091:T1091"/>
    <mergeCell ref="S1092:T1092"/>
    <mergeCell ref="S1093:T1093"/>
    <mergeCell ref="S1094:T1094"/>
    <mergeCell ref="S1095:T1095"/>
    <mergeCell ref="S1096:T1096"/>
    <mergeCell ref="S1097:T1097"/>
    <mergeCell ref="S1098:T1098"/>
    <mergeCell ref="S1099:T1099"/>
    <mergeCell ref="S1100:T1100"/>
    <mergeCell ref="S1101:T1101"/>
    <mergeCell ref="S1102:T1102"/>
    <mergeCell ref="S1103:T1103"/>
    <mergeCell ref="S1104:T1104"/>
    <mergeCell ref="S1105:T1105"/>
    <mergeCell ref="S1106:T1106"/>
    <mergeCell ref="S1107:T1107"/>
    <mergeCell ref="S1108:T1108"/>
    <mergeCell ref="S1109:T1109"/>
    <mergeCell ref="S1110:T1110"/>
    <mergeCell ref="S1111:T1111"/>
    <mergeCell ref="S1112:T1112"/>
    <mergeCell ref="S1113:T1113"/>
    <mergeCell ref="S1114:T1114"/>
    <mergeCell ref="S1115:T1115"/>
    <mergeCell ref="S1116:T1116"/>
    <mergeCell ref="S1117:T1117"/>
    <mergeCell ref="S1118:T1118"/>
    <mergeCell ref="S1119:T1119"/>
    <mergeCell ref="S1120:T1120"/>
    <mergeCell ref="S1121:T1121"/>
    <mergeCell ref="S1122:T1122"/>
    <mergeCell ref="S1123:T1123"/>
    <mergeCell ref="S1124:T1124"/>
    <mergeCell ref="S1125:T1125"/>
    <mergeCell ref="S1126:T1126"/>
    <mergeCell ref="S1127:T1127"/>
    <mergeCell ref="S1128:T1128"/>
    <mergeCell ref="S1129:T1129"/>
    <mergeCell ref="S1130:T1130"/>
    <mergeCell ref="S1131:T1131"/>
    <mergeCell ref="S1132:T1132"/>
    <mergeCell ref="S1133:T1133"/>
    <mergeCell ref="S1134:T1134"/>
    <mergeCell ref="S1135:T1135"/>
    <mergeCell ref="S1136:T1136"/>
    <mergeCell ref="S1137:T1137"/>
    <mergeCell ref="S1138:T1138"/>
    <mergeCell ref="S1139:T1139"/>
    <mergeCell ref="S1140:T1140"/>
    <mergeCell ref="S1141:T1141"/>
    <mergeCell ref="S1142:T1142"/>
    <mergeCell ref="S1143:T1143"/>
    <mergeCell ref="S1144:T1144"/>
    <mergeCell ref="S1145:T1145"/>
    <mergeCell ref="S1146:T1146"/>
    <mergeCell ref="S1147:T1147"/>
    <mergeCell ref="S1148:T1148"/>
    <mergeCell ref="S1149:T1149"/>
    <mergeCell ref="S1150:T1150"/>
    <mergeCell ref="S1151:T1151"/>
    <mergeCell ref="S1152:T1152"/>
    <mergeCell ref="S1153:T1153"/>
    <mergeCell ref="S1154:T1154"/>
    <mergeCell ref="S1155:T1155"/>
    <mergeCell ref="S1156:T1156"/>
    <mergeCell ref="S1157:T1157"/>
    <mergeCell ref="S1162:T1162"/>
    <mergeCell ref="S1158:T1158"/>
    <mergeCell ref="S1159:T1159"/>
    <mergeCell ref="S1160:T1160"/>
    <mergeCell ref="S1161:T1161"/>
  </mergeCells>
  <printOptions horizontalCentered="1"/>
  <pageMargins left="0.1968503937007874" right="0.15748031496062992" top="0.2362204724409449" bottom="0.2362204724409449" header="0.15748031496062992" footer="0.15748031496062992"/>
  <pageSetup horizontalDpi="600" verticalDpi="600" orientation="landscape" paperSize="9" scale="60" r:id="rId3"/>
  <headerFooter alignWithMargins="0">
    <oddFooter>&amp;RPagina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2007-09-27T10:07:40Z</cp:lastPrinted>
  <dcterms:created xsi:type="dcterms:W3CDTF">2005-04-28T08:10:49Z</dcterms:created>
  <dcterms:modified xsi:type="dcterms:W3CDTF">2008-12-10T11:00:30Z</dcterms:modified>
  <cp:category/>
  <cp:version/>
  <cp:contentType/>
  <cp:contentStatus/>
</cp:coreProperties>
</file>