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activeTab="0"/>
  </bookViews>
  <sheets>
    <sheet name="Complessivo" sheetId="1" r:id="rId1"/>
  </sheets>
  <definedNames>
    <definedName name="_xlnm._FilterDatabase" localSheetId="0" hidden="1">'Complessivo'!$A$7:$T$250</definedName>
    <definedName name="_xlnm.Print_Area" localSheetId="0">'Complessivo'!$A$1:$T$250</definedName>
    <definedName name="_xlnm.Print_Titles" localSheetId="0">'Complessivo'!$1:$5</definedName>
  </definedNames>
  <calcPr fullCalcOnLoad="1"/>
</workbook>
</file>

<file path=xl/sharedStrings.xml><?xml version="1.0" encoding="utf-8"?>
<sst xmlns="http://schemas.openxmlformats.org/spreadsheetml/2006/main" count="1180" uniqueCount="369">
  <si>
    <t>PROGETTO</t>
  </si>
  <si>
    <t>LICENZE</t>
  </si>
  <si>
    <t>Fornitore</t>
  </si>
  <si>
    <t>Imponibile</t>
  </si>
  <si>
    <t>Iva</t>
  </si>
  <si>
    <t>Totale fattura</t>
  </si>
  <si>
    <t>PERSONALE</t>
  </si>
  <si>
    <t>CONSULENZE</t>
  </si>
  <si>
    <t>SOFTWARE</t>
  </si>
  <si>
    <t>INFRASTRUTTURE</t>
  </si>
  <si>
    <t>SPESE GENERALI</t>
  </si>
  <si>
    <t>Att.</t>
  </si>
  <si>
    <t>Previsto</t>
  </si>
  <si>
    <t>Residuo</t>
  </si>
  <si>
    <t>SAL</t>
  </si>
  <si>
    <t>I</t>
  </si>
  <si>
    <t>Modalità</t>
  </si>
  <si>
    <t>Data Pag</t>
  </si>
  <si>
    <t>Data fatt</t>
  </si>
  <si>
    <t>N. fattura</t>
  </si>
  <si>
    <t>Descr.</t>
  </si>
  <si>
    <t>Costi ammessi</t>
  </si>
  <si>
    <t>Contributo</t>
  </si>
  <si>
    <t>NOLO LEASING AMM</t>
  </si>
  <si>
    <t>Partner</t>
  </si>
  <si>
    <t>Ant.</t>
  </si>
  <si>
    <t>Erogare</t>
  </si>
  <si>
    <t>Note</t>
  </si>
  <si>
    <t>SAL 1</t>
  </si>
  <si>
    <t>TOT GEN</t>
  </si>
  <si>
    <t>TOT SAL 1</t>
  </si>
  <si>
    <t>Avvio PR</t>
  </si>
  <si>
    <t>Polizza fideiussoria</t>
  </si>
  <si>
    <t>IVA=</t>
  </si>
  <si>
    <t>Res IVA=</t>
  </si>
  <si>
    <t>Farmacisti Network</t>
  </si>
  <si>
    <t>Ordine Bari</t>
  </si>
  <si>
    <t>Consiglio Pasquale</t>
  </si>
  <si>
    <t>Attività 1</t>
  </si>
  <si>
    <t>Milano Assicurazioni La Previdente</t>
  </si>
  <si>
    <t>Ordine Lecce</t>
  </si>
  <si>
    <t>Quarta Lucia</t>
  </si>
  <si>
    <t>Ordine Foggia</t>
  </si>
  <si>
    <t>Calabrese Rosanna</t>
  </si>
  <si>
    <t>Ordine Brindisi</t>
  </si>
  <si>
    <t>D'Elia Antonio</t>
  </si>
  <si>
    <t>Medea srl</t>
  </si>
  <si>
    <t>Univ. Pop. Apulie</t>
  </si>
  <si>
    <t>B. B.</t>
  </si>
  <si>
    <t>01/05</t>
  </si>
  <si>
    <t xml:space="preserve">Grifo Multimedia </t>
  </si>
  <si>
    <t>1,2,7</t>
  </si>
  <si>
    <t>Attività 1,2,7</t>
  </si>
  <si>
    <t>AB 20821</t>
  </si>
  <si>
    <t>Missione Antonio Ulloa Severino</t>
  </si>
  <si>
    <t>Missione Francesca Vitucci</t>
  </si>
  <si>
    <t>Missione Francesca Vitucci Aerei</t>
  </si>
  <si>
    <t>Busta Paga Maggio</t>
  </si>
  <si>
    <t>Busta Paga Marzo</t>
  </si>
  <si>
    <t>B.B.</t>
  </si>
  <si>
    <t xml:space="preserve">Carta di Credito </t>
  </si>
  <si>
    <t>Mediterranea</t>
  </si>
  <si>
    <t>Diella Maria</t>
  </si>
  <si>
    <t>Grasso Rossella</t>
  </si>
  <si>
    <t>Attività 7</t>
  </si>
  <si>
    <t>Grifo Multimedia</t>
  </si>
  <si>
    <t>Spese per energia elettrica</t>
  </si>
  <si>
    <t>Spese condominio gennaio-febbraio</t>
  </si>
  <si>
    <t>Spese telefoniche</t>
  </si>
  <si>
    <t>Spese di cancelleria</t>
  </si>
  <si>
    <t>Spese notarili per costituzione ATS</t>
  </si>
  <si>
    <t>Spese condominio marzo-aprile</t>
  </si>
  <si>
    <t>Spese postali</t>
  </si>
  <si>
    <t>Spese affitto febbraio-marzo-aprile</t>
  </si>
  <si>
    <t>Spese affitto maggio</t>
  </si>
  <si>
    <t>Spese affitto giugno</t>
  </si>
  <si>
    <t>Spese condominio maggio-giugno</t>
  </si>
  <si>
    <t>Personale Indiretto per attività amministrativa (25 ore)</t>
  </si>
  <si>
    <t>Enel Distribuzione Spa</t>
  </si>
  <si>
    <t>Condominio Via Putignani n. 178</t>
  </si>
  <si>
    <t>FASTWEB Spa</t>
  </si>
  <si>
    <t>ADITEK Srl</t>
  </si>
  <si>
    <t>Flash Centro Stampa</t>
  </si>
  <si>
    <t>Notai Castellaneta - Ladisa</t>
  </si>
  <si>
    <t>Drogheria Di Cosmo</t>
  </si>
  <si>
    <t>Tabaccheria n. 25</t>
  </si>
  <si>
    <t>Ancona Giuseppe</t>
  </si>
  <si>
    <t>304/05</t>
  </si>
  <si>
    <t xml:space="preserve">busta paga </t>
  </si>
  <si>
    <t>Addebito su c/c/b</t>
  </si>
  <si>
    <t>Assegno bancario NT</t>
  </si>
  <si>
    <t>Bonifico bancario</t>
  </si>
  <si>
    <t>Contanti</t>
  </si>
  <si>
    <t>Non sono ammesse spese in contanti</t>
  </si>
  <si>
    <t>Consulenza per Attività 1 e 7</t>
  </si>
  <si>
    <t>FARMACISTI NETWORK  cod. 26 - RIEPILOGO SPESE</t>
  </si>
  <si>
    <t>Anche se il calcolo del costo orario presentato non è secondo le linee guida i costi ammessi</t>
  </si>
  <si>
    <t>Anche se il calcolo del costo orario presentato non è secondo le linee guida i costi sono ammessi</t>
  </si>
  <si>
    <t>Utilizzo al 60% a partire dal 15/3/2005</t>
  </si>
  <si>
    <t>Togliere questa IVA su prossimo sal</t>
  </si>
  <si>
    <t>II</t>
  </si>
  <si>
    <t>Ordine Framacisti Provincia di Bari</t>
  </si>
  <si>
    <t>Unità operativa di monitoraggio</t>
  </si>
  <si>
    <t>Dr. Pasquale Intranò</t>
  </si>
  <si>
    <t>39/2005</t>
  </si>
  <si>
    <t>Assegno bancario</t>
  </si>
  <si>
    <t>Dr. Ferdinando Boccia</t>
  </si>
  <si>
    <t xml:space="preserve">Dr. Tommaso di Gioia </t>
  </si>
  <si>
    <t>115/2005</t>
  </si>
  <si>
    <t>Dr.ssa Caterina Luisa Appio</t>
  </si>
  <si>
    <t>Iva Ammessa</t>
  </si>
  <si>
    <t>Totale ammesso</t>
  </si>
  <si>
    <t>Ordine Taranto</t>
  </si>
  <si>
    <t>Attività1</t>
  </si>
  <si>
    <t>Polignano Antonio</t>
  </si>
  <si>
    <t>Medea s.r.l.</t>
  </si>
  <si>
    <t>Università Pop. APULIAE</t>
  </si>
  <si>
    <t>05/05</t>
  </si>
  <si>
    <t>Bonifico Bancario</t>
  </si>
  <si>
    <t>06/05</t>
  </si>
  <si>
    <t>04/10/2005 11/10/2005 17/10/2005</t>
  </si>
  <si>
    <t>Attività A4-A7</t>
  </si>
  <si>
    <t>Medea srl.</t>
  </si>
  <si>
    <t>Licenza Software</t>
  </si>
  <si>
    <t>Flaminia Computer</t>
  </si>
  <si>
    <t>SAL 2</t>
  </si>
  <si>
    <t>Acquisto Server</t>
  </si>
  <si>
    <t>Bellante Maria Teresa, Bianco Francesco, Civitella Elisa, Diella Maria, Grasso Rossella</t>
  </si>
  <si>
    <t>Progettazione infrastruttura funzionale del Call Center (sottoattività 1.4)</t>
  </si>
  <si>
    <t>Piattaforma internet per attività 1 "Analisi dei requisiti"</t>
  </si>
  <si>
    <t>Progettazione questionari per attività 1 "Analisi dei requisiti"</t>
  </si>
  <si>
    <t>Ideazione e coordinamento attività di comunicazione e diffusione (att. 6)</t>
  </si>
  <si>
    <t>Progettazione e realizzazione grafica (attività 6)</t>
  </si>
  <si>
    <t>Puglia Lavora in Rete soc. coop. a r.l.</t>
  </si>
  <si>
    <t>A/B</t>
  </si>
  <si>
    <t>09/05</t>
  </si>
  <si>
    <t>Consorzio per le Valutazioni Biologiche e Farmacologiche</t>
  </si>
  <si>
    <t>19/05</t>
  </si>
  <si>
    <t>Puglia Lavoro e Comunicazione soc. cons. a r.l.</t>
  </si>
  <si>
    <t>3/2005</t>
  </si>
  <si>
    <t>Kibrit &amp; Calce s.r.l.</t>
  </si>
  <si>
    <t>43</t>
  </si>
  <si>
    <t>10/05</t>
  </si>
  <si>
    <t>Ampliamento telefoni interni</t>
  </si>
  <si>
    <t>Installazione interruttore</t>
  </si>
  <si>
    <t>Marzocca s.r.l.</t>
  </si>
  <si>
    <t>3117/10</t>
  </si>
  <si>
    <t>T&amp;G Costruzioni</t>
  </si>
  <si>
    <t>DELL SA</t>
  </si>
  <si>
    <t>Energia elettrica 07-08/05</t>
  </si>
  <si>
    <t>Spese condominiali 07-08/05</t>
  </si>
  <si>
    <t>Locazione beni mobili 1^ semestre</t>
  </si>
  <si>
    <t>Spese telefoniche 05-06/05</t>
  </si>
  <si>
    <t>Energia elettrica 05-06/05</t>
  </si>
  <si>
    <t>Spese telefoniche 03-04/05</t>
  </si>
  <si>
    <t xml:space="preserve">Spese affitto luglio-agosto </t>
  </si>
  <si>
    <t>Personale indiretto per attività amministrativa (n.46 ore)</t>
  </si>
  <si>
    <t>Spese condominiali 09-10/05</t>
  </si>
  <si>
    <t>ENEL S.p.A.</t>
  </si>
  <si>
    <t>Addebito c/c/b</t>
  </si>
  <si>
    <t>Amm. Condominio Sig. Mutasci</t>
  </si>
  <si>
    <t>Fastweb S.p.A.</t>
  </si>
  <si>
    <t>Sig. Ancona Giuseppe</t>
  </si>
  <si>
    <t>busta paga</t>
  </si>
  <si>
    <t>Ulloa Severino Antonio, De Girolamo Antonio, Melfi Livio, Vitucci Francesca, Rizzuti Luca</t>
  </si>
  <si>
    <t>Ulloa Severino Antonio, De Girolamo Antonio, Melfi Livio, Vitucci Francesca, Rizzuti Luca,Francesca Spada</t>
  </si>
  <si>
    <t xml:space="preserve">Realizzazione dell'infrastruttura FAD </t>
  </si>
  <si>
    <t>Progettazione e sviluppo software per applicazioni di formazione a distanza (FAD)</t>
  </si>
  <si>
    <t>Michele Emanuele Digioia</t>
  </si>
  <si>
    <t>12/05</t>
  </si>
  <si>
    <t>13/05</t>
  </si>
  <si>
    <t>14/05</t>
  </si>
  <si>
    <t>15/05</t>
  </si>
  <si>
    <t>03/10/2005</t>
  </si>
  <si>
    <t>Fabio Mozzillo</t>
  </si>
  <si>
    <t>7/2005</t>
  </si>
  <si>
    <t>10/2005</t>
  </si>
  <si>
    <t>11/2005</t>
  </si>
  <si>
    <t>12/2005</t>
  </si>
  <si>
    <t xml:space="preserve">Acconto su 1 server Dell + 1 switch </t>
  </si>
  <si>
    <t xml:space="preserve">1 server Dell + 1 switch </t>
  </si>
  <si>
    <t>1 work station</t>
  </si>
  <si>
    <t>1 masterizzatore</t>
  </si>
  <si>
    <t>SalpaLAN</t>
  </si>
  <si>
    <t>30/05/2005</t>
  </si>
  <si>
    <t>30/05/2006</t>
  </si>
  <si>
    <t>Dell S.A.</t>
  </si>
  <si>
    <t>Media World - Mediamarket S.p.A.</t>
  </si>
  <si>
    <t>04211150</t>
  </si>
  <si>
    <t>Pagobancomat</t>
  </si>
  <si>
    <t>Datamatic S.p.A.</t>
  </si>
  <si>
    <t>K050862</t>
  </si>
  <si>
    <t>N. 3 Windows XP Professional Italian CD</t>
  </si>
  <si>
    <t>Piattaforma e-learning</t>
  </si>
  <si>
    <t>J. Soft Distribuzione S.p.A.</t>
  </si>
  <si>
    <t>FT016603</t>
  </si>
  <si>
    <t>Docent Germany GmbH Trading as SumTotal Systems</t>
  </si>
  <si>
    <t>Connettività internet e hosting web server</t>
  </si>
  <si>
    <t xml:space="preserve">Tecnopolis CSATA </t>
  </si>
  <si>
    <t>26/04/2005</t>
  </si>
  <si>
    <t>Personale indiretto per attività amministrativa dal 01/04/2005 al 23/09/2005 (570 ore)</t>
  </si>
  <si>
    <t>Servizi di Global Facility Management fornitoVi presso il PST Tecnopolis di Valenzano (BA) Periodo Gennaio - Marzo 2005</t>
  </si>
  <si>
    <t>Servizi di Global Facility Management fornitoVi presso il PST Tecnopolis di Valenzano (BA) Periodo Aprile - Giugno 2005</t>
  </si>
  <si>
    <t>Nicoletta Furio</t>
  </si>
  <si>
    <t>Buste paga  aprile, maggio, giugno, settembre 2005</t>
  </si>
  <si>
    <t>31/05/2005; 30/06/2005; 30/09/2005</t>
  </si>
  <si>
    <t>04/05/2005; 01/06/2005; 04/07/2005; 03/10/2005</t>
  </si>
  <si>
    <t>Emmegiesse S.p.A.</t>
  </si>
  <si>
    <t>18/05</t>
  </si>
  <si>
    <t>22/02/2005</t>
  </si>
  <si>
    <t>100/05</t>
  </si>
  <si>
    <t>ContributoIVA</t>
  </si>
  <si>
    <t>Contributo totale</t>
  </si>
  <si>
    <t>TOT SAL 2</t>
  </si>
  <si>
    <t>Spesa ammessa</t>
  </si>
  <si>
    <t>Iva ammessa</t>
  </si>
  <si>
    <t>TOT ammes</t>
  </si>
  <si>
    <t>Contrib. Costi</t>
  </si>
  <si>
    <t>Contrib. Iva</t>
  </si>
  <si>
    <t>TOT CONTR</t>
  </si>
  <si>
    <t>Sotratta IVA non ammissibile su fattura e concesa sul SAL I</t>
  </si>
  <si>
    <t>TOT SAL 3</t>
  </si>
  <si>
    <t>SAL 3</t>
  </si>
  <si>
    <t>CONTRIBUTO</t>
  </si>
  <si>
    <t>Inserite dal beneficiario in licenze, è stata spostata in software.</t>
  </si>
  <si>
    <t>Fago, Mongelli, Ripa, Di Ronzo, Bartoloni sommano dai riepilogativi 45gg in fascia II e 53gg in fascia III, per un totale di 45+240+53+160=19.280 mentre sono fatturate 58gg in fascia II e 39gg in fascia III per un tot di 19040 ma pagate solo 19.000 che si ritengono ammissibili. Mancano i curriculum di tutti tranne Mongelli e in assenza di questi il contributo verrà stralciato nel prossimo SAL.</t>
  </si>
  <si>
    <t>III</t>
  </si>
  <si>
    <t>Locazione da effettuare con società commerciali di hw e sw che assicurino la manutenzione delle apparecchiature. Esibire copia delle fatture di acquisto delle apparechiaure che non devono aver superato il periodo di ammortamento. Il costo del nolo appare comunque troppo elevato in relazione al valore ammortizzabile dei bani. Non ammesse.</t>
  </si>
  <si>
    <t>Applicata l'aliquota indicata del 60% per le spese generali imputabili al progetto</t>
  </si>
  <si>
    <t>Esibire copia del contratto di locazione dell'immobile in via putignani 178 bari. Dimostrazione incasso A.B. con estratto conto.</t>
  </si>
  <si>
    <t>SAL 1 - 24/01/2005 - 24/05/2005</t>
  </si>
  <si>
    <t>SAL 2 - 24/05/2005 - 24/09/2005</t>
  </si>
  <si>
    <t>CONTRIB IVA</t>
  </si>
  <si>
    <t>Eliminati costi Ulloa amministratore unico</t>
  </si>
  <si>
    <t>2 Creative Webcam Instant, Sitecom USB 2.0 pocket HUB, Logitech Dinovo Cless Desktop Notebook</t>
  </si>
  <si>
    <t>BCI-6Y Serbatoio giallo, BCI3E-BK Serbatoio Nero</t>
  </si>
  <si>
    <t>Le fatture portano errato indirizzo del destinatario.</t>
  </si>
  <si>
    <t>Provvisorio</t>
  </si>
  <si>
    <t>Concesso in via provvisoria</t>
  </si>
  <si>
    <t>Conguaglio su II sal</t>
  </si>
  <si>
    <t>Ammessi provvisoriamente</t>
  </si>
  <si>
    <t>Conguaglio su II SAL</t>
  </si>
  <si>
    <t>provvisorio</t>
  </si>
  <si>
    <r>
      <t xml:space="preserve">Non ammesse spese di attivazione </t>
    </r>
    <r>
      <rPr>
        <b/>
        <sz val="8"/>
        <rFont val="Arial"/>
        <family val="2"/>
      </rPr>
      <t>invece Le abbiamo ammesse OK</t>
    </r>
  </si>
  <si>
    <r>
      <t xml:space="preserve">Eliminate imposte e morosità </t>
    </r>
    <r>
      <rPr>
        <b/>
        <sz val="8"/>
        <rFont val="Arial"/>
        <family val="2"/>
      </rPr>
      <t>Invece non le abbiamo eliminate. Saranno eliminate nel prossimo Sal</t>
    </r>
  </si>
  <si>
    <t>Congluaglio II SAL</t>
  </si>
  <si>
    <t>SAL 3 - 24/09/2005 - 24/01/2006</t>
  </si>
  <si>
    <t>4/2006</t>
  </si>
  <si>
    <t>1</t>
  </si>
  <si>
    <t>Pagato con altra banca</t>
  </si>
  <si>
    <t>Guido Maria Porcelli</t>
  </si>
  <si>
    <t>Consulenza</t>
  </si>
  <si>
    <t>GAG di Giovanni De Serio</t>
  </si>
  <si>
    <t>MAC OSX SERVER,ILIFEFP,IWORK FP,VIRTUAL PC,STUFFIT DELUXE,ROXIO TITANIUM6,MACROMEDIA STUDIO MX,ACROBAT PRO,FILEMAKER 7.0-ITA, ADOBE CREATIVE PREMIUN SUITE 1.6 MAC ITA</t>
  </si>
  <si>
    <t>bonifico bancario</t>
  </si>
  <si>
    <t xml:space="preserve">acquisto computer iBook 12"portatili </t>
  </si>
  <si>
    <t>A/39</t>
  </si>
  <si>
    <t>Bellante Maria Teresa, Bianco Francesco, Civitella Elisa, Grasso Rossella, Lampugnano Boris, De Marinis Milena, Casamassima Domenico, Fusco Alessandra, D'ignazi Rosa Maria</t>
  </si>
  <si>
    <t>4</t>
  </si>
  <si>
    <t>56</t>
  </si>
  <si>
    <r>
      <t>I</t>
    </r>
    <r>
      <rPr>
        <strike/>
        <sz val="8"/>
        <rFont val="Arial"/>
        <family val="2"/>
      </rPr>
      <t>l contratto di consulenza va perfezionato direttamente con Anastasia Peragine e con la Kibrit nel caso la stessa ne fosse dipendente. In questo caso fornire dichiarazione attestante la posizione di lavoratore subordinato della consulente alla Kibrit</t>
    </r>
    <r>
      <rPr>
        <sz val="8"/>
        <rFont val="Arial"/>
        <family val="2"/>
      </rPr>
      <t xml:space="preserve">.              </t>
    </r>
    <r>
      <rPr>
        <b/>
        <sz val="8"/>
        <rFont val="Arial"/>
        <family val="2"/>
      </rPr>
      <t>OK 11/04/06.</t>
    </r>
  </si>
  <si>
    <t>Numero Verde Call Center 08/2005</t>
  </si>
  <si>
    <t>Albacom S.p.A</t>
  </si>
  <si>
    <t>Numero Verde Call Center 09/2005</t>
  </si>
  <si>
    <t>Servizi di pulizia 04/2005</t>
  </si>
  <si>
    <t>TECNOSUD soc. coop. a.r.l.</t>
  </si>
  <si>
    <t>Servizi di pulizia 05-06/2005</t>
  </si>
  <si>
    <t>Servizi di pulizia 07-08/2005</t>
  </si>
  <si>
    <t>Servizi di pulizia 09-10/2005</t>
  </si>
  <si>
    <t>Spese condominiali 11-12/2005</t>
  </si>
  <si>
    <t>Cancelleria e materiali di consumo</t>
  </si>
  <si>
    <t>Cartoleria Cucinella</t>
  </si>
  <si>
    <t>Toner per stampanti</t>
  </si>
  <si>
    <t>Spazio Ufficio</t>
  </si>
  <si>
    <t>Spese telefoniche fax 06-07/05</t>
  </si>
  <si>
    <t>Telecom Italia S.p.A.</t>
  </si>
  <si>
    <t>Versam. su c/c/p</t>
  </si>
  <si>
    <t>Spese telefoniche fax 08-09/05</t>
  </si>
  <si>
    <t>BONIFICO</t>
  </si>
  <si>
    <t>Spese telefoniche fax 10-11/05</t>
  </si>
  <si>
    <t xml:space="preserve">Spese telefoniche fax </t>
  </si>
  <si>
    <t>Bonifico</t>
  </si>
  <si>
    <t>Energia elettrica 09-10/05</t>
  </si>
  <si>
    <t>Energia elettrica 11-12/05</t>
  </si>
  <si>
    <t>Spese telefoniche 07-08/05</t>
  </si>
  <si>
    <t>Spese telefoniche 09-10/05</t>
  </si>
  <si>
    <t>Spese affitto set-ott/2005</t>
  </si>
  <si>
    <t>Spese affitto nov-dic/2005</t>
  </si>
  <si>
    <t xml:space="preserve">Personale indiretto per attività amministrativa </t>
  </si>
  <si>
    <t>Rosa Maria D'Ignazi</t>
  </si>
  <si>
    <r>
      <t>Manca firma e annullamento fattura</t>
    </r>
    <r>
      <rPr>
        <sz val="8"/>
        <rFont val="Arial"/>
        <family val="2"/>
      </rPr>
      <t>.</t>
    </r>
    <r>
      <rPr>
        <b/>
        <sz val="8"/>
        <rFont val="Arial"/>
        <family val="2"/>
      </rPr>
      <t xml:space="preserve"> OK 11/04/06</t>
    </r>
  </si>
  <si>
    <r>
      <t xml:space="preserve">Esibire copia del contratto di locazione dell'immobile in via putignani 178 bari. Dimostrazione incasso A.B. con estratto conto. </t>
    </r>
    <r>
      <rPr>
        <b/>
        <sz val="8"/>
        <rFont val="Arial"/>
        <family val="2"/>
      </rPr>
      <t>Ok 11/04/06</t>
    </r>
  </si>
  <si>
    <r>
      <t xml:space="preserve">Esibire copia del contratto di collaborazione. </t>
    </r>
    <r>
      <rPr>
        <b/>
        <sz val="8"/>
        <rFont val="Arial"/>
        <family val="2"/>
      </rPr>
      <t>Ok 11/04/06</t>
    </r>
  </si>
  <si>
    <r>
      <t>dimostrazione dell'incasso assegno.</t>
    </r>
    <r>
      <rPr>
        <b/>
        <sz val="8"/>
        <rFont val="Arial"/>
        <family val="2"/>
      </rPr>
      <t>Ok 11/04/06</t>
    </r>
  </si>
  <si>
    <r>
      <t>dimostrazione dell'incasso assegno.</t>
    </r>
    <r>
      <rPr>
        <b/>
        <sz val="8"/>
        <rFont val="Arial"/>
        <family val="2"/>
      </rPr>
      <t xml:space="preserve"> Ok 11/04/06</t>
    </r>
  </si>
  <si>
    <r>
      <t xml:space="preserve">Mostrare i preventivi ottenuti per assegnazione dell'incarico. 19gg per 300euro= 5700euro riconoscibili. Manca dimostrazione di incasso dell'assegno bancario mediante esibizione di estratto conto. </t>
    </r>
    <r>
      <rPr>
        <b/>
        <sz val="8"/>
        <rFont val="Arial"/>
        <family val="2"/>
      </rPr>
      <t>Ok 11/04/06</t>
    </r>
  </si>
  <si>
    <r>
      <t>Mostrare i preventivi ottenuti per l'assegnazione dell'incarico.Manca estratto conto per dimostrazione incasso A.B.</t>
    </r>
    <r>
      <rPr>
        <b/>
        <sz val="8"/>
        <rFont val="Arial"/>
        <family val="2"/>
      </rPr>
      <t xml:space="preserve"> Ok 11/04/06</t>
    </r>
  </si>
  <si>
    <t>De Girolamo Antonio, Melfi Livio, Vitucci Francesca, Rizzuti Luca,Francesca Spada, Sabino Parente, Nicoletta Furio</t>
  </si>
  <si>
    <t>16/05</t>
  </si>
  <si>
    <t>17/05</t>
  </si>
  <si>
    <t>01/06</t>
  </si>
  <si>
    <t>13/2005</t>
  </si>
  <si>
    <t>15/2005</t>
  </si>
  <si>
    <t>1/2006</t>
  </si>
  <si>
    <t>2/2006</t>
  </si>
  <si>
    <t>Fornitura materiali strutturati per la realizzazione del corso FAD "Materie prime e preparazioni galeniche in farmacia"</t>
  </si>
  <si>
    <t>Michele Angelo                 Dalfino Spinelli</t>
  </si>
  <si>
    <t>Giuseppe Morea</t>
  </si>
  <si>
    <t>Fornitura materiali strutturati per la realizzazione del corso FAD "Aspetti tossicologici degli alimenti"</t>
  </si>
  <si>
    <t>Marcello Diego Lograno</t>
  </si>
  <si>
    <t>2 work station</t>
  </si>
  <si>
    <t>1 videoproiettore NEC HT510</t>
  </si>
  <si>
    <t>Distec Italia S.r.l.</t>
  </si>
  <si>
    <t>4912/web</t>
  </si>
  <si>
    <t xml:space="preserve">Assegno </t>
  </si>
  <si>
    <t>Servizi di Global Facility Management fornitoVi presso il PST Tecnopolis di Valenzano (BA) Periodo Luglio - Settembre 2005</t>
  </si>
  <si>
    <t>200/05</t>
  </si>
  <si>
    <t>Indirizzo Grifo è diverso</t>
  </si>
  <si>
    <t>IV</t>
  </si>
  <si>
    <r>
      <t>Contratto tra Mediterranea e PLANET i cui legali rappresentanti sono la stessa persona Anna Maria Caputo. Allega dichiarazione di specificità della prestazione per incarico diretto, dichiarando invece di aver contattato altri 5 possibili fornitori di cui non allega i preventivi, come richiesto dalle Linee Guida Operative della Misura. Il consulente Chieppa Nicola si dichiara in III fascia e quindi il suo costo massimo sarebbe di 180x6=1080euro invece dei 1850 portati in fattura. Il consulente PierPaolo Ronzino espone 16gg di consulenza a 125 euro/g. Tali costi saranno riconosciuti solo dietro presentazione dei citati preventivi e del verbale di selezione del miglior offerente. Manca dimostrazione di pagamento: fotocopia assegno e estratto conto bancario con estremi di incasso. Fornire copia del Libro matricola di Puglia Lavoro in rete da cui si evincano quali dipendenti i consulenti citati, o equivalente dichiarazione autocertificata. Manca liberatoria del fornitore.</t>
    </r>
    <r>
      <rPr>
        <b/>
        <sz val="8"/>
        <rFont val="Arial"/>
        <family val="2"/>
      </rPr>
      <t xml:space="preserve"> Non ammesso perchè i consulenti non sono dipendenti di Planet. 11/04/06. Ammesso in IV sal perche' sono soci lavoratori della planet (25/05/06)</t>
    </r>
  </si>
  <si>
    <t>SAL 4 - 25/01/2006 - 24/05/2006</t>
  </si>
  <si>
    <t>TOT SAL 4</t>
  </si>
  <si>
    <t>SAL 4</t>
  </si>
  <si>
    <t>n.ro 8 dipendenti</t>
  </si>
  <si>
    <t>Organizzazione di un data base finalizzato per attività 3 "Call Center"</t>
  </si>
  <si>
    <t>23/06</t>
  </si>
  <si>
    <t>15</t>
  </si>
  <si>
    <t>Numero Verde Call Center 10/2005</t>
  </si>
  <si>
    <t>Numero Verde Call Center 11/2005</t>
  </si>
  <si>
    <t>Numero Verde Call Center 12/2005</t>
  </si>
  <si>
    <t>Numero Verde Call Center 12/2006</t>
  </si>
  <si>
    <t>Spese condominiali 1-2/2006 + CONGUAGLIO 2005</t>
  </si>
  <si>
    <t xml:space="preserve">Spese condominiali 3-4/2006 </t>
  </si>
  <si>
    <t xml:space="preserve">Spese condominiali 5-6/2006 </t>
  </si>
  <si>
    <t>Cancelleria e materiali di consumo (ordine del 17/11/2005)</t>
  </si>
  <si>
    <t>Assistenza e tamburo per stampanti</t>
  </si>
  <si>
    <t>Spese telefoniche 11-12/05</t>
  </si>
  <si>
    <t>Spese telefoniche 1-2/06</t>
  </si>
  <si>
    <t>Spese telefoniche 3-4/06</t>
  </si>
  <si>
    <t>Spese telefoniche 12/05-01/06 FAX</t>
  </si>
  <si>
    <t>TELECOM ITALIA</t>
  </si>
  <si>
    <t>8S00241756</t>
  </si>
  <si>
    <t>Spese telefoniche 02/06-03/06 FAX</t>
  </si>
  <si>
    <t>8S00470191</t>
  </si>
  <si>
    <t>Energia elettrica 1 - 2/2006</t>
  </si>
  <si>
    <t>ENEL</t>
  </si>
  <si>
    <t>Energia elettrica 3 - 4/2006</t>
  </si>
  <si>
    <t>Canone di locazione 01/02-2006</t>
  </si>
  <si>
    <t>Canone di locazione 03/04-2006</t>
  </si>
  <si>
    <t>Francobolli</t>
  </si>
  <si>
    <t xml:space="preserve">Attività Amministrativa - D'Ignazi rosa Maria </t>
  </si>
  <si>
    <t>Bonifico + Assegno bancario</t>
  </si>
  <si>
    <t>n.ro 9 dipendenti</t>
  </si>
  <si>
    <t>02/06</t>
  </si>
  <si>
    <t>03/06</t>
  </si>
  <si>
    <t>05/06</t>
  </si>
  <si>
    <t>17/2006</t>
  </si>
  <si>
    <t>77/bis 2006</t>
  </si>
  <si>
    <t>7</t>
  </si>
  <si>
    <t>72006345 1014067</t>
  </si>
  <si>
    <t>72006345 1014068</t>
  </si>
  <si>
    <t>Telecom Italia SPA</t>
  </si>
  <si>
    <t>8S00258695</t>
  </si>
  <si>
    <t>Addebito diretto su conto corrente</t>
  </si>
  <si>
    <t>Manca dimostrazione del pagamento</t>
  </si>
  <si>
    <r>
      <t xml:space="preserve">Manca fattura. </t>
    </r>
    <r>
      <rPr>
        <b/>
        <sz val="8"/>
        <rFont val="Arial"/>
        <family val="2"/>
      </rPr>
      <t>Ok 20/07/06 manca però dimostrazione pagamento</t>
    </r>
  </si>
  <si>
    <t>Costi di allacciam. non ammessa</t>
  </si>
  <si>
    <t>Recupero per IVA non ammissibile su terzo sal</t>
  </si>
  <si>
    <t>Ok max ammissibile</t>
  </si>
</sst>
</file>

<file path=xl/styles.xml><?xml version="1.0" encoding="utf-8"?>
<styleSheet xmlns="http://schemas.openxmlformats.org/spreadsheetml/2006/main">
  <numFmts count="2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_-* #,##0.00_-;\-* #,##0.00_-;_-* &quot;-&quot;_-;_-@_-"/>
    <numFmt numFmtId="172" formatCode="#,##0.00_ ;\-#,##0.00\ "/>
    <numFmt numFmtId="173" formatCode="mmm\-yyyy"/>
    <numFmt numFmtId="174" formatCode="&quot;Sì&quot;;&quot;Sì&quot;;&quot;No&quot;"/>
    <numFmt numFmtId="175" formatCode="&quot;Vero&quot;;&quot;Vero&quot;;&quot;Falso&quot;"/>
    <numFmt numFmtId="176" formatCode="&quot;Attivo&quot;;&quot;Attivo&quot;;&quot;Disattivo&quot;"/>
    <numFmt numFmtId="177" formatCode="0.0"/>
    <numFmt numFmtId="178" formatCode="[$-410]dddd\ d\ mmmm\ yyyy"/>
    <numFmt numFmtId="179" formatCode="dd/mm/yy;@"/>
    <numFmt numFmtId="180" formatCode="h\.mm\.ss"/>
    <numFmt numFmtId="181" formatCode="d/m;@"/>
    <numFmt numFmtId="182" formatCode="#,##0.000"/>
    <numFmt numFmtId="183" formatCode="#,##0.0000"/>
    <numFmt numFmtId="184" formatCode="d/m/yy"/>
  </numFmts>
  <fonts count="18">
    <font>
      <sz val="10"/>
      <name val="Arial"/>
      <family val="0"/>
    </font>
    <font>
      <b/>
      <sz val="8"/>
      <name val="Arial"/>
      <family val="2"/>
    </font>
    <font>
      <sz val="8"/>
      <color indexed="10"/>
      <name val="Arial"/>
      <family val="2"/>
    </font>
    <font>
      <sz val="8"/>
      <name val="Arial"/>
      <family val="2"/>
    </font>
    <font>
      <b/>
      <sz val="8"/>
      <color indexed="10"/>
      <name val="Arial"/>
      <family val="2"/>
    </font>
    <font>
      <b/>
      <sz val="8"/>
      <color indexed="12"/>
      <name val="Arial"/>
      <family val="2"/>
    </font>
    <font>
      <b/>
      <sz val="8"/>
      <color indexed="16"/>
      <name val="Arial"/>
      <family val="2"/>
    </font>
    <font>
      <b/>
      <sz val="8"/>
      <color indexed="17"/>
      <name val="Arial"/>
      <family val="2"/>
    </font>
    <font>
      <b/>
      <sz val="8"/>
      <color indexed="8"/>
      <name val="Arial"/>
      <family val="2"/>
    </font>
    <font>
      <b/>
      <sz val="8"/>
      <color indexed="20"/>
      <name val="Arial"/>
      <family val="2"/>
    </font>
    <font>
      <u val="single"/>
      <sz val="10"/>
      <color indexed="12"/>
      <name val="Arial"/>
      <family val="0"/>
    </font>
    <font>
      <u val="single"/>
      <sz val="10"/>
      <color indexed="36"/>
      <name val="Arial"/>
      <family val="0"/>
    </font>
    <font>
      <sz val="8"/>
      <name val="Times New Roman"/>
      <family val="1"/>
    </font>
    <font>
      <sz val="11"/>
      <name val="Times New Roman"/>
      <family val="1"/>
    </font>
    <font>
      <sz val="8"/>
      <color indexed="8"/>
      <name val="Arial"/>
      <family val="2"/>
    </font>
    <font>
      <strike/>
      <sz val="8"/>
      <name val="Arial"/>
      <family val="2"/>
    </font>
    <font>
      <i/>
      <sz val="8"/>
      <name val="Arial"/>
      <family val="2"/>
    </font>
    <font>
      <sz val="8"/>
      <name val="Tahoma"/>
      <family val="2"/>
    </font>
  </fonts>
  <fills count="7">
    <fill>
      <patternFill/>
    </fill>
    <fill>
      <patternFill patternType="gray125"/>
    </fill>
    <fill>
      <patternFill patternType="solid">
        <fgColor indexed="1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3">
    <xf numFmtId="0" fontId="0" fillId="0" borderId="0" xfId="0" applyAlignment="1">
      <alignment/>
    </xf>
    <xf numFmtId="0" fontId="1" fillId="0" borderId="0" xfId="0" applyFont="1" applyBorder="1" applyAlignment="1">
      <alignment/>
    </xf>
    <xf numFmtId="0" fontId="3" fillId="0" borderId="0" xfId="0" applyFont="1" applyBorder="1" applyAlignment="1">
      <alignment/>
    </xf>
    <xf numFmtId="4" fontId="4" fillId="0" borderId="1" xfId="0" applyNumberFormat="1" applyFont="1" applyBorder="1" applyAlignment="1">
      <alignment/>
    </xf>
    <xf numFmtId="4" fontId="5" fillId="0" borderId="2" xfId="0" applyNumberFormat="1" applyFont="1" applyBorder="1" applyAlignment="1">
      <alignment/>
    </xf>
    <xf numFmtId="4" fontId="6" fillId="0" borderId="2" xfId="0" applyNumberFormat="1" applyFont="1" applyBorder="1" applyAlignment="1">
      <alignment/>
    </xf>
    <xf numFmtId="4" fontId="7" fillId="0" borderId="2" xfId="0" applyNumberFormat="1" applyFont="1" applyBorder="1" applyAlignment="1">
      <alignment/>
    </xf>
    <xf numFmtId="0" fontId="8" fillId="0" borderId="2" xfId="0" applyFont="1" applyBorder="1" applyAlignment="1">
      <alignment horizontal="center" vertical="center" wrapText="1"/>
    </xf>
    <xf numFmtId="0" fontId="3" fillId="0" borderId="2" xfId="0" applyFont="1" applyBorder="1" applyAlignment="1">
      <alignment horizontal="center"/>
    </xf>
    <xf numFmtId="0" fontId="3" fillId="0" borderId="2" xfId="0" applyFont="1" applyBorder="1" applyAlignment="1">
      <alignment/>
    </xf>
    <xf numFmtId="14" fontId="3" fillId="0" borderId="2" xfId="0" applyNumberFormat="1" applyFont="1" applyBorder="1" applyAlignment="1">
      <alignment/>
    </xf>
    <xf numFmtId="14" fontId="3" fillId="0" borderId="2" xfId="0" applyNumberFormat="1" applyFont="1" applyBorder="1" applyAlignment="1">
      <alignment/>
    </xf>
    <xf numFmtId="4" fontId="3" fillId="0" borderId="2" xfId="0" applyNumberFormat="1" applyFont="1" applyBorder="1" applyAlignment="1">
      <alignment/>
    </xf>
    <xf numFmtId="0" fontId="5" fillId="0" borderId="2" xfId="0" applyFont="1" applyBorder="1" applyAlignment="1">
      <alignment/>
    </xf>
    <xf numFmtId="0" fontId="7" fillId="0" borderId="2" xfId="0" applyFont="1" applyBorder="1" applyAlignment="1">
      <alignment/>
    </xf>
    <xf numFmtId="0" fontId="3" fillId="0" borderId="2" xfId="0" applyFont="1" applyBorder="1" applyAlignment="1">
      <alignment wrapText="1"/>
    </xf>
    <xf numFmtId="14" fontId="3" fillId="0" borderId="2" xfId="0" applyNumberFormat="1" applyFont="1" applyBorder="1" applyAlignment="1">
      <alignment wrapText="1"/>
    </xf>
    <xf numFmtId="0" fontId="8" fillId="0" borderId="3" xfId="0" applyFont="1" applyBorder="1" applyAlignment="1">
      <alignment horizontal="center" vertical="center" wrapText="1"/>
    </xf>
    <xf numFmtId="0" fontId="1" fillId="0" borderId="0" xfId="0" applyFont="1" applyBorder="1" applyAlignment="1">
      <alignment wrapText="1"/>
    </xf>
    <xf numFmtId="0" fontId="3" fillId="0" borderId="0" xfId="0" applyFont="1" applyBorder="1" applyAlignment="1">
      <alignment wrapText="1"/>
    </xf>
    <xf numFmtId="0" fontId="3" fillId="0" borderId="0" xfId="0" applyFont="1" applyBorder="1" applyAlignment="1">
      <alignment horizontal="center" wrapText="1"/>
    </xf>
    <xf numFmtId="0" fontId="9" fillId="0" borderId="0" xfId="0" applyFont="1" applyBorder="1" applyAlignment="1">
      <alignment wrapText="1"/>
    </xf>
    <xf numFmtId="0" fontId="9" fillId="0" borderId="0" xfId="0" applyFont="1" applyBorder="1" applyAlignment="1">
      <alignment/>
    </xf>
    <xf numFmtId="4" fontId="3" fillId="0" borderId="2" xfId="0" applyNumberFormat="1" applyFont="1" applyFill="1" applyBorder="1" applyAlignment="1">
      <alignment/>
    </xf>
    <xf numFmtId="4" fontId="1" fillId="0" borderId="0" xfId="0" applyNumberFormat="1" applyFont="1" applyBorder="1" applyAlignment="1">
      <alignment wrapText="1"/>
    </xf>
    <xf numFmtId="4" fontId="1" fillId="2" borderId="4" xfId="0" applyNumberFormat="1" applyFont="1" applyFill="1" applyBorder="1" applyAlignment="1">
      <alignment horizontal="center"/>
    </xf>
    <xf numFmtId="4" fontId="1" fillId="2" borderId="5" xfId="0" applyNumberFormat="1" applyFont="1" applyFill="1" applyBorder="1" applyAlignment="1">
      <alignment horizontal="center"/>
    </xf>
    <xf numFmtId="0" fontId="8" fillId="0" borderId="1" xfId="0" applyFont="1" applyBorder="1" applyAlignment="1">
      <alignment horizontal="center" vertical="center" wrapText="1"/>
    </xf>
    <xf numFmtId="4" fontId="1" fillId="0" borderId="0" xfId="0" applyNumberFormat="1" applyFont="1" applyBorder="1" applyAlignment="1">
      <alignment/>
    </xf>
    <xf numFmtId="4" fontId="9" fillId="0" borderId="6" xfId="0" applyNumberFormat="1" applyFont="1" applyBorder="1" applyAlignment="1">
      <alignment horizontal="left"/>
    </xf>
    <xf numFmtId="4" fontId="9" fillId="0" borderId="0" xfId="0" applyNumberFormat="1" applyFont="1" applyBorder="1" applyAlignment="1">
      <alignment horizontal="left"/>
    </xf>
    <xf numFmtId="0" fontId="9" fillId="0" borderId="0" xfId="0" applyFont="1" applyBorder="1" applyAlignment="1">
      <alignment horizontal="left"/>
    </xf>
    <xf numFmtId="0" fontId="1" fillId="0" borderId="1" xfId="0" applyFont="1" applyBorder="1" applyAlignment="1">
      <alignment horizontal="center" vertical="center" wrapText="1"/>
    </xf>
    <xf numFmtId="4" fontId="4" fillId="0" borderId="0"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4" fontId="5" fillId="0" borderId="6" xfId="0" applyNumberFormat="1" applyFont="1" applyBorder="1" applyAlignment="1" applyProtection="1">
      <alignment horizontal="right"/>
      <protection/>
    </xf>
    <xf numFmtId="4" fontId="5" fillId="0" borderId="7" xfId="0" applyNumberFormat="1" applyFont="1" applyBorder="1" applyAlignment="1" applyProtection="1">
      <alignment horizontal="right"/>
      <protection/>
    </xf>
    <xf numFmtId="4" fontId="7" fillId="0" borderId="8" xfId="0" applyNumberFormat="1" applyFont="1" applyBorder="1" applyAlignment="1" applyProtection="1">
      <alignment horizontal="right"/>
      <protection/>
    </xf>
    <xf numFmtId="4" fontId="7" fillId="0" borderId="9" xfId="0" applyNumberFormat="1" applyFont="1" applyBorder="1" applyAlignment="1" applyProtection="1">
      <alignment horizontal="right"/>
      <protection/>
    </xf>
    <xf numFmtId="4" fontId="7" fillId="0" borderId="10" xfId="0" applyNumberFormat="1" applyFont="1" applyBorder="1" applyAlignment="1" applyProtection="1">
      <alignment horizontal="right"/>
      <protection/>
    </xf>
    <xf numFmtId="4" fontId="1" fillId="0" borderId="0" xfId="0" applyNumberFormat="1" applyFont="1" applyBorder="1" applyAlignment="1">
      <alignment horizontal="center"/>
    </xf>
    <xf numFmtId="4" fontId="6" fillId="0" borderId="5" xfId="0" applyNumberFormat="1" applyFont="1" applyBorder="1" applyAlignment="1">
      <alignment/>
    </xf>
    <xf numFmtId="4" fontId="4" fillId="0" borderId="2" xfId="0" applyNumberFormat="1" applyFont="1" applyBorder="1" applyAlignment="1">
      <alignment/>
    </xf>
    <xf numFmtId="0" fontId="7" fillId="0" borderId="0" xfId="0" applyFont="1" applyBorder="1" applyAlignment="1">
      <alignment/>
    </xf>
    <xf numFmtId="4" fontId="4" fillId="0" borderId="6" xfId="0" applyNumberFormat="1" applyFont="1" applyBorder="1" applyAlignment="1" applyProtection="1">
      <alignment horizontal="right"/>
      <protection/>
    </xf>
    <xf numFmtId="4" fontId="4" fillId="0" borderId="7" xfId="0" applyNumberFormat="1" applyFont="1" applyBorder="1" applyAlignment="1" applyProtection="1">
      <alignment horizontal="right"/>
      <protection/>
    </xf>
    <xf numFmtId="4" fontId="1" fillId="0" borderId="2" xfId="0" applyNumberFormat="1" applyFont="1" applyBorder="1" applyAlignment="1">
      <alignment horizontal="center"/>
    </xf>
    <xf numFmtId="0" fontId="8"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xf>
    <xf numFmtId="0" fontId="1" fillId="0" borderId="2" xfId="0" applyFont="1" applyBorder="1" applyAlignment="1">
      <alignment/>
    </xf>
    <xf numFmtId="4" fontId="9" fillId="0" borderId="2" xfId="0" applyNumberFormat="1" applyFont="1" applyBorder="1" applyAlignment="1">
      <alignment/>
    </xf>
    <xf numFmtId="0" fontId="3" fillId="0" borderId="0" xfId="0" applyFont="1" applyBorder="1" applyAlignment="1">
      <alignment horizontal="center"/>
    </xf>
    <xf numFmtId="4" fontId="5" fillId="0" borderId="12" xfId="0" applyNumberFormat="1" applyFont="1" applyBorder="1" applyAlignment="1" applyProtection="1">
      <alignment horizontal="right"/>
      <protection/>
    </xf>
    <xf numFmtId="4" fontId="5" fillId="0" borderId="13" xfId="0" applyNumberFormat="1" applyFont="1" applyBorder="1" applyAlignment="1" applyProtection="1">
      <alignment horizontal="right"/>
      <protection/>
    </xf>
    <xf numFmtId="43" fontId="3" fillId="0" borderId="0" xfId="0" applyNumberFormat="1" applyFont="1" applyBorder="1" applyAlignment="1">
      <alignment/>
    </xf>
    <xf numFmtId="4" fontId="4" fillId="0" borderId="0" xfId="0" applyNumberFormat="1" applyFont="1" applyBorder="1" applyAlignment="1">
      <alignment horizontal="left"/>
    </xf>
    <xf numFmtId="2" fontId="4" fillId="0" borderId="2" xfId="0" applyNumberFormat="1" applyFont="1" applyBorder="1" applyAlignment="1">
      <alignment/>
    </xf>
    <xf numFmtId="4" fontId="3" fillId="0" borderId="0" xfId="0" applyNumberFormat="1" applyFont="1" applyBorder="1" applyAlignment="1">
      <alignment/>
    </xf>
    <xf numFmtId="4" fontId="9" fillId="0" borderId="0" xfId="0" applyNumberFormat="1" applyFont="1" applyBorder="1" applyAlignment="1">
      <alignment horizontal="right"/>
    </xf>
    <xf numFmtId="0" fontId="9" fillId="0" borderId="0" xfId="0" applyFont="1" applyBorder="1" applyAlignment="1">
      <alignment horizontal="right"/>
    </xf>
    <xf numFmtId="4" fontId="9" fillId="0" borderId="0" xfId="0" applyNumberFormat="1" applyFont="1" applyBorder="1" applyAlignment="1">
      <alignment/>
    </xf>
    <xf numFmtId="0" fontId="12" fillId="0" borderId="2" xfId="0" applyFont="1" applyBorder="1" applyAlignment="1">
      <alignment wrapText="1"/>
    </xf>
    <xf numFmtId="14" fontId="12" fillId="0" borderId="2" xfId="0" applyNumberFormat="1" applyFont="1" applyBorder="1" applyAlignment="1">
      <alignment/>
    </xf>
    <xf numFmtId="14" fontId="12" fillId="0" borderId="2" xfId="0" applyNumberFormat="1" applyFont="1" applyBorder="1" applyAlignment="1">
      <alignment/>
    </xf>
    <xf numFmtId="14" fontId="12" fillId="0" borderId="2" xfId="0" applyNumberFormat="1" applyFont="1" applyBorder="1" applyAlignment="1">
      <alignment wrapText="1"/>
    </xf>
    <xf numFmtId="4" fontId="3" fillId="0" borderId="14" xfId="0" applyNumberFormat="1" applyFont="1" applyBorder="1" applyAlignment="1">
      <alignment/>
    </xf>
    <xf numFmtId="0" fontId="0" fillId="0" borderId="0" xfId="0" applyBorder="1" applyAlignment="1">
      <alignment horizontal="left" wrapText="1"/>
    </xf>
    <xf numFmtId="14" fontId="2" fillId="0" borderId="0" xfId="0" applyNumberFormat="1" applyFont="1" applyBorder="1" applyAlignment="1">
      <alignment/>
    </xf>
    <xf numFmtId="0" fontId="2" fillId="0" borderId="0" xfId="0" applyFont="1" applyBorder="1" applyAlignment="1">
      <alignment/>
    </xf>
    <xf numFmtId="4" fontId="4" fillId="0" borderId="6" xfId="0" applyNumberFormat="1" applyFont="1" applyBorder="1" applyAlignment="1">
      <alignment horizontal="left"/>
    </xf>
    <xf numFmtId="4" fontId="12" fillId="0" borderId="2" xfId="0" applyNumberFormat="1" applyFont="1" applyBorder="1" applyAlignment="1">
      <alignment horizontal="right"/>
    </xf>
    <xf numFmtId="4" fontId="12" fillId="0" borderId="2" xfId="0" applyNumberFormat="1" applyFont="1" applyBorder="1" applyAlignment="1">
      <alignment/>
    </xf>
    <xf numFmtId="0" fontId="12" fillId="0" borderId="2" xfId="0" applyFont="1" applyBorder="1" applyAlignment="1">
      <alignment/>
    </xf>
    <xf numFmtId="0" fontId="12" fillId="0" borderId="2" xfId="0" applyFont="1" applyBorder="1" applyAlignment="1">
      <alignment horizontal="left"/>
    </xf>
    <xf numFmtId="4" fontId="4" fillId="0" borderId="0" xfId="0" applyNumberFormat="1" applyFont="1" applyBorder="1" applyAlignment="1">
      <alignment/>
    </xf>
    <xf numFmtId="4" fontId="7" fillId="0" borderId="0" xfId="0" applyNumberFormat="1" applyFont="1" applyBorder="1" applyAlignment="1">
      <alignment/>
    </xf>
    <xf numFmtId="4" fontId="5" fillId="0" borderId="5" xfId="0" applyNumberFormat="1" applyFont="1" applyBorder="1" applyAlignment="1">
      <alignment/>
    </xf>
    <xf numFmtId="2" fontId="4" fillId="0" borderId="0" xfId="0" applyNumberFormat="1" applyFont="1" applyBorder="1" applyAlignment="1">
      <alignment/>
    </xf>
    <xf numFmtId="0" fontId="5" fillId="0" borderId="5" xfId="0" applyFont="1" applyBorder="1" applyAlignment="1">
      <alignment/>
    </xf>
    <xf numFmtId="4" fontId="5" fillId="0" borderId="0" xfId="0" applyNumberFormat="1" applyFont="1" applyBorder="1" applyAlignment="1">
      <alignment/>
    </xf>
    <xf numFmtId="0" fontId="1" fillId="2" borderId="4" xfId="0" applyFont="1" applyFill="1" applyBorder="1" applyAlignment="1">
      <alignment horizontal="left"/>
    </xf>
    <xf numFmtId="9" fontId="9" fillId="0" borderId="0" xfId="0" applyNumberFormat="1" applyFont="1" applyBorder="1" applyAlignment="1">
      <alignment/>
    </xf>
    <xf numFmtId="9" fontId="4" fillId="0" borderId="15" xfId="0" applyNumberFormat="1" applyFont="1" applyBorder="1" applyAlignment="1">
      <alignment horizontal="right"/>
    </xf>
    <xf numFmtId="4" fontId="6" fillId="0" borderId="0" xfId="0" applyNumberFormat="1" applyFont="1" applyBorder="1" applyAlignment="1">
      <alignment/>
    </xf>
    <xf numFmtId="4" fontId="4" fillId="0" borderId="0" xfId="0" applyNumberFormat="1" applyFont="1" applyBorder="1" applyAlignment="1">
      <alignment horizontal="right"/>
    </xf>
    <xf numFmtId="0" fontId="9" fillId="3" borderId="2" xfId="0" applyFont="1" applyFill="1" applyBorder="1" applyAlignment="1">
      <alignment/>
    </xf>
    <xf numFmtId="0" fontId="9" fillId="3" borderId="0" xfId="0" applyFont="1" applyFill="1" applyBorder="1" applyAlignment="1">
      <alignment/>
    </xf>
    <xf numFmtId="4" fontId="4" fillId="3" borderId="1" xfId="0" applyNumberFormat="1" applyFont="1" applyFill="1" applyBorder="1" applyAlignment="1" applyProtection="1">
      <alignment horizontal="right"/>
      <protection/>
    </xf>
    <xf numFmtId="4" fontId="5" fillId="3" borderId="2" xfId="0" applyNumberFormat="1" applyFont="1" applyFill="1" applyBorder="1" applyAlignment="1" applyProtection="1">
      <alignment horizontal="right"/>
      <protection/>
    </xf>
    <xf numFmtId="4" fontId="5" fillId="3" borderId="4" xfId="0" applyNumberFormat="1" applyFont="1" applyFill="1" applyBorder="1" applyAlignment="1" applyProtection="1">
      <alignment horizontal="right"/>
      <protection/>
    </xf>
    <xf numFmtId="4" fontId="7" fillId="3" borderId="4" xfId="0" applyNumberFormat="1" applyFont="1" applyFill="1" applyBorder="1" applyAlignment="1" applyProtection="1">
      <alignment horizontal="right"/>
      <protection/>
    </xf>
    <xf numFmtId="0" fontId="8" fillId="3" borderId="2" xfId="0" applyFont="1" applyFill="1" applyBorder="1" applyAlignment="1">
      <alignment horizontal="center" vertical="center" wrapText="1"/>
    </xf>
    <xf numFmtId="4" fontId="3" fillId="3" borderId="2" xfId="0" applyNumberFormat="1" applyFont="1" applyFill="1" applyBorder="1" applyAlignment="1">
      <alignment/>
    </xf>
    <xf numFmtId="0" fontId="3" fillId="3" borderId="0" xfId="0" applyFont="1" applyFill="1" applyBorder="1" applyAlignment="1">
      <alignment/>
    </xf>
    <xf numFmtId="4" fontId="4" fillId="3" borderId="2" xfId="0" applyNumberFormat="1" applyFont="1" applyFill="1" applyBorder="1" applyAlignment="1" applyProtection="1">
      <alignment horizontal="right"/>
      <protection/>
    </xf>
    <xf numFmtId="4" fontId="7" fillId="3" borderId="2" xfId="0" applyNumberFormat="1" applyFont="1" applyFill="1" applyBorder="1" applyAlignment="1" applyProtection="1">
      <alignment horizontal="right"/>
      <protection/>
    </xf>
    <xf numFmtId="4" fontId="4" fillId="3" borderId="9" xfId="0" applyNumberFormat="1" applyFont="1" applyFill="1" applyBorder="1" applyAlignment="1" applyProtection="1">
      <alignment horizontal="right"/>
      <protection/>
    </xf>
    <xf numFmtId="4" fontId="12" fillId="3" borderId="2" xfId="0" applyNumberFormat="1" applyFont="1" applyFill="1" applyBorder="1" applyAlignment="1">
      <alignment horizontal="right"/>
    </xf>
    <xf numFmtId="0" fontId="8" fillId="3" borderId="3" xfId="0" applyFont="1" applyFill="1" applyBorder="1" applyAlignment="1">
      <alignment horizontal="center" vertical="center" wrapText="1"/>
    </xf>
    <xf numFmtId="4" fontId="9" fillId="3" borderId="2" xfId="0" applyNumberFormat="1" applyFont="1" applyFill="1" applyBorder="1" applyAlignment="1">
      <alignment/>
    </xf>
    <xf numFmtId="0" fontId="1" fillId="3" borderId="4" xfId="0" applyFont="1" applyFill="1" applyBorder="1" applyAlignment="1">
      <alignment horizontal="left"/>
    </xf>
    <xf numFmtId="4" fontId="4" fillId="3" borderId="1" xfId="0" applyNumberFormat="1" applyFont="1" applyFill="1" applyBorder="1" applyAlignment="1">
      <alignment/>
    </xf>
    <xf numFmtId="4" fontId="5" fillId="3" borderId="2" xfId="0" applyNumberFormat="1" applyFont="1" applyFill="1" applyBorder="1" applyAlignment="1">
      <alignment/>
    </xf>
    <xf numFmtId="4" fontId="7" fillId="3" borderId="2" xfId="0" applyNumberFormat="1" applyFont="1" applyFill="1" applyBorder="1" applyAlignment="1">
      <alignment/>
    </xf>
    <xf numFmtId="0" fontId="5" fillId="3" borderId="2" xfId="0" applyFont="1" applyFill="1" applyBorder="1" applyAlignment="1">
      <alignment/>
    </xf>
    <xf numFmtId="4" fontId="3" fillId="3" borderId="14" xfId="0" applyNumberFormat="1" applyFont="1" applyFill="1" applyBorder="1" applyAlignment="1">
      <alignment/>
    </xf>
    <xf numFmtId="4" fontId="4" fillId="3" borderId="0" xfId="0" applyNumberFormat="1" applyFont="1" applyFill="1" applyBorder="1" applyAlignment="1">
      <alignment/>
    </xf>
    <xf numFmtId="4" fontId="5" fillId="3" borderId="0" xfId="0" applyNumberFormat="1" applyFont="1" applyFill="1" applyBorder="1" applyAlignment="1">
      <alignment/>
    </xf>
    <xf numFmtId="4" fontId="7" fillId="3" borderId="0" xfId="0" applyNumberFormat="1" applyFont="1" applyFill="1" applyBorder="1" applyAlignment="1">
      <alignment/>
    </xf>
    <xf numFmtId="2" fontId="4" fillId="3" borderId="0" xfId="0" applyNumberFormat="1" applyFont="1" applyFill="1" applyBorder="1" applyAlignment="1">
      <alignment/>
    </xf>
    <xf numFmtId="0" fontId="5" fillId="3" borderId="5" xfId="0" applyFont="1" applyFill="1" applyBorder="1" applyAlignment="1">
      <alignment/>
    </xf>
    <xf numFmtId="4" fontId="5" fillId="3" borderId="5" xfId="0" applyNumberFormat="1" applyFont="1" applyFill="1" applyBorder="1" applyAlignment="1">
      <alignment/>
    </xf>
    <xf numFmtId="0" fontId="7" fillId="3" borderId="0" xfId="0" applyFont="1" applyFill="1" applyBorder="1" applyAlignment="1">
      <alignment/>
    </xf>
    <xf numFmtId="4" fontId="4" fillId="3" borderId="2" xfId="0" applyNumberFormat="1" applyFont="1" applyFill="1" applyBorder="1" applyAlignment="1">
      <alignment/>
    </xf>
    <xf numFmtId="0" fontId="1" fillId="0" borderId="2"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1" fontId="3" fillId="0" borderId="2" xfId="0" applyNumberFormat="1" applyFont="1" applyBorder="1" applyAlignment="1">
      <alignment horizontal="center" vertical="top" wrapText="1"/>
    </xf>
    <xf numFmtId="14" fontId="3" fillId="0" borderId="2" xfId="0" applyNumberFormat="1" applyFont="1" applyBorder="1" applyAlignment="1">
      <alignment horizontal="center" vertical="top" wrapText="1"/>
    </xf>
    <xf numFmtId="4" fontId="3" fillId="0" borderId="2" xfId="0" applyNumberFormat="1" applyFont="1" applyBorder="1" applyAlignment="1">
      <alignment vertical="top" wrapText="1"/>
    </xf>
    <xf numFmtId="4" fontId="3" fillId="3" borderId="2" xfId="0" applyNumberFormat="1" applyFont="1" applyFill="1" applyBorder="1" applyAlignment="1">
      <alignment vertical="top"/>
    </xf>
    <xf numFmtId="4" fontId="3" fillId="3" borderId="2" xfId="0" applyNumberFormat="1" applyFont="1" applyFill="1" applyBorder="1" applyAlignment="1">
      <alignment vertical="top" wrapText="1"/>
    </xf>
    <xf numFmtId="4" fontId="3" fillId="0" borderId="2" xfId="0" applyNumberFormat="1" applyFont="1" applyBorder="1" applyAlignment="1">
      <alignment vertical="top"/>
    </xf>
    <xf numFmtId="4" fontId="3" fillId="0" borderId="3" xfId="0" applyNumberFormat="1" applyFont="1" applyBorder="1" applyAlignment="1">
      <alignment vertical="top"/>
    </xf>
    <xf numFmtId="4" fontId="3" fillId="3" borderId="14" xfId="0" applyNumberFormat="1" applyFont="1" applyFill="1" applyBorder="1" applyAlignment="1">
      <alignment vertical="top"/>
    </xf>
    <xf numFmtId="0" fontId="3" fillId="0" borderId="0" xfId="0" applyFont="1" applyBorder="1" applyAlignment="1">
      <alignment vertical="top"/>
    </xf>
    <xf numFmtId="0" fontId="3" fillId="0" borderId="2" xfId="0" applyFont="1" applyFill="1" applyBorder="1" applyAlignment="1">
      <alignment horizontal="center" vertical="top" wrapText="1"/>
    </xf>
    <xf numFmtId="14" fontId="3" fillId="0" borderId="2" xfId="0" applyNumberFormat="1" applyFont="1" applyFill="1" applyBorder="1" applyAlignment="1">
      <alignment horizontal="center" vertical="top" wrapText="1"/>
    </xf>
    <xf numFmtId="0" fontId="1" fillId="0" borderId="0" xfId="0" applyFont="1" applyBorder="1" applyAlignment="1">
      <alignment horizontal="left" vertical="top" wrapText="1"/>
    </xf>
    <xf numFmtId="0" fontId="3" fillId="0" borderId="2" xfId="0" applyFont="1" applyBorder="1" applyAlignment="1">
      <alignment horizontal="center"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xf>
    <xf numFmtId="4" fontId="3" fillId="0" borderId="2" xfId="0" applyNumberFormat="1" applyFont="1" applyFill="1" applyBorder="1" applyAlignment="1">
      <alignment vertical="top"/>
    </xf>
    <xf numFmtId="0" fontId="12" fillId="0" borderId="2" xfId="0" applyFont="1" applyBorder="1" applyAlignment="1">
      <alignment vertical="top" wrapText="1"/>
    </xf>
    <xf numFmtId="0" fontId="12" fillId="0" borderId="2" xfId="0" applyFont="1" applyBorder="1" applyAlignment="1">
      <alignment horizontal="right" vertical="top"/>
    </xf>
    <xf numFmtId="14" fontId="12" fillId="0" borderId="2" xfId="0" applyNumberFormat="1" applyFont="1" applyBorder="1" applyAlignment="1">
      <alignment horizontal="right" vertical="top"/>
    </xf>
    <xf numFmtId="14" fontId="12" fillId="0" borderId="2" xfId="0" applyNumberFormat="1" applyFont="1" applyBorder="1" applyAlignment="1">
      <alignment vertical="top"/>
    </xf>
    <xf numFmtId="14" fontId="12" fillId="0" borderId="2" xfId="0" applyNumberFormat="1" applyFont="1" applyBorder="1" applyAlignment="1">
      <alignment vertical="top" wrapText="1"/>
    </xf>
    <xf numFmtId="172" fontId="12" fillId="0" borderId="2" xfId="0" applyNumberFormat="1" applyFont="1" applyBorder="1" applyAlignment="1">
      <alignment vertical="top"/>
    </xf>
    <xf numFmtId="172" fontId="12" fillId="3" borderId="2" xfId="0" applyNumberFormat="1" applyFont="1" applyFill="1" applyBorder="1" applyAlignment="1">
      <alignment vertical="top"/>
    </xf>
    <xf numFmtId="0" fontId="12" fillId="0" borderId="2" xfId="0" applyFont="1" applyFill="1" applyBorder="1" applyAlignment="1">
      <alignment horizontal="right" vertical="top"/>
    </xf>
    <xf numFmtId="0" fontId="3" fillId="0" borderId="0" xfId="0" applyFont="1" applyBorder="1" applyAlignment="1">
      <alignment horizontal="left" vertical="top" wrapText="1"/>
    </xf>
    <xf numFmtId="0" fontId="12" fillId="0" borderId="2" xfId="0" applyFont="1" applyBorder="1" applyAlignment="1">
      <alignment horizontal="left" vertical="top" wrapText="1"/>
    </xf>
    <xf numFmtId="4" fontId="3" fillId="0" borderId="8" xfId="0" applyNumberFormat="1" applyFont="1" applyBorder="1" applyAlignment="1">
      <alignment vertical="top"/>
    </xf>
    <xf numFmtId="4" fontId="3" fillId="0" borderId="14" xfId="0" applyNumberFormat="1" applyFont="1" applyBorder="1" applyAlignment="1">
      <alignment vertical="top"/>
    </xf>
    <xf numFmtId="0" fontId="12" fillId="0" borderId="14" xfId="0" applyFont="1" applyBorder="1" applyAlignment="1">
      <alignment vertical="top" wrapText="1"/>
    </xf>
    <xf numFmtId="4" fontId="3" fillId="0" borderId="14" xfId="0" applyNumberFormat="1" applyFont="1" applyFill="1" applyBorder="1" applyAlignment="1">
      <alignment vertical="top"/>
    </xf>
    <xf numFmtId="0" fontId="12" fillId="0" borderId="2" xfId="0" applyFont="1" applyBorder="1" applyAlignment="1">
      <alignment vertical="top"/>
    </xf>
    <xf numFmtId="14" fontId="12" fillId="0" borderId="2" xfId="0" applyNumberFormat="1" applyFont="1" applyFill="1" applyBorder="1" applyAlignment="1">
      <alignment vertical="top"/>
    </xf>
    <xf numFmtId="4" fontId="12" fillId="0" borderId="2" xfId="0" applyNumberFormat="1" applyFont="1" applyBorder="1" applyAlignment="1">
      <alignment vertical="top"/>
    </xf>
    <xf numFmtId="0" fontId="12" fillId="0" borderId="0" xfId="0" applyFont="1" applyAlignment="1">
      <alignment vertical="top"/>
    </xf>
    <xf numFmtId="1" fontId="12" fillId="0" borderId="2" xfId="0" applyNumberFormat="1" applyFont="1" applyBorder="1" applyAlignment="1">
      <alignment vertical="top"/>
    </xf>
    <xf numFmtId="4" fontId="13" fillId="0" borderId="2" xfId="0" applyNumberFormat="1" applyFont="1" applyBorder="1" applyAlignment="1">
      <alignment vertical="top"/>
    </xf>
    <xf numFmtId="0" fontId="3" fillId="0" borderId="0" xfId="0" applyFont="1" applyAlignment="1">
      <alignment vertical="top"/>
    </xf>
    <xf numFmtId="170" fontId="12" fillId="0" borderId="2" xfId="0" applyNumberFormat="1" applyFont="1" applyBorder="1" applyAlignment="1">
      <alignment vertical="top"/>
    </xf>
    <xf numFmtId="0" fontId="0" fillId="0" borderId="2" xfId="0" applyBorder="1" applyAlignment="1">
      <alignment vertical="top"/>
    </xf>
    <xf numFmtId="0" fontId="12" fillId="0" borderId="2" xfId="0" applyFont="1" applyFill="1" applyBorder="1" applyAlignment="1">
      <alignment vertical="top" wrapText="1"/>
    </xf>
    <xf numFmtId="14" fontId="12" fillId="0" borderId="2" xfId="0" applyNumberFormat="1" applyFont="1" applyBorder="1" applyAlignment="1">
      <alignment horizontal="left" vertical="top" wrapText="1"/>
    </xf>
    <xf numFmtId="14" fontId="12" fillId="0" borderId="2" xfId="0" applyNumberFormat="1" applyFont="1" applyFill="1" applyBorder="1" applyAlignment="1">
      <alignment horizontal="left" vertical="top" wrapText="1"/>
    </xf>
    <xf numFmtId="4" fontId="12" fillId="0" borderId="2" xfId="0" applyNumberFormat="1" applyFont="1" applyBorder="1" applyAlignment="1">
      <alignment horizontal="right" vertical="top"/>
    </xf>
    <xf numFmtId="4" fontId="12" fillId="3" borderId="2" xfId="0" applyNumberFormat="1" applyFont="1" applyFill="1" applyBorder="1" applyAlignment="1">
      <alignment horizontal="right" vertical="top"/>
    </xf>
    <xf numFmtId="0" fontId="12" fillId="0" borderId="2" xfId="0" applyFont="1" applyBorder="1" applyAlignment="1">
      <alignment horizontal="left" vertical="top"/>
    </xf>
    <xf numFmtId="14" fontId="12" fillId="0" borderId="2" xfId="0" applyNumberFormat="1" applyFont="1" applyBorder="1" applyAlignment="1">
      <alignment horizontal="left" vertical="top"/>
    </xf>
    <xf numFmtId="0" fontId="12" fillId="0" borderId="14" xfId="0" applyFont="1" applyFill="1" applyBorder="1" applyAlignment="1">
      <alignment vertical="top" wrapText="1"/>
    </xf>
    <xf numFmtId="0" fontId="12" fillId="0" borderId="2" xfId="0" applyFont="1" applyBorder="1" applyAlignment="1" quotePrefix="1">
      <alignment horizontal="left" vertical="top"/>
    </xf>
    <xf numFmtId="14" fontId="12" fillId="0" borderId="2" xfId="0" applyNumberFormat="1" applyFont="1" applyBorder="1" applyAlignment="1" quotePrefix="1">
      <alignment horizontal="left" vertical="top"/>
    </xf>
    <xf numFmtId="14" fontId="12" fillId="0" borderId="2" xfId="0" applyNumberFormat="1" applyFont="1" applyFill="1" applyBorder="1" applyAlignment="1">
      <alignment horizontal="left" vertical="top"/>
    </xf>
    <xf numFmtId="0" fontId="3" fillId="0" borderId="2" xfId="0" applyFont="1" applyBorder="1" applyAlignment="1">
      <alignment vertical="top"/>
    </xf>
    <xf numFmtId="14" fontId="3" fillId="0" borderId="2" xfId="0" applyNumberFormat="1" applyFont="1" applyBorder="1" applyAlignment="1">
      <alignment vertical="top"/>
    </xf>
    <xf numFmtId="0" fontId="3" fillId="0" borderId="0" xfId="0" applyFont="1" applyBorder="1" applyAlignment="1">
      <alignment vertical="top" wrapText="1"/>
    </xf>
    <xf numFmtId="14" fontId="3" fillId="0" borderId="2" xfId="0" applyNumberFormat="1" applyFont="1" applyBorder="1" applyAlignment="1">
      <alignment vertical="top" wrapText="1"/>
    </xf>
    <xf numFmtId="0" fontId="1" fillId="0" borderId="2" xfId="0" applyFont="1" applyFill="1" applyBorder="1" applyAlignment="1">
      <alignment horizontal="center" vertical="top"/>
    </xf>
    <xf numFmtId="0" fontId="3" fillId="0" borderId="2" xfId="0" applyFont="1" applyFill="1" applyBorder="1" applyAlignment="1">
      <alignment horizontal="center" vertical="top"/>
    </xf>
    <xf numFmtId="0" fontId="3" fillId="0" borderId="2" xfId="0" applyFont="1" applyFill="1" applyBorder="1" applyAlignment="1">
      <alignment vertical="top"/>
    </xf>
    <xf numFmtId="0" fontId="3" fillId="0" borderId="2" xfId="0" applyFont="1" applyFill="1" applyBorder="1" applyAlignment="1">
      <alignment vertical="top" wrapText="1"/>
    </xf>
    <xf numFmtId="16" fontId="3" fillId="0" borderId="2" xfId="0" applyNumberFormat="1" applyFont="1" applyFill="1" applyBorder="1" applyAlignment="1" quotePrefix="1">
      <alignment horizontal="right" vertical="top" wrapText="1"/>
    </xf>
    <xf numFmtId="14" fontId="3" fillId="0" borderId="2" xfId="0" applyNumberFormat="1" applyFont="1" applyFill="1" applyBorder="1" applyAlignment="1">
      <alignment vertical="top"/>
    </xf>
    <xf numFmtId="14" fontId="3" fillId="0" borderId="2" xfId="0" applyNumberFormat="1" applyFont="1" applyFill="1" applyBorder="1" applyAlignment="1">
      <alignment vertical="top" wrapText="1"/>
    </xf>
    <xf numFmtId="0" fontId="3" fillId="0" borderId="0" xfId="0" applyFont="1" applyFill="1" applyBorder="1" applyAlignment="1">
      <alignment vertical="top"/>
    </xf>
    <xf numFmtId="14" fontId="12" fillId="0" borderId="2" xfId="0" applyNumberFormat="1" applyFont="1" applyBorder="1" applyAlignment="1">
      <alignment horizontal="right" vertical="top" wrapText="1"/>
    </xf>
    <xf numFmtId="49" fontId="12" fillId="0" borderId="2" xfId="0" applyNumberFormat="1" applyFont="1" applyBorder="1" applyAlignment="1">
      <alignment horizontal="right" vertical="top"/>
    </xf>
    <xf numFmtId="49" fontId="12" fillId="0" borderId="2" xfId="0" applyNumberFormat="1" applyFont="1" applyFill="1" applyBorder="1" applyAlignment="1">
      <alignment horizontal="right" vertical="top"/>
    </xf>
    <xf numFmtId="4" fontId="12" fillId="0" borderId="2" xfId="0" applyNumberFormat="1" applyFont="1" applyFill="1" applyBorder="1" applyAlignment="1">
      <alignment vertical="top"/>
    </xf>
    <xf numFmtId="0" fontId="12" fillId="0" borderId="2" xfId="0" applyFont="1" applyFill="1" applyBorder="1" applyAlignment="1">
      <alignment vertical="top"/>
    </xf>
    <xf numFmtId="0" fontId="12" fillId="0" borderId="2" xfId="0" applyFont="1" applyBorder="1" applyAlignment="1" quotePrefix="1">
      <alignment horizontal="right" vertical="top"/>
    </xf>
    <xf numFmtId="16" fontId="12" fillId="0" borderId="2" xfId="0" applyNumberFormat="1" applyFont="1" applyBorder="1" applyAlignment="1" quotePrefix="1">
      <alignment horizontal="right" vertical="top"/>
    </xf>
    <xf numFmtId="0" fontId="3" fillId="4" borderId="2" xfId="0" applyFont="1" applyFill="1" applyBorder="1" applyAlignment="1">
      <alignment vertical="top"/>
    </xf>
    <xf numFmtId="171" fontId="3" fillId="0" borderId="2" xfId="18" applyNumberFormat="1" applyFont="1" applyBorder="1" applyAlignment="1">
      <alignment horizontal="right" vertical="top"/>
    </xf>
    <xf numFmtId="171" fontId="3" fillId="3" borderId="2" xfId="18" applyNumberFormat="1" applyFont="1" applyFill="1" applyBorder="1" applyAlignment="1">
      <alignment horizontal="right" vertical="top"/>
    </xf>
    <xf numFmtId="0" fontId="12" fillId="0" borderId="14" xfId="0" applyFont="1" applyBorder="1" applyAlignment="1">
      <alignment vertical="top"/>
    </xf>
    <xf numFmtId="14" fontId="12" fillId="0" borderId="2" xfId="0" applyNumberFormat="1" applyFont="1" applyBorder="1" applyAlignment="1" quotePrefix="1">
      <alignment horizontal="right" vertical="top"/>
    </xf>
    <xf numFmtId="0" fontId="14" fillId="0" borderId="1" xfId="0" applyFont="1" applyBorder="1" applyAlignment="1">
      <alignment horizontal="left" vertical="top" wrapText="1"/>
    </xf>
    <xf numFmtId="0" fontId="3" fillId="0" borderId="14" xfId="0" applyFont="1" applyBorder="1" applyAlignment="1">
      <alignment vertical="top" wrapText="1"/>
    </xf>
    <xf numFmtId="0" fontId="3" fillId="0" borderId="2" xfId="0" applyFont="1" applyBorder="1" applyAlignment="1">
      <alignment vertical="top" wrapText="1"/>
    </xf>
    <xf numFmtId="0" fontId="3" fillId="0" borderId="2" xfId="0" applyFont="1" applyBorder="1" applyAlignment="1">
      <alignment horizontal="left" vertical="top"/>
    </xf>
    <xf numFmtId="14" fontId="3" fillId="0" borderId="2" xfId="0" applyNumberFormat="1" applyFont="1" applyBorder="1" applyAlignment="1" quotePrefix="1">
      <alignment vertical="top"/>
    </xf>
    <xf numFmtId="14" fontId="3" fillId="0" borderId="2" xfId="0" applyNumberFormat="1" applyFont="1" applyBorder="1" applyAlignment="1">
      <alignment horizontal="left" vertical="top"/>
    </xf>
    <xf numFmtId="4" fontId="3" fillId="0" borderId="2" xfId="0" applyNumberFormat="1" applyFont="1" applyBorder="1" applyAlignment="1">
      <alignment vertical="top"/>
    </xf>
    <xf numFmtId="4" fontId="3" fillId="3" borderId="2" xfId="0" applyNumberFormat="1" applyFont="1" applyFill="1" applyBorder="1" applyAlignment="1">
      <alignment vertical="top"/>
    </xf>
    <xf numFmtId="0" fontId="8" fillId="0" borderId="2" xfId="0" applyFont="1" applyBorder="1" applyAlignment="1">
      <alignment horizontal="center" vertical="top" wrapText="1"/>
    </xf>
    <xf numFmtId="4" fontId="3" fillId="0" borderId="2" xfId="0" applyNumberFormat="1" applyFont="1" applyBorder="1" applyAlignment="1">
      <alignment horizontal="right" vertical="top"/>
    </xf>
    <xf numFmtId="4" fontId="3" fillId="3" borderId="2" xfId="0" applyNumberFormat="1" applyFont="1" applyFill="1" applyBorder="1" applyAlignment="1">
      <alignment horizontal="right" vertical="top"/>
    </xf>
    <xf numFmtId="4" fontId="14" fillId="0" borderId="2" xfId="0" applyNumberFormat="1" applyFont="1" applyBorder="1" applyAlignment="1">
      <alignment horizontal="right" vertical="top" wrapText="1"/>
    </xf>
    <xf numFmtId="4" fontId="14" fillId="3" borderId="2" xfId="0" applyNumberFormat="1" applyFont="1" applyFill="1" applyBorder="1" applyAlignment="1">
      <alignment horizontal="right" vertical="top" wrapText="1"/>
    </xf>
    <xf numFmtId="4" fontId="14" fillId="3" borderId="2" xfId="0" applyNumberFormat="1" applyFont="1" applyFill="1" applyBorder="1" applyAlignment="1">
      <alignment horizontal="right" vertical="top"/>
    </xf>
    <xf numFmtId="0" fontId="1" fillId="5" borderId="2" xfId="0" applyFont="1" applyFill="1" applyBorder="1" applyAlignment="1">
      <alignment horizontal="center" vertical="top"/>
    </xf>
    <xf numFmtId="0" fontId="3" fillId="5" borderId="2" xfId="0" applyFont="1" applyFill="1" applyBorder="1" applyAlignment="1">
      <alignment horizontal="center" vertical="top"/>
    </xf>
    <xf numFmtId="0" fontId="3" fillId="5" borderId="2" xfId="0" applyFont="1" applyFill="1" applyBorder="1" applyAlignment="1">
      <alignment vertical="top"/>
    </xf>
    <xf numFmtId="0" fontId="3" fillId="5" borderId="2" xfId="0" applyFont="1" applyFill="1" applyBorder="1" applyAlignment="1">
      <alignment vertical="top" wrapText="1"/>
    </xf>
    <xf numFmtId="16" fontId="3" fillId="5" borderId="2" xfId="0" applyNumberFormat="1" applyFont="1" applyFill="1" applyBorder="1" applyAlignment="1" quotePrefix="1">
      <alignment horizontal="right" vertical="top" wrapText="1"/>
    </xf>
    <xf numFmtId="14" fontId="3" fillId="5" borderId="2" xfId="0" applyNumberFormat="1" applyFont="1" applyFill="1" applyBorder="1" applyAlignment="1">
      <alignment vertical="top"/>
    </xf>
    <xf numFmtId="14" fontId="3" fillId="5" borderId="2" xfId="0" applyNumberFormat="1" applyFont="1" applyFill="1" applyBorder="1" applyAlignment="1">
      <alignment vertical="top" wrapText="1"/>
    </xf>
    <xf numFmtId="4" fontId="3" fillId="5" borderId="2" xfId="0" applyNumberFormat="1" applyFont="1" applyFill="1" applyBorder="1" applyAlignment="1">
      <alignment vertical="top"/>
    </xf>
    <xf numFmtId="0" fontId="3" fillId="5" borderId="0" xfId="0" applyFont="1" applyFill="1" applyBorder="1" applyAlignment="1">
      <alignment vertical="top"/>
    </xf>
    <xf numFmtId="4" fontId="1" fillId="5" borderId="2" xfId="0" applyNumberFormat="1" applyFont="1" applyFill="1" applyBorder="1" applyAlignment="1">
      <alignment/>
    </xf>
    <xf numFmtId="0" fontId="1" fillId="6" borderId="2" xfId="0" applyFont="1" applyFill="1" applyBorder="1" applyAlignment="1">
      <alignment horizontal="center"/>
    </xf>
    <xf numFmtId="0" fontId="3" fillId="6" borderId="2" xfId="0" applyFont="1" applyFill="1" applyBorder="1" applyAlignment="1">
      <alignment horizontal="center"/>
    </xf>
    <xf numFmtId="0" fontId="3" fillId="6" borderId="2" xfId="0" applyFont="1" applyFill="1" applyBorder="1" applyAlignment="1">
      <alignment/>
    </xf>
    <xf numFmtId="0" fontId="3" fillId="6" borderId="2" xfId="0" applyFont="1" applyFill="1" applyBorder="1" applyAlignment="1">
      <alignment wrapText="1"/>
    </xf>
    <xf numFmtId="16" fontId="3" fillId="6" borderId="2" xfId="0" applyNumberFormat="1" applyFont="1" applyFill="1" applyBorder="1" applyAlignment="1" quotePrefix="1">
      <alignment horizontal="right" wrapText="1"/>
    </xf>
    <xf numFmtId="14" fontId="3" fillId="6" borderId="2" xfId="0" applyNumberFormat="1" applyFont="1" applyFill="1" applyBorder="1" applyAlignment="1">
      <alignment/>
    </xf>
    <xf numFmtId="14" fontId="3" fillId="6" borderId="2" xfId="0" applyNumberFormat="1" applyFont="1" applyFill="1" applyBorder="1" applyAlignment="1">
      <alignment wrapText="1"/>
    </xf>
    <xf numFmtId="4" fontId="3" fillId="6" borderId="2" xfId="0" applyNumberFormat="1" applyFont="1" applyFill="1" applyBorder="1" applyAlignment="1">
      <alignment/>
    </xf>
    <xf numFmtId="0" fontId="3" fillId="6" borderId="0" xfId="0" applyFont="1" applyFill="1" applyBorder="1" applyAlignment="1">
      <alignment/>
    </xf>
    <xf numFmtId="0" fontId="1" fillId="5" borderId="2" xfId="0" applyFont="1" applyFill="1" applyBorder="1" applyAlignment="1">
      <alignment vertical="top"/>
    </xf>
    <xf numFmtId="0" fontId="1" fillId="6" borderId="2" xfId="0" applyFont="1" applyFill="1" applyBorder="1" applyAlignment="1">
      <alignment/>
    </xf>
    <xf numFmtId="4" fontId="1" fillId="3" borderId="14" xfId="0" applyNumberFormat="1" applyFont="1" applyFill="1" applyBorder="1" applyAlignment="1">
      <alignment vertical="top"/>
    </xf>
    <xf numFmtId="0" fontId="12" fillId="5" borderId="14" xfId="0" applyFont="1" applyFill="1" applyBorder="1" applyAlignment="1">
      <alignment vertical="top" wrapText="1"/>
    </xf>
    <xf numFmtId="0" fontId="12" fillId="5" borderId="2" xfId="0" applyFont="1" applyFill="1" applyBorder="1" applyAlignment="1">
      <alignment vertical="top" wrapText="1"/>
    </xf>
    <xf numFmtId="14" fontId="12" fillId="5" borderId="2" xfId="0" applyNumberFormat="1" applyFont="1" applyFill="1" applyBorder="1" applyAlignment="1">
      <alignment horizontal="right" vertical="top"/>
    </xf>
    <xf numFmtId="14" fontId="12" fillId="5" borderId="2" xfId="0" applyNumberFormat="1" applyFont="1" applyFill="1" applyBorder="1" applyAlignment="1">
      <alignment vertical="top"/>
    </xf>
    <xf numFmtId="14" fontId="12" fillId="5" borderId="2" xfId="0" applyNumberFormat="1" applyFont="1" applyFill="1" applyBorder="1" applyAlignment="1">
      <alignment vertical="top" wrapText="1"/>
    </xf>
    <xf numFmtId="172" fontId="12" fillId="5" borderId="2" xfId="0" applyNumberFormat="1" applyFont="1" applyFill="1" applyBorder="1" applyAlignment="1">
      <alignment vertical="top"/>
    </xf>
    <xf numFmtId="4" fontId="1" fillId="5" borderId="2" xfId="0" applyNumberFormat="1" applyFont="1" applyFill="1" applyBorder="1" applyAlignment="1">
      <alignment vertical="top"/>
    </xf>
    <xf numFmtId="4" fontId="1" fillId="5" borderId="14" xfId="0" applyNumberFormat="1" applyFont="1" applyFill="1" applyBorder="1" applyAlignment="1">
      <alignment vertical="top"/>
    </xf>
    <xf numFmtId="4" fontId="1" fillId="5" borderId="14" xfId="0" applyNumberFormat="1" applyFont="1" applyFill="1" applyBorder="1" applyAlignment="1">
      <alignment horizontal="left" vertical="top" wrapText="1"/>
    </xf>
    <xf numFmtId="0" fontId="0" fillId="5" borderId="5" xfId="0" applyFill="1" applyBorder="1" applyAlignment="1">
      <alignment horizontal="left" vertical="top" wrapText="1"/>
    </xf>
    <xf numFmtId="0" fontId="1" fillId="6" borderId="2" xfId="0" applyFont="1" applyFill="1" applyBorder="1" applyAlignment="1">
      <alignment horizontal="center" vertical="top"/>
    </xf>
    <xf numFmtId="0" fontId="3" fillId="6" borderId="2" xfId="0" applyFont="1" applyFill="1" applyBorder="1" applyAlignment="1">
      <alignment horizontal="center" vertical="top"/>
    </xf>
    <xf numFmtId="0" fontId="12" fillId="6" borderId="14" xfId="0" applyFont="1" applyFill="1" applyBorder="1" applyAlignment="1">
      <alignment vertical="top" wrapText="1"/>
    </xf>
    <xf numFmtId="0" fontId="12" fillId="6" borderId="2" xfId="0" applyFont="1" applyFill="1" applyBorder="1" applyAlignment="1">
      <alignment vertical="top" wrapText="1"/>
    </xf>
    <xf numFmtId="0" fontId="12" fillId="6" borderId="2" xfId="0" applyFont="1" applyFill="1" applyBorder="1" applyAlignment="1">
      <alignment horizontal="left" vertical="top"/>
    </xf>
    <xf numFmtId="14" fontId="12" fillId="6" borderId="2" xfId="0" applyNumberFormat="1" applyFont="1" applyFill="1" applyBorder="1" applyAlignment="1">
      <alignment horizontal="left" vertical="top"/>
    </xf>
    <xf numFmtId="14" fontId="12" fillId="6" borderId="2" xfId="0" applyNumberFormat="1" applyFont="1" applyFill="1" applyBorder="1" applyAlignment="1">
      <alignment horizontal="left" vertical="top" wrapText="1"/>
    </xf>
    <xf numFmtId="4" fontId="12" fillId="6" borderId="2" xfId="0" applyNumberFormat="1" applyFont="1" applyFill="1" applyBorder="1" applyAlignment="1">
      <alignment horizontal="right" vertical="top"/>
    </xf>
    <xf numFmtId="4" fontId="3" fillId="6" borderId="2" xfId="0" applyNumberFormat="1" applyFont="1" applyFill="1" applyBorder="1" applyAlignment="1">
      <alignment vertical="top"/>
    </xf>
    <xf numFmtId="0" fontId="3" fillId="6" borderId="0" xfId="0" applyFont="1" applyFill="1" applyBorder="1" applyAlignment="1">
      <alignment vertical="top"/>
    </xf>
    <xf numFmtId="0" fontId="1" fillId="6" borderId="2" xfId="0" applyFont="1" applyFill="1" applyBorder="1" applyAlignment="1">
      <alignment vertical="top" wrapText="1"/>
    </xf>
    <xf numFmtId="0" fontId="1" fillId="5" borderId="2" xfId="0" applyFont="1" applyFill="1" applyBorder="1" applyAlignment="1">
      <alignment horizontal="center" vertical="top" wrapText="1"/>
    </xf>
    <xf numFmtId="0" fontId="1" fillId="5" borderId="1" xfId="0" applyFont="1" applyFill="1" applyBorder="1" applyAlignment="1">
      <alignment horizontal="center" vertical="top" wrapText="1"/>
    </xf>
    <xf numFmtId="0" fontId="1" fillId="5" borderId="14" xfId="0" applyFont="1" applyFill="1" applyBorder="1" applyAlignment="1">
      <alignment horizontal="center" vertical="top" wrapText="1"/>
    </xf>
    <xf numFmtId="0" fontId="1" fillId="5" borderId="5" xfId="0" applyFont="1" applyFill="1" applyBorder="1" applyAlignment="1">
      <alignment horizontal="center" vertical="top" wrapText="1"/>
    </xf>
    <xf numFmtId="0" fontId="3" fillId="5" borderId="0" xfId="0" applyFont="1" applyFill="1" applyBorder="1" applyAlignment="1">
      <alignment vertical="top" wrapText="1"/>
    </xf>
    <xf numFmtId="0" fontId="12" fillId="6" borderId="2" xfId="0" applyFont="1" applyFill="1" applyBorder="1" applyAlignment="1">
      <alignment vertical="top"/>
    </xf>
    <xf numFmtId="0" fontId="12" fillId="6" borderId="2" xfId="0" applyFont="1" applyFill="1" applyBorder="1" applyAlignment="1">
      <alignment horizontal="right" vertical="top"/>
    </xf>
    <xf numFmtId="14" fontId="12" fillId="6" borderId="2" xfId="0" applyNumberFormat="1" applyFont="1" applyFill="1" applyBorder="1" applyAlignment="1">
      <alignment vertical="top"/>
    </xf>
    <xf numFmtId="14" fontId="12" fillId="6" borderId="2" xfId="0" applyNumberFormat="1" applyFont="1" applyFill="1" applyBorder="1" applyAlignment="1">
      <alignment vertical="top" wrapText="1"/>
    </xf>
    <xf numFmtId="4" fontId="12" fillId="6" borderId="2" xfId="0" applyNumberFormat="1" applyFont="1" applyFill="1" applyBorder="1" applyAlignment="1">
      <alignment vertical="top"/>
    </xf>
    <xf numFmtId="171" fontId="3" fillId="6" borderId="2" xfId="18" applyNumberFormat="1" applyFont="1" applyFill="1" applyBorder="1" applyAlignment="1">
      <alignment horizontal="right" vertical="top"/>
    </xf>
    <xf numFmtId="0" fontId="3" fillId="6" borderId="0" xfId="0" applyFont="1" applyFill="1" applyBorder="1" applyAlignment="1">
      <alignment vertical="top" wrapText="1"/>
    </xf>
    <xf numFmtId="4" fontId="1" fillId="3" borderId="2" xfId="0" applyNumberFormat="1" applyFont="1" applyFill="1" applyBorder="1" applyAlignment="1">
      <alignment/>
    </xf>
    <xf numFmtId="0" fontId="1" fillId="3" borderId="2" xfId="0" applyFont="1" applyFill="1" applyBorder="1" applyAlignment="1">
      <alignment horizontal="center" vertical="top" wrapText="1"/>
    </xf>
    <xf numFmtId="0" fontId="1" fillId="3" borderId="14" xfId="0" applyFont="1" applyFill="1" applyBorder="1" applyAlignment="1">
      <alignment horizontal="center" vertical="top" wrapText="1"/>
    </xf>
    <xf numFmtId="9" fontId="9" fillId="0" borderId="0" xfId="0" applyNumberFormat="1" applyFont="1" applyBorder="1" applyAlignment="1">
      <alignment/>
    </xf>
    <xf numFmtId="14" fontId="3" fillId="0" borderId="2" xfId="0" applyNumberFormat="1" applyFont="1" applyFill="1" applyBorder="1" applyAlignment="1">
      <alignment horizontal="right" vertical="top" wrapText="1"/>
    </xf>
    <xf numFmtId="14" fontId="3" fillId="5" borderId="2" xfId="0" applyNumberFormat="1" applyFont="1" applyFill="1" applyBorder="1" applyAlignment="1">
      <alignment horizontal="righ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3" fillId="0" borderId="14" xfId="0" applyFont="1" applyBorder="1" applyAlignment="1">
      <alignment horizontal="left" wrapText="1"/>
    </xf>
    <xf numFmtId="0" fontId="3" fillId="0" borderId="5" xfId="0" applyFont="1" applyBorder="1" applyAlignment="1">
      <alignment horizontal="left" wrapText="1"/>
    </xf>
    <xf numFmtId="4" fontId="9" fillId="0" borderId="0" xfId="0" applyNumberFormat="1" applyFont="1" applyBorder="1" applyAlignment="1">
      <alignment wrapText="1"/>
    </xf>
    <xf numFmtId="0" fontId="1" fillId="0" borderId="2" xfId="0" applyFont="1" applyFill="1" applyBorder="1" applyAlignment="1">
      <alignment horizontal="center"/>
    </xf>
    <xf numFmtId="0" fontId="3" fillId="0" borderId="2" xfId="0" applyFont="1" applyFill="1" applyBorder="1" applyAlignment="1">
      <alignment horizontal="center"/>
    </xf>
    <xf numFmtId="0" fontId="3" fillId="0" borderId="2" xfId="0" applyFont="1" applyFill="1" applyBorder="1" applyAlignment="1">
      <alignment wrapText="1"/>
    </xf>
    <xf numFmtId="0" fontId="3" fillId="0" borderId="2" xfId="0" applyFont="1" applyFill="1" applyBorder="1" applyAlignment="1">
      <alignment/>
    </xf>
    <xf numFmtId="0" fontId="1" fillId="0" borderId="14" xfId="0" applyFont="1" applyFill="1" applyBorder="1" applyAlignment="1">
      <alignment horizontal="left" wrapText="1"/>
    </xf>
    <xf numFmtId="0" fontId="1" fillId="0" borderId="5" xfId="0" applyFont="1" applyFill="1" applyBorder="1" applyAlignment="1">
      <alignment horizontal="left" wrapText="1"/>
    </xf>
    <xf numFmtId="0" fontId="3" fillId="0" borderId="0" xfId="0" applyFont="1" applyFill="1" applyBorder="1" applyAlignment="1">
      <alignment/>
    </xf>
    <xf numFmtId="0" fontId="12" fillId="0" borderId="2" xfId="0" applyFont="1" applyBorder="1" applyAlignment="1">
      <alignment horizontal="center"/>
    </xf>
    <xf numFmtId="17" fontId="12" fillId="0" borderId="2" xfId="0" applyNumberFormat="1" applyFont="1" applyBorder="1" applyAlignment="1" quotePrefix="1">
      <alignment horizontal="center"/>
    </xf>
    <xf numFmtId="14" fontId="12" fillId="0" borderId="2" xfId="0" applyNumberFormat="1" applyFont="1" applyBorder="1" applyAlignment="1">
      <alignment horizontal="center" wrapText="1"/>
    </xf>
    <xf numFmtId="0" fontId="3" fillId="0" borderId="14" xfId="0" applyFont="1" applyFill="1" applyBorder="1" applyAlignment="1">
      <alignment horizontal="left" wrapText="1"/>
    </xf>
    <xf numFmtId="0" fontId="3" fillId="0" borderId="5" xfId="0" applyFont="1" applyFill="1" applyBorder="1" applyAlignment="1">
      <alignment horizontal="left" wrapText="1"/>
    </xf>
    <xf numFmtId="4" fontId="3" fillId="0" borderId="2" xfId="0" applyNumberFormat="1" applyFont="1" applyBorder="1" applyAlignment="1">
      <alignment/>
    </xf>
    <xf numFmtId="4" fontId="12" fillId="3" borderId="2" xfId="0" applyNumberFormat="1" applyFont="1" applyFill="1" applyBorder="1" applyAlignment="1">
      <alignment/>
    </xf>
    <xf numFmtId="0" fontId="1" fillId="0" borderId="14" xfId="0" applyFont="1" applyFill="1" applyBorder="1" applyAlignment="1">
      <alignment horizontal="left" vertical="top" wrapText="1"/>
    </xf>
    <xf numFmtId="0" fontId="1" fillId="0" borderId="5" xfId="0" applyFont="1" applyFill="1" applyBorder="1" applyAlignment="1">
      <alignment horizontal="left" vertical="top" wrapText="1"/>
    </xf>
    <xf numFmtId="0" fontId="3" fillId="0" borderId="0" xfId="0" applyFont="1" applyFill="1" applyBorder="1" applyAlignment="1">
      <alignment vertical="top" wrapText="1"/>
    </xf>
    <xf numFmtId="0" fontId="1" fillId="0" borderId="6" xfId="0" applyFont="1" applyBorder="1" applyAlignment="1" applyProtection="1">
      <alignment horizontal="center" vertical="center" wrapText="1"/>
      <protection locked="0"/>
    </xf>
    <xf numFmtId="4" fontId="3" fillId="0" borderId="2" xfId="0" applyNumberFormat="1" applyFont="1" applyBorder="1" applyAlignment="1">
      <alignment/>
    </xf>
    <xf numFmtId="4" fontId="3" fillId="3" borderId="2" xfId="0" applyNumberFormat="1" applyFont="1" applyFill="1" applyBorder="1" applyAlignment="1">
      <alignment/>
    </xf>
    <xf numFmtId="4" fontId="9" fillId="0" borderId="0" xfId="0" applyNumberFormat="1" applyFont="1" applyBorder="1" applyAlignment="1">
      <alignment horizontal="center"/>
    </xf>
    <xf numFmtId="0" fontId="1" fillId="0" borderId="8" xfId="0" applyFont="1" applyBorder="1" applyAlignment="1" applyProtection="1">
      <alignment horizontal="center" vertical="center" wrapText="1"/>
      <protection locked="0"/>
    </xf>
    <xf numFmtId="4" fontId="1" fillId="0" borderId="6" xfId="0" applyNumberFormat="1" applyFont="1" applyBorder="1" applyAlignment="1" applyProtection="1">
      <alignment horizontal="center" vertical="center" wrapText="1"/>
      <protection locked="0"/>
    </xf>
    <xf numFmtId="0" fontId="12" fillId="0" borderId="14" xfId="0" applyFont="1" applyFill="1" applyBorder="1" applyAlignment="1">
      <alignment wrapText="1"/>
    </xf>
    <xf numFmtId="0" fontId="12" fillId="0" borderId="2" xfId="0" applyFont="1" applyFill="1" applyBorder="1" applyAlignment="1">
      <alignment wrapText="1"/>
    </xf>
    <xf numFmtId="49" fontId="12" fillId="0" borderId="2" xfId="0" applyNumberFormat="1" applyFont="1" applyFill="1" applyBorder="1" applyAlignment="1">
      <alignment horizontal="right"/>
    </xf>
    <xf numFmtId="14" fontId="12" fillId="0" borderId="2" xfId="0" applyNumberFormat="1" applyFont="1" applyFill="1" applyBorder="1" applyAlignment="1">
      <alignment/>
    </xf>
    <xf numFmtId="14" fontId="12" fillId="0" borderId="2" xfId="0" applyNumberFormat="1" applyFont="1" applyFill="1" applyBorder="1" applyAlignment="1">
      <alignment/>
    </xf>
    <xf numFmtId="4" fontId="12" fillId="0" borderId="2" xfId="0" applyNumberFormat="1" applyFont="1" applyFill="1" applyBorder="1" applyAlignment="1">
      <alignment/>
    </xf>
    <xf numFmtId="0" fontId="12" fillId="0" borderId="2" xfId="0" applyFont="1" applyFill="1" applyBorder="1" applyAlignment="1">
      <alignment/>
    </xf>
    <xf numFmtId="0" fontId="12" fillId="0" borderId="14" xfId="0" applyFont="1" applyBorder="1" applyAlignment="1">
      <alignment wrapText="1"/>
    </xf>
    <xf numFmtId="4" fontId="3" fillId="3" borderId="2" xfId="0" applyNumberFormat="1" applyFont="1" applyFill="1" applyBorder="1" applyAlignment="1">
      <alignment/>
    </xf>
    <xf numFmtId="0" fontId="12" fillId="0" borderId="2" xfId="0" applyFont="1" applyBorder="1" applyAlignment="1">
      <alignment/>
    </xf>
    <xf numFmtId="0" fontId="12" fillId="0" borderId="14" xfId="0" applyFont="1" applyBorder="1" applyAlignment="1">
      <alignment horizontal="left"/>
    </xf>
    <xf numFmtId="1" fontId="12" fillId="0" borderId="2" xfId="0" applyNumberFormat="1" applyFont="1" applyBorder="1" applyAlignment="1">
      <alignment/>
    </xf>
    <xf numFmtId="14" fontId="12" fillId="0" borderId="2" xfId="0" applyNumberFormat="1" applyFont="1" applyFill="1" applyBorder="1" applyAlignment="1">
      <alignment wrapText="1"/>
    </xf>
    <xf numFmtId="17" fontId="12" fillId="0" borderId="2" xfId="0" applyNumberFormat="1" applyFont="1" applyBorder="1" applyAlignment="1">
      <alignment/>
    </xf>
    <xf numFmtId="0" fontId="12" fillId="0" borderId="14" xfId="0" applyFont="1" applyFill="1" applyBorder="1" applyAlignment="1">
      <alignment horizontal="left"/>
    </xf>
    <xf numFmtId="14" fontId="12" fillId="0" borderId="0" xfId="0" applyNumberFormat="1" applyFont="1" applyBorder="1" applyAlignment="1">
      <alignment/>
    </xf>
    <xf numFmtId="0" fontId="12" fillId="0" borderId="14" xfId="0" applyFont="1" applyBorder="1" applyAlignment="1">
      <alignment horizontal="left" wrapText="1"/>
    </xf>
    <xf numFmtId="0" fontId="3" fillId="0" borderId="0" xfId="0" applyFont="1" applyAlignment="1">
      <alignment/>
    </xf>
    <xf numFmtId="43" fontId="12" fillId="3" borderId="14" xfId="0" applyNumberFormat="1" applyFont="1" applyFill="1" applyBorder="1" applyAlignment="1">
      <alignment/>
    </xf>
    <xf numFmtId="0" fontId="3" fillId="0" borderId="0" xfId="0" applyFont="1" applyBorder="1" applyAlignment="1">
      <alignment/>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16" fontId="12" fillId="0" borderId="2" xfId="0" applyNumberFormat="1" applyFont="1" applyBorder="1" applyAlignment="1" quotePrefix="1">
      <alignment horizontal="center" wrapText="1"/>
    </xf>
    <xf numFmtId="4" fontId="12" fillId="0" borderId="2" xfId="0" applyNumberFormat="1" applyFont="1" applyBorder="1" applyAlignment="1">
      <alignment wrapText="1"/>
    </xf>
    <xf numFmtId="4" fontId="3" fillId="0" borderId="2" xfId="0" applyNumberFormat="1" applyFont="1" applyBorder="1" applyAlignment="1">
      <alignment wrapText="1"/>
    </xf>
    <xf numFmtId="0" fontId="12" fillId="0" borderId="2" xfId="0" applyFont="1" applyBorder="1" applyAlignment="1" quotePrefix="1">
      <alignment horizontal="center" wrapText="1"/>
    </xf>
    <xf numFmtId="14" fontId="12" fillId="0" borderId="2" xfId="0" applyNumberFormat="1" applyFont="1" applyBorder="1" applyAlignment="1" quotePrefix="1">
      <alignment horizontal="right" wrapText="1"/>
    </xf>
    <xf numFmtId="0" fontId="12" fillId="0" borderId="2" xfId="0" applyFont="1" applyBorder="1" applyAlignment="1" quotePrefix="1">
      <alignment horizontal="center" vertical="center" wrapText="1"/>
    </xf>
    <xf numFmtId="14" fontId="12" fillId="0" borderId="2" xfId="0" applyNumberFormat="1" applyFont="1" applyBorder="1" applyAlignment="1">
      <alignment horizontal="center" vertical="center" wrapText="1"/>
    </xf>
    <xf numFmtId="14" fontId="12" fillId="0" borderId="2" xfId="0" applyNumberFormat="1" applyFont="1" applyFill="1" applyBorder="1" applyAlignment="1">
      <alignment horizontal="right" vertical="center" wrapText="1"/>
    </xf>
    <xf numFmtId="4" fontId="12" fillId="3" borderId="2" xfId="0" applyNumberFormat="1" applyFont="1" applyFill="1" applyBorder="1" applyAlignment="1">
      <alignment wrapText="1"/>
    </xf>
    <xf numFmtId="4" fontId="3" fillId="3" borderId="2" xfId="0" applyNumberFormat="1" applyFont="1" applyFill="1" applyBorder="1" applyAlignment="1">
      <alignment wrapText="1"/>
    </xf>
    <xf numFmtId="4" fontId="12" fillId="0" borderId="2" xfId="0" applyNumberFormat="1" applyFont="1" applyBorder="1" applyAlignment="1">
      <alignment horizontal="right" wrapText="1"/>
    </xf>
    <xf numFmtId="4" fontId="3" fillId="0" borderId="2" xfId="0" applyNumberFormat="1" applyFont="1" applyBorder="1" applyAlignment="1">
      <alignment horizontal="right" wrapText="1"/>
    </xf>
    <xf numFmtId="4" fontId="3" fillId="3" borderId="2" xfId="0" applyNumberFormat="1" applyFont="1" applyFill="1" applyBorder="1" applyAlignment="1">
      <alignment horizontal="right" wrapText="1"/>
    </xf>
    <xf numFmtId="4" fontId="3" fillId="0" borderId="2" xfId="0" applyNumberFormat="1" applyFont="1" applyFill="1" applyBorder="1" applyAlignment="1">
      <alignment/>
    </xf>
    <xf numFmtId="14" fontId="12" fillId="0" borderId="2" xfId="0" applyNumberFormat="1" applyFont="1" applyBorder="1" applyAlignment="1">
      <alignment horizontal="center"/>
    </xf>
    <xf numFmtId="14" fontId="12" fillId="0" borderId="2" xfId="0" applyNumberFormat="1" applyFont="1" applyFill="1" applyBorder="1" applyAlignment="1">
      <alignment horizontal="center"/>
    </xf>
    <xf numFmtId="4" fontId="3" fillId="0" borderId="14" xfId="0" applyNumberFormat="1" applyFont="1" applyFill="1" applyBorder="1" applyAlignment="1">
      <alignment/>
    </xf>
    <xf numFmtId="4" fontId="3" fillId="3" borderId="14" xfId="0" applyNumberFormat="1" applyFont="1" applyFill="1" applyBorder="1" applyAlignment="1">
      <alignment/>
    </xf>
    <xf numFmtId="0" fontId="3" fillId="0" borderId="2" xfId="0" applyFont="1" applyBorder="1" applyAlignment="1">
      <alignment horizontal="left" wrapText="1"/>
    </xf>
    <xf numFmtId="4" fontId="1" fillId="0" borderId="0" xfId="0" applyNumberFormat="1" applyFont="1" applyBorder="1" applyAlignment="1" applyProtection="1">
      <alignment horizontal="center" vertical="center" wrapText="1"/>
      <protection locked="0"/>
    </xf>
    <xf numFmtId="4" fontId="9" fillId="0" borderId="4" xfId="0" applyNumberFormat="1" applyFont="1" applyBorder="1" applyAlignment="1">
      <alignment/>
    </xf>
    <xf numFmtId="4" fontId="9" fillId="3" borderId="4" xfId="0" applyNumberFormat="1" applyFont="1" applyFill="1" applyBorder="1" applyAlignment="1">
      <alignment/>
    </xf>
    <xf numFmtId="4" fontId="9" fillId="0" borderId="5" xfId="0" applyNumberFormat="1" applyFont="1" applyBorder="1" applyAlignment="1">
      <alignment/>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49" fontId="12" fillId="0" borderId="2" xfId="0" applyNumberFormat="1" applyFont="1" applyBorder="1" applyAlignment="1">
      <alignment horizontal="center"/>
    </xf>
    <xf numFmtId="49" fontId="12" fillId="0" borderId="2" xfId="0" applyNumberFormat="1" applyFont="1" applyFill="1" applyBorder="1" applyAlignment="1">
      <alignment horizontal="center"/>
    </xf>
    <xf numFmtId="0" fontId="12" fillId="0" borderId="2" xfId="0" applyFont="1" applyFill="1" applyBorder="1" applyAlignment="1">
      <alignment horizontal="right" wrapText="1"/>
    </xf>
    <xf numFmtId="14" fontId="12" fillId="0" borderId="2" xfId="0" applyNumberFormat="1" applyFont="1" applyFill="1" applyBorder="1" applyAlignment="1">
      <alignment horizontal="right"/>
    </xf>
    <xf numFmtId="4" fontId="12" fillId="0" borderId="2" xfId="0" applyNumberFormat="1" applyFont="1" applyFill="1" applyBorder="1" applyAlignment="1">
      <alignment horizontal="right"/>
    </xf>
    <xf numFmtId="4" fontId="3" fillId="3" borderId="2" xfId="0" applyNumberFormat="1" applyFont="1" applyFill="1" applyBorder="1" applyAlignment="1">
      <alignment horizontal="right"/>
    </xf>
    <xf numFmtId="0" fontId="12" fillId="0" borderId="14" xfId="0" applyFont="1" applyFill="1" applyBorder="1" applyAlignment="1">
      <alignment horizontal="left" wrapText="1"/>
    </xf>
    <xf numFmtId="0" fontId="0" fillId="0" borderId="8" xfId="0" applyBorder="1" applyAlignment="1">
      <alignment horizontal="left" vertical="top" wrapText="1"/>
    </xf>
    <xf numFmtId="184" fontId="12" fillId="0" borderId="2" xfId="0" applyNumberFormat="1" applyFont="1" applyFill="1" applyBorder="1" applyAlignment="1">
      <alignment horizontal="center"/>
    </xf>
    <xf numFmtId="0" fontId="3" fillId="0" borderId="1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16" xfId="0" applyFont="1" applyBorder="1" applyAlignment="1">
      <alignment horizontal="left" vertical="top" wrapText="1"/>
    </xf>
    <xf numFmtId="0" fontId="0" fillId="0" borderId="17"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10" xfId="0" applyBorder="1" applyAlignment="1">
      <alignment vertical="top"/>
    </xf>
    <xf numFmtId="0" fontId="3" fillId="0" borderId="17"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4" fontId="3" fillId="0" borderId="2" xfId="0" applyNumberFormat="1" applyFont="1" applyBorder="1" applyAlignment="1">
      <alignment horizontal="left" vertical="top" wrapText="1"/>
    </xf>
    <xf numFmtId="0" fontId="0" fillId="0" borderId="2" xfId="0"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1" fillId="6" borderId="14" xfId="0" applyFont="1" applyFill="1" applyBorder="1" applyAlignment="1">
      <alignment horizontal="left" vertical="top" wrapText="1"/>
    </xf>
    <xf numFmtId="0" fontId="1" fillId="6" borderId="5" xfId="0" applyFont="1" applyFill="1" applyBorder="1" applyAlignment="1">
      <alignment horizontal="left" vertical="top" wrapText="1"/>
    </xf>
    <xf numFmtId="172" fontId="12" fillId="0" borderId="2" xfId="0" applyNumberFormat="1" applyFont="1" applyFill="1" applyBorder="1" applyAlignment="1">
      <alignment vertical="top"/>
    </xf>
    <xf numFmtId="0" fontId="3" fillId="0" borderId="14" xfId="0" applyFont="1" applyFill="1" applyBorder="1" applyAlignment="1">
      <alignment horizontal="left" wrapText="1"/>
    </xf>
    <xf numFmtId="0" fontId="3" fillId="0" borderId="5" xfId="0" applyFont="1" applyFill="1" applyBorder="1" applyAlignment="1">
      <alignment horizontal="left"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0" fillId="0" borderId="10" xfId="0" applyBorder="1" applyAlignment="1">
      <alignment horizontal="left" vertical="top" wrapText="1"/>
    </xf>
    <xf numFmtId="0" fontId="1" fillId="6" borderId="14" xfId="0" applyFont="1" applyFill="1" applyBorder="1" applyAlignment="1">
      <alignment horizontal="left" wrapText="1"/>
    </xf>
    <xf numFmtId="0" fontId="1" fillId="6" borderId="5" xfId="0" applyFont="1" applyFill="1" applyBorder="1" applyAlignment="1">
      <alignment horizontal="left" wrapText="1"/>
    </xf>
    <xf numFmtId="0" fontId="16" fillId="0" borderId="14" xfId="0" applyFont="1" applyFill="1" applyBorder="1" applyAlignment="1">
      <alignment horizontal="left" wrapText="1"/>
    </xf>
    <xf numFmtId="0" fontId="16" fillId="0" borderId="5" xfId="0" applyFont="1" applyFill="1" applyBorder="1" applyAlignment="1">
      <alignment horizontal="left" wrapText="1"/>
    </xf>
    <xf numFmtId="0" fontId="1" fillId="0" borderId="14" xfId="0" applyFont="1" applyFill="1" applyBorder="1" applyAlignment="1">
      <alignment horizontal="center" wrapText="1"/>
    </xf>
    <xf numFmtId="0" fontId="1" fillId="0" borderId="5" xfId="0" applyFont="1" applyFill="1" applyBorder="1" applyAlignment="1">
      <alignment horizontal="center" wrapText="1"/>
    </xf>
    <xf numFmtId="0" fontId="2" fillId="0" borderId="14" xfId="0" applyFont="1" applyBorder="1" applyAlignment="1">
      <alignment horizontal="left" vertical="top" wrapText="1"/>
    </xf>
    <xf numFmtId="0" fontId="2" fillId="0" borderId="5" xfId="0" applyFont="1" applyBorder="1" applyAlignment="1">
      <alignment horizontal="left" vertical="top" wrapText="1"/>
    </xf>
    <xf numFmtId="0" fontId="8" fillId="0" borderId="2" xfId="0" applyFont="1" applyBorder="1" applyAlignment="1">
      <alignment horizontal="center" vertical="center"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3"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0" borderId="6"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protection/>
    </xf>
    <xf numFmtId="4" fontId="4" fillId="0" borderId="15" xfId="0" applyNumberFormat="1" applyFont="1" applyBorder="1" applyAlignment="1" applyProtection="1">
      <alignment horizontal="right"/>
      <protection/>
    </xf>
    <xf numFmtId="4" fontId="4" fillId="0" borderId="17" xfId="0" applyNumberFormat="1" applyFont="1" applyBorder="1" applyAlignment="1" applyProtection="1">
      <alignment horizontal="right"/>
      <protection/>
    </xf>
    <xf numFmtId="4" fontId="5" fillId="0" borderId="6"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4" fontId="5" fillId="0" borderId="7" xfId="0" applyNumberFormat="1" applyFont="1" applyBorder="1" applyAlignment="1" applyProtection="1">
      <alignment horizontal="right"/>
      <protection/>
    </xf>
    <xf numFmtId="4" fontId="7" fillId="0" borderId="8" xfId="0" applyNumberFormat="1" applyFont="1" applyBorder="1" applyAlignment="1" applyProtection="1">
      <alignment horizontal="right"/>
      <protection/>
    </xf>
    <xf numFmtId="4" fontId="7" fillId="0" borderId="9" xfId="0" applyNumberFormat="1" applyFont="1" applyBorder="1" applyAlignment="1" applyProtection="1">
      <alignment horizontal="right"/>
      <protection/>
    </xf>
    <xf numFmtId="4" fontId="7" fillId="0" borderId="10" xfId="0" applyNumberFormat="1" applyFont="1" applyBorder="1" applyAlignment="1" applyProtection="1">
      <alignment horizontal="right"/>
      <protection/>
    </xf>
    <xf numFmtId="0" fontId="4" fillId="2" borderId="14"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4" fontId="4" fillId="0" borderId="6" xfId="0" applyNumberFormat="1" applyFont="1" applyBorder="1" applyAlignment="1" applyProtection="1">
      <alignment horizontal="right"/>
      <protection/>
    </xf>
    <xf numFmtId="4" fontId="4" fillId="0" borderId="0" xfId="0" applyNumberFormat="1" applyFont="1" applyBorder="1" applyAlignment="1" applyProtection="1">
      <alignment horizontal="right"/>
      <protection/>
    </xf>
    <xf numFmtId="4" fontId="4" fillId="0" borderId="7" xfId="0" applyNumberFormat="1" applyFont="1" applyBorder="1" applyAlignment="1" applyProtection="1">
      <alignment horizontal="right"/>
      <protection/>
    </xf>
    <xf numFmtId="0" fontId="4" fillId="2" borderId="14" xfId="0" applyFont="1" applyFill="1" applyBorder="1" applyAlignment="1">
      <alignment horizontal="center" vertical="center" wrapText="1"/>
    </xf>
    <xf numFmtId="0" fontId="0" fillId="0" borderId="4" xfId="0" applyBorder="1" applyAlignment="1">
      <alignment/>
    </xf>
    <xf numFmtId="0" fontId="0" fillId="0" borderId="5" xfId="0" applyBorder="1" applyAlignment="1">
      <alignment/>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1" fillId="0" borderId="14"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4" fontId="3" fillId="0" borderId="2" xfId="0" applyNumberFormat="1" applyFont="1" applyBorder="1" applyAlignment="1">
      <alignment horizontal="center"/>
    </xf>
    <xf numFmtId="4" fontId="1" fillId="0" borderId="14" xfId="0" applyNumberFormat="1" applyFont="1" applyBorder="1" applyAlignment="1">
      <alignment vertical="top" wrapText="1"/>
    </xf>
    <xf numFmtId="4" fontId="3" fillId="0" borderId="5" xfId="0" applyNumberFormat="1" applyFont="1" applyBorder="1" applyAlignment="1">
      <alignment vertical="top" wrapText="1"/>
    </xf>
    <xf numFmtId="4" fontId="3" fillId="0" borderId="14" xfId="0" applyNumberFormat="1" applyFont="1" applyBorder="1" applyAlignment="1">
      <alignment horizontal="left" vertical="top" wrapText="1"/>
    </xf>
    <xf numFmtId="4" fontId="3" fillId="0" borderId="5" xfId="0" applyNumberFormat="1" applyFont="1" applyBorder="1" applyAlignment="1">
      <alignment horizontal="left" vertical="top" wrapText="1"/>
    </xf>
    <xf numFmtId="4" fontId="1" fillId="0" borderId="16" xfId="0" applyNumberFormat="1" applyFont="1" applyBorder="1" applyAlignment="1" applyProtection="1">
      <alignment horizontal="center" vertical="center" wrapText="1"/>
      <protection locked="0"/>
    </xf>
    <xf numFmtId="4" fontId="1" fillId="0" borderId="17" xfId="0" applyNumberFormat="1" applyFont="1" applyBorder="1" applyAlignment="1" applyProtection="1">
      <alignment horizontal="center" vertical="center" wrapText="1"/>
      <protection locked="0"/>
    </xf>
    <xf numFmtId="4" fontId="1" fillId="0" borderId="6" xfId="0" applyNumberFormat="1" applyFont="1" applyBorder="1" applyAlignment="1" applyProtection="1">
      <alignment horizontal="center" vertical="center" wrapText="1"/>
      <protection locked="0"/>
    </xf>
    <xf numFmtId="4" fontId="1" fillId="0" borderId="7" xfId="0" applyNumberFormat="1" applyFont="1" applyBorder="1" applyAlignment="1" applyProtection="1">
      <alignment horizontal="center" vertical="center" wrapText="1"/>
      <protection locked="0"/>
    </xf>
    <xf numFmtId="4" fontId="3" fillId="0" borderId="2" xfId="0" applyNumberFormat="1" applyFont="1" applyBorder="1" applyAlignment="1">
      <alignment horizontal="left" vertical="top"/>
    </xf>
    <xf numFmtId="4" fontId="4" fillId="0" borderId="15" xfId="0" applyNumberFormat="1" applyFont="1" applyBorder="1" applyAlignment="1">
      <alignment horizontal="center"/>
    </xf>
    <xf numFmtId="4" fontId="9" fillId="0" borderId="0" xfId="0" applyNumberFormat="1" applyFont="1" applyAlignment="1">
      <alignment horizontal="center"/>
    </xf>
    <xf numFmtId="0" fontId="3" fillId="0" borderId="3" xfId="0" applyFont="1" applyBorder="1" applyAlignment="1">
      <alignment horizontal="left" vertical="top" wrapText="1"/>
    </xf>
    <xf numFmtId="0" fontId="3" fillId="0" borderId="2" xfId="0" applyFont="1" applyBorder="1" applyAlignment="1">
      <alignment horizontal="left" wrapText="1"/>
    </xf>
    <xf numFmtId="0" fontId="1" fillId="0" borderId="2" xfId="0" applyFont="1" applyBorder="1" applyAlignment="1">
      <alignment horizontal="left" vertical="top" wrapText="1"/>
    </xf>
    <xf numFmtId="4" fontId="9" fillId="0" borderId="0" xfId="0" applyNumberFormat="1" applyFont="1" applyBorder="1" applyAlignment="1">
      <alignment horizontal="center"/>
    </xf>
    <xf numFmtId="0" fontId="15" fillId="0" borderId="16"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5" borderId="14" xfId="0" applyFont="1" applyFill="1" applyBorder="1" applyAlignment="1">
      <alignment horizontal="left" vertical="top" wrapText="1"/>
    </xf>
    <xf numFmtId="0" fontId="1" fillId="5" borderId="5" xfId="0" applyFont="1" applyFill="1" applyBorder="1" applyAlignment="1">
      <alignment horizontal="left" vertical="top" wrapText="1"/>
    </xf>
    <xf numFmtId="4" fontId="3" fillId="0" borderId="16" xfId="0" applyNumberFormat="1" applyFont="1" applyBorder="1" applyAlignment="1">
      <alignment horizontal="left" vertical="top" wrapText="1"/>
    </xf>
    <xf numFmtId="0" fontId="3" fillId="0" borderId="14" xfId="0" applyFont="1" applyBorder="1" applyAlignment="1">
      <alignment horizontal="left" vertical="center" wrapText="1"/>
    </xf>
    <xf numFmtId="0" fontId="3" fillId="0" borderId="5" xfId="0" applyFont="1" applyBorder="1" applyAlignment="1">
      <alignment horizontal="left" vertical="center" wrapText="1"/>
    </xf>
    <xf numFmtId="0" fontId="3" fillId="0" borderId="14" xfId="0" applyFont="1" applyBorder="1" applyAlignment="1">
      <alignment horizontal="left" wrapText="1"/>
    </xf>
    <xf numFmtId="0" fontId="3" fillId="0" borderId="5" xfId="0" applyFont="1" applyBorder="1" applyAlignment="1">
      <alignment horizontal="lef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51"/>
  <sheetViews>
    <sheetView showGridLines="0" showZeros="0" tabSelected="1" zoomScale="80" zoomScaleNormal="80" zoomScaleSheetLayoutView="80" workbookViewId="0" topLeftCell="A1">
      <pane xSplit="2" ySplit="6" topLeftCell="F15" activePane="bottomRight" state="frozen"/>
      <selection pane="topLeft" activeCell="A1" sqref="A1"/>
      <selection pane="topRight" activeCell="C1" sqref="C1"/>
      <selection pane="bottomLeft" activeCell="A7" sqref="A7"/>
      <selection pane="bottomRight" activeCell="S28" sqref="S28"/>
    </sheetView>
  </sheetViews>
  <sheetFormatPr defaultColWidth="9.140625" defaultRowHeight="12.75"/>
  <cols>
    <col min="1" max="1" width="3.421875" style="1" customWidth="1"/>
    <col min="2" max="2" width="3.421875" style="52" customWidth="1"/>
    <col min="3" max="3" width="14.28125" style="2" customWidth="1"/>
    <col min="4" max="4" width="25.28125" style="2" customWidth="1"/>
    <col min="5" max="5" width="17.140625" style="2" customWidth="1"/>
    <col min="6" max="6" width="12.28125" style="2" customWidth="1"/>
    <col min="7" max="7" width="10.140625" style="2" customWidth="1"/>
    <col min="8" max="9" width="9.57421875" style="2" customWidth="1"/>
    <col min="10" max="10" width="8.7109375" style="2" customWidth="1"/>
    <col min="11" max="11" width="9.57421875" style="2" customWidth="1"/>
    <col min="12" max="12" width="11.00390625" style="94" customWidth="1"/>
    <col min="13" max="13" width="10.8515625" style="2" customWidth="1"/>
    <col min="14" max="14" width="9.140625" style="2" customWidth="1"/>
    <col min="15" max="15" width="10.421875" style="94" customWidth="1"/>
    <col min="16" max="16" width="11.57421875" style="2" customWidth="1"/>
    <col min="17" max="17" width="9.00390625" style="2" customWidth="1"/>
    <col min="18" max="18" width="10.8515625" style="94" customWidth="1"/>
    <col min="19" max="19" width="10.28125" style="2" customWidth="1"/>
    <col min="20" max="20" width="15.00390625" style="19" customWidth="1"/>
    <col min="21" max="21" width="14.140625" style="2" customWidth="1"/>
    <col min="22" max="16384" width="9.140625" style="2" customWidth="1"/>
  </cols>
  <sheetData>
    <row r="1" spans="1:20" s="1" customFormat="1" ht="11.25">
      <c r="A1" s="424" t="s">
        <v>95</v>
      </c>
      <c r="B1" s="425"/>
      <c r="C1" s="425"/>
      <c r="D1" s="425"/>
      <c r="E1" s="425"/>
      <c r="F1" s="425"/>
      <c r="G1" s="425"/>
      <c r="H1" s="425"/>
      <c r="I1" s="425"/>
      <c r="J1" s="425"/>
      <c r="K1" s="425"/>
      <c r="L1" s="425"/>
      <c r="M1" s="425"/>
      <c r="N1" s="425"/>
      <c r="O1" s="425"/>
      <c r="P1" s="425"/>
      <c r="Q1" s="425"/>
      <c r="R1" s="425"/>
      <c r="S1" s="425"/>
      <c r="T1" s="426"/>
    </row>
    <row r="2" spans="1:20" ht="12.75" customHeight="1">
      <c r="A2" s="432"/>
      <c r="B2" s="433"/>
      <c r="C2" s="70" t="s">
        <v>0</v>
      </c>
      <c r="D2" s="56" t="s">
        <v>35</v>
      </c>
      <c r="E2" s="85" t="s">
        <v>0</v>
      </c>
      <c r="F2" s="437">
        <f>M9+M40+M104+M115+M129+M140+M171</f>
        <v>733650</v>
      </c>
      <c r="G2" s="437"/>
      <c r="H2" s="83">
        <f>M2/F2</f>
        <v>0.726665713896272</v>
      </c>
      <c r="I2" s="69" t="s">
        <v>31</v>
      </c>
      <c r="J2" s="68">
        <v>38376</v>
      </c>
      <c r="K2" s="61">
        <f>F4</f>
        <v>52734.5</v>
      </c>
      <c r="L2" s="86" t="s">
        <v>29</v>
      </c>
      <c r="M2" s="51">
        <f>SUM(M3:M6)</f>
        <v>533118.301</v>
      </c>
      <c r="N2" s="51">
        <f aca="true" t="shared" si="0" ref="N2:T2">SUM(N3:N6)</f>
        <v>4923.264999999999</v>
      </c>
      <c r="O2" s="51">
        <f t="shared" si="0"/>
        <v>538041.566</v>
      </c>
      <c r="P2" s="51">
        <f t="shared" si="0"/>
        <v>346526.89565</v>
      </c>
      <c r="Q2" s="51">
        <f t="shared" si="0"/>
        <v>3200.1222499999994</v>
      </c>
      <c r="R2" s="51">
        <f t="shared" si="0"/>
        <v>349727.0179</v>
      </c>
      <c r="S2" s="51">
        <f t="shared" si="0"/>
        <v>131147.6317125</v>
      </c>
      <c r="T2" s="51">
        <f t="shared" si="0"/>
        <v>218579.3861875</v>
      </c>
    </row>
    <row r="3" spans="1:21" s="22" customFormat="1" ht="12.75" customHeight="1">
      <c r="A3" s="434"/>
      <c r="B3" s="435"/>
      <c r="C3" s="29" t="s">
        <v>230</v>
      </c>
      <c r="D3" s="30"/>
      <c r="E3" s="31" t="s">
        <v>223</v>
      </c>
      <c r="F3" s="438">
        <v>476872.5</v>
      </c>
      <c r="G3" s="438"/>
      <c r="H3" s="82">
        <f>P2/F3</f>
        <v>0.7266657138962721</v>
      </c>
      <c r="I3" s="22">
        <v>0</v>
      </c>
      <c r="J3" s="59" t="s">
        <v>33</v>
      </c>
      <c r="K3" s="61">
        <f>Q2</f>
        <v>3200.1222499999994</v>
      </c>
      <c r="L3" s="86" t="s">
        <v>30</v>
      </c>
      <c r="M3" s="51">
        <f aca="true" t="shared" si="1" ref="M3:T6">M10+M41+M105+M116+M130+M141+M172</f>
        <v>79373.09</v>
      </c>
      <c r="N3" s="51">
        <f t="shared" si="1"/>
        <v>2068.576</v>
      </c>
      <c r="O3" s="100">
        <f t="shared" si="1"/>
        <v>81441.666</v>
      </c>
      <c r="P3" s="51">
        <f t="shared" si="1"/>
        <v>51592.5085</v>
      </c>
      <c r="Q3" s="51">
        <f t="shared" si="1"/>
        <v>1344.5744</v>
      </c>
      <c r="R3" s="100">
        <f t="shared" si="1"/>
        <v>52937.08290000001</v>
      </c>
      <c r="S3" s="51">
        <f t="shared" si="1"/>
        <v>19851.406087500003</v>
      </c>
      <c r="T3" s="51">
        <f t="shared" si="1"/>
        <v>33085.6768125</v>
      </c>
      <c r="U3" s="271">
        <v>33085.6768125</v>
      </c>
    </row>
    <row r="4" spans="1:21" s="22" customFormat="1" ht="12.75" customHeight="1">
      <c r="A4" s="434"/>
      <c r="B4" s="435"/>
      <c r="C4" s="30" t="s">
        <v>231</v>
      </c>
      <c r="D4" s="30"/>
      <c r="E4" s="31" t="s">
        <v>232</v>
      </c>
      <c r="F4" s="442">
        <v>52734.5</v>
      </c>
      <c r="G4" s="442"/>
      <c r="H4" s="82">
        <f>Q2/F4</f>
        <v>0.06068365586096387</v>
      </c>
      <c r="J4" s="60" t="s">
        <v>34</v>
      </c>
      <c r="K4" s="61">
        <f>K2-K3</f>
        <v>49534.37775</v>
      </c>
      <c r="L4" s="86" t="s">
        <v>213</v>
      </c>
      <c r="M4" s="51">
        <f t="shared" si="1"/>
        <v>156245.482</v>
      </c>
      <c r="N4" s="51">
        <f t="shared" si="1"/>
        <v>3726.2936</v>
      </c>
      <c r="O4" s="100">
        <f t="shared" si="1"/>
        <v>159971.7756</v>
      </c>
      <c r="P4" s="51">
        <f t="shared" si="1"/>
        <v>101559.5633</v>
      </c>
      <c r="Q4" s="51">
        <f t="shared" si="1"/>
        <v>2422.09084</v>
      </c>
      <c r="R4" s="100">
        <f t="shared" si="1"/>
        <v>103981.65413999998</v>
      </c>
      <c r="S4" s="51">
        <f t="shared" si="1"/>
        <v>38993.1203025</v>
      </c>
      <c r="T4" s="51">
        <f t="shared" si="1"/>
        <v>64988.53383750001</v>
      </c>
      <c r="U4" s="271">
        <v>64988.5338375</v>
      </c>
    </row>
    <row r="5" spans="1:21" s="22" customFormat="1" ht="12.75" customHeight="1">
      <c r="A5" s="434"/>
      <c r="B5" s="435"/>
      <c r="C5" s="30" t="s">
        <v>246</v>
      </c>
      <c r="E5" s="22" t="s">
        <v>219</v>
      </c>
      <c r="F5" s="442">
        <f>SUM(F3:G4)</f>
        <v>529607</v>
      </c>
      <c r="G5" s="442"/>
      <c r="H5" s="264">
        <f>R2/F5</f>
        <v>0.6603519551289918</v>
      </c>
      <c r="L5" s="86" t="s">
        <v>221</v>
      </c>
      <c r="M5" s="51">
        <f t="shared" si="1"/>
        <v>147689.396</v>
      </c>
      <c r="N5" s="51">
        <f t="shared" si="1"/>
        <v>-693.5496000000003</v>
      </c>
      <c r="O5" s="100">
        <f t="shared" si="1"/>
        <v>146995.8464</v>
      </c>
      <c r="P5" s="51">
        <f t="shared" si="1"/>
        <v>95998.10740000001</v>
      </c>
      <c r="Q5" s="51">
        <f t="shared" si="1"/>
        <v>-450.80724</v>
      </c>
      <c r="R5" s="100">
        <f t="shared" si="1"/>
        <v>95547.30016000001</v>
      </c>
      <c r="S5" s="51">
        <f t="shared" si="1"/>
        <v>35830.23756</v>
      </c>
      <c r="T5" s="51">
        <f t="shared" si="1"/>
        <v>59717.0626</v>
      </c>
      <c r="U5" s="271">
        <v>59717.06</v>
      </c>
    </row>
    <row r="6" spans="1:21" s="22" customFormat="1" ht="12.75" customHeight="1">
      <c r="A6" s="294"/>
      <c r="B6" s="336"/>
      <c r="C6" s="30" t="s">
        <v>320</v>
      </c>
      <c r="F6" s="292"/>
      <c r="G6" s="292"/>
      <c r="H6" s="264"/>
      <c r="L6" s="86" t="s">
        <v>321</v>
      </c>
      <c r="M6" s="51">
        <f t="shared" si="1"/>
        <v>149810.333</v>
      </c>
      <c r="N6" s="51">
        <f t="shared" si="1"/>
        <v>-178.0549999999999</v>
      </c>
      <c r="O6" s="100">
        <f t="shared" si="1"/>
        <v>149632.278</v>
      </c>
      <c r="P6" s="51">
        <f t="shared" si="1"/>
        <v>97376.71644999999</v>
      </c>
      <c r="Q6" s="51">
        <f t="shared" si="1"/>
        <v>-115.73575000000011</v>
      </c>
      <c r="R6" s="100">
        <f t="shared" si="1"/>
        <v>97260.98069999999</v>
      </c>
      <c r="S6" s="51">
        <f t="shared" si="1"/>
        <v>36472.8677625</v>
      </c>
      <c r="T6" s="51">
        <f t="shared" si="1"/>
        <v>60788.1129375</v>
      </c>
      <c r="U6" s="271"/>
    </row>
    <row r="7" spans="1:21" s="22" customFormat="1" ht="12.75" customHeight="1">
      <c r="A7" s="294"/>
      <c r="B7" s="336"/>
      <c r="C7" s="30"/>
      <c r="F7" s="292"/>
      <c r="G7" s="292"/>
      <c r="H7" s="264"/>
      <c r="L7" s="87"/>
      <c r="M7" s="337"/>
      <c r="N7" s="337"/>
      <c r="O7" s="338"/>
      <c r="P7" s="337"/>
      <c r="Q7" s="337"/>
      <c r="R7" s="338"/>
      <c r="S7" s="337"/>
      <c r="T7" s="339"/>
      <c r="U7" s="21"/>
    </row>
    <row r="8" spans="1:21" ht="12.75">
      <c r="A8" s="413" t="s">
        <v>6</v>
      </c>
      <c r="B8" s="414"/>
      <c r="C8" s="414"/>
      <c r="D8" s="414"/>
      <c r="E8" s="414"/>
      <c r="F8" s="414"/>
      <c r="G8" s="414"/>
      <c r="H8" s="414"/>
      <c r="I8" s="414"/>
      <c r="J8" s="414"/>
      <c r="K8" s="414"/>
      <c r="L8" s="415"/>
      <c r="M8" s="81" t="s">
        <v>214</v>
      </c>
      <c r="N8" s="81" t="s">
        <v>215</v>
      </c>
      <c r="O8" s="101" t="s">
        <v>216</v>
      </c>
      <c r="P8" s="81" t="s">
        <v>217</v>
      </c>
      <c r="Q8" s="81" t="s">
        <v>218</v>
      </c>
      <c r="R8" s="101" t="s">
        <v>219</v>
      </c>
      <c r="S8" s="25" t="s">
        <v>25</v>
      </c>
      <c r="T8" s="26" t="s">
        <v>26</v>
      </c>
      <c r="U8" s="20"/>
    </row>
    <row r="9" spans="1:21" s="1" customFormat="1" ht="11.25">
      <c r="A9" s="340"/>
      <c r="B9" s="341"/>
      <c r="C9" s="44"/>
      <c r="D9" s="33"/>
      <c r="E9" s="33"/>
      <c r="F9" s="33"/>
      <c r="G9" s="33"/>
      <c r="H9" s="33"/>
      <c r="I9" s="33"/>
      <c r="J9" s="33"/>
      <c r="K9" s="45"/>
      <c r="L9" s="88" t="s">
        <v>12</v>
      </c>
      <c r="M9" s="3">
        <f>386.4*1000</f>
        <v>386400</v>
      </c>
      <c r="N9" s="3"/>
      <c r="O9" s="102"/>
      <c r="P9" s="3">
        <f>M9*0.65</f>
        <v>251160</v>
      </c>
      <c r="Q9" s="75"/>
      <c r="R9" s="107"/>
      <c r="U9" s="18"/>
    </row>
    <row r="10" spans="1:21" s="1" customFormat="1" ht="11.25">
      <c r="A10" s="289"/>
      <c r="B10" s="342"/>
      <c r="C10" s="35"/>
      <c r="D10" s="34"/>
      <c r="E10" s="34"/>
      <c r="F10" s="34"/>
      <c r="G10" s="34"/>
      <c r="H10" s="34"/>
      <c r="I10" s="34"/>
      <c r="J10" s="34"/>
      <c r="K10" s="80">
        <f>SUM(K17:K23)</f>
        <v>0</v>
      </c>
      <c r="L10" s="89" t="s">
        <v>28</v>
      </c>
      <c r="M10" s="4">
        <f aca="true" t="shared" si="2" ref="M10:R10">SUM(M17:M23)</f>
        <v>64162.23999999999</v>
      </c>
      <c r="N10" s="4">
        <f t="shared" si="2"/>
        <v>0</v>
      </c>
      <c r="O10" s="103">
        <f t="shared" si="2"/>
        <v>64162.23999999999</v>
      </c>
      <c r="P10" s="4">
        <f t="shared" si="2"/>
        <v>41705.456000000006</v>
      </c>
      <c r="Q10" s="4">
        <f t="shared" si="2"/>
        <v>0</v>
      </c>
      <c r="R10" s="103">
        <f t="shared" si="2"/>
        <v>41705.456000000006</v>
      </c>
      <c r="S10" s="5">
        <f>R10*0.375</f>
        <v>15639.546000000002</v>
      </c>
      <c r="T10" s="5">
        <f>R10-S10</f>
        <v>26065.910000000003</v>
      </c>
      <c r="U10" s="24"/>
    </row>
    <row r="11" spans="1:21" s="1" customFormat="1" ht="11.25">
      <c r="A11" s="289"/>
      <c r="B11" s="342"/>
      <c r="C11" s="35"/>
      <c r="D11" s="34"/>
      <c r="E11" s="34"/>
      <c r="F11" s="34"/>
      <c r="G11" s="34"/>
      <c r="H11" s="34"/>
      <c r="I11" s="34"/>
      <c r="J11" s="34"/>
      <c r="K11" s="36"/>
      <c r="L11" s="90" t="s">
        <v>125</v>
      </c>
      <c r="M11" s="4">
        <f aca="true" t="shared" si="3" ref="M11:R11">SUM(M24:M26)</f>
        <v>58842.740000000005</v>
      </c>
      <c r="N11" s="4">
        <f t="shared" si="3"/>
        <v>0</v>
      </c>
      <c r="O11" s="103">
        <f>SUM(O24:O26)</f>
        <v>58842.740000000005</v>
      </c>
      <c r="P11" s="4">
        <f t="shared" si="3"/>
        <v>38247.781</v>
      </c>
      <c r="Q11" s="4">
        <f t="shared" si="3"/>
        <v>0</v>
      </c>
      <c r="R11" s="103">
        <f t="shared" si="3"/>
        <v>38247.781</v>
      </c>
      <c r="S11" s="5">
        <f>R11*0.375</f>
        <v>14342.917875000001</v>
      </c>
      <c r="T11" s="5">
        <f>R11-S11</f>
        <v>23904.863125000003</v>
      </c>
      <c r="U11" s="24"/>
    </row>
    <row r="12" spans="1:21" s="1" customFormat="1" ht="11.25">
      <c r="A12" s="289"/>
      <c r="B12" s="342"/>
      <c r="C12" s="35"/>
      <c r="D12" s="34"/>
      <c r="E12" s="34"/>
      <c r="F12" s="34"/>
      <c r="G12" s="34"/>
      <c r="H12" s="34"/>
      <c r="I12" s="34"/>
      <c r="J12" s="34"/>
      <c r="K12" s="36"/>
      <c r="L12" s="90" t="s">
        <v>222</v>
      </c>
      <c r="M12" s="4">
        <f>SUM(M27:M29)</f>
        <v>109094.86</v>
      </c>
      <c r="N12" s="4">
        <f>SUM(N27:N29)</f>
        <v>0</v>
      </c>
      <c r="O12" s="103">
        <f>+N12+M12</f>
        <v>109094.86</v>
      </c>
      <c r="P12" s="4">
        <f>SUM(P27:P29)</f>
        <v>70911.65900000001</v>
      </c>
      <c r="Q12" s="4">
        <f>SUM(Q27:Q29)</f>
        <v>0</v>
      </c>
      <c r="R12" s="103">
        <f>+Q12+P12</f>
        <v>70911.65900000001</v>
      </c>
      <c r="S12" s="5">
        <f>R12*0.375</f>
        <v>26591.872125000005</v>
      </c>
      <c r="T12" s="5">
        <f>R12-S12</f>
        <v>44319.786875000005</v>
      </c>
      <c r="U12" s="24"/>
    </row>
    <row r="13" spans="1:21" s="1" customFormat="1" ht="11.25">
      <c r="A13" s="289"/>
      <c r="B13" s="342"/>
      <c r="C13" s="35"/>
      <c r="D13" s="34"/>
      <c r="E13" s="34"/>
      <c r="F13" s="34"/>
      <c r="G13" s="34"/>
      <c r="H13" s="34"/>
      <c r="I13" s="34"/>
      <c r="J13" s="34"/>
      <c r="K13" s="36"/>
      <c r="L13" s="90" t="s">
        <v>322</v>
      </c>
      <c r="M13" s="4">
        <f>SUM(M30:M36)</f>
        <v>106903.94</v>
      </c>
      <c r="N13" s="4">
        <f>SUM(N30:N36)</f>
        <v>0</v>
      </c>
      <c r="O13" s="103">
        <f>+N13+M13</f>
        <v>106903.94</v>
      </c>
      <c r="P13" s="4">
        <f>SUM(P30:P36)</f>
        <v>69487.561</v>
      </c>
      <c r="Q13" s="4">
        <f>SUM(Q30:Q36)</f>
        <v>0</v>
      </c>
      <c r="R13" s="103">
        <f>+Q13+P13</f>
        <v>69487.561</v>
      </c>
      <c r="S13" s="5">
        <f>R13*0.375</f>
        <v>26057.835375000002</v>
      </c>
      <c r="T13" s="5">
        <f>R13-S13</f>
        <v>43429.725625</v>
      </c>
      <c r="U13" s="24"/>
    </row>
    <row r="14" spans="1:21" s="1" customFormat="1" ht="11.25">
      <c r="A14" s="293"/>
      <c r="B14" s="343"/>
      <c r="C14" s="37"/>
      <c r="D14" s="38"/>
      <c r="E14" s="38"/>
      <c r="F14" s="38"/>
      <c r="G14" s="38"/>
      <c r="H14" s="38"/>
      <c r="I14" s="38"/>
      <c r="J14" s="38"/>
      <c r="K14" s="39"/>
      <c r="L14" s="91" t="s">
        <v>13</v>
      </c>
      <c r="M14" s="6">
        <f>M9-M10-M11-M12-M13</f>
        <v>47396.22000000003</v>
      </c>
      <c r="N14" s="6"/>
      <c r="O14" s="104"/>
      <c r="P14" s="6">
        <f>P9-P10-P11-P12-P13</f>
        <v>30807.54299999996</v>
      </c>
      <c r="Q14" s="76"/>
      <c r="R14" s="109"/>
      <c r="S14" s="28"/>
      <c r="T14" s="28"/>
      <c r="U14" s="18"/>
    </row>
    <row r="15" spans="1:21" ht="22.5">
      <c r="A15" s="7" t="s">
        <v>14</v>
      </c>
      <c r="B15" s="7" t="s">
        <v>11</v>
      </c>
      <c r="C15" s="27" t="s">
        <v>24</v>
      </c>
      <c r="D15" s="27" t="s">
        <v>20</v>
      </c>
      <c r="E15" s="32" t="s">
        <v>2</v>
      </c>
      <c r="F15" s="27" t="s">
        <v>19</v>
      </c>
      <c r="G15" s="27" t="s">
        <v>18</v>
      </c>
      <c r="H15" s="32" t="s">
        <v>17</v>
      </c>
      <c r="I15" s="32" t="s">
        <v>16</v>
      </c>
      <c r="J15" s="27" t="s">
        <v>3</v>
      </c>
      <c r="K15" s="27" t="s">
        <v>4</v>
      </c>
      <c r="L15" s="92" t="s">
        <v>5</v>
      </c>
      <c r="M15" s="7" t="s">
        <v>21</v>
      </c>
      <c r="N15" s="7" t="s">
        <v>110</v>
      </c>
      <c r="O15" s="92" t="s">
        <v>111</v>
      </c>
      <c r="P15" s="7" t="s">
        <v>22</v>
      </c>
      <c r="Q15" s="7" t="s">
        <v>211</v>
      </c>
      <c r="R15" s="92" t="s">
        <v>212</v>
      </c>
      <c r="S15" s="389" t="s">
        <v>27</v>
      </c>
      <c r="T15" s="389"/>
      <c r="U15" s="19"/>
    </row>
    <row r="16" spans="1:21" ht="11.25">
      <c r="A16" s="7"/>
      <c r="B16" s="7"/>
      <c r="C16" s="27"/>
      <c r="D16" s="27"/>
      <c r="E16" s="32"/>
      <c r="F16" s="27"/>
      <c r="G16" s="27"/>
      <c r="H16" s="32"/>
      <c r="I16" s="32"/>
      <c r="J16" s="27"/>
      <c r="K16" s="27"/>
      <c r="L16" s="92"/>
      <c r="M16" s="7"/>
      <c r="N16" s="7"/>
      <c r="O16" s="92"/>
      <c r="P16" s="7"/>
      <c r="Q16" s="7"/>
      <c r="R16" s="92"/>
      <c r="S16" s="7"/>
      <c r="T16" s="7"/>
      <c r="U16" s="19"/>
    </row>
    <row r="17" spans="1:20" s="126" customFormat="1" ht="14.25" customHeight="1">
      <c r="A17" s="115" t="s">
        <v>15</v>
      </c>
      <c r="B17" s="116">
        <v>1</v>
      </c>
      <c r="C17" s="117" t="s">
        <v>36</v>
      </c>
      <c r="D17" s="117" t="s">
        <v>38</v>
      </c>
      <c r="E17" s="117" t="s">
        <v>37</v>
      </c>
      <c r="F17" s="168"/>
      <c r="G17" s="169"/>
      <c r="H17" s="169"/>
      <c r="I17" s="169"/>
      <c r="J17" s="123">
        <v>7518.96</v>
      </c>
      <c r="K17" s="123">
        <v>0</v>
      </c>
      <c r="L17" s="121">
        <f aca="true" t="shared" si="4" ref="L17:L26">SUM(J17:K17)</f>
        <v>7518.96</v>
      </c>
      <c r="M17" s="123">
        <f>J17</f>
        <v>7518.96</v>
      </c>
      <c r="N17" s="123">
        <f>K17</f>
        <v>0</v>
      </c>
      <c r="O17" s="121">
        <f>SUM(M17:N17)</f>
        <v>7518.96</v>
      </c>
      <c r="P17" s="123">
        <f>M17*0.65</f>
        <v>4887.3240000000005</v>
      </c>
      <c r="Q17" s="123">
        <f>N17*0.65</f>
        <v>0</v>
      </c>
      <c r="R17" s="121">
        <f>SUM(P17:Q17)</f>
        <v>4887.3240000000005</v>
      </c>
      <c r="S17" s="355"/>
      <c r="T17" s="355"/>
    </row>
    <row r="18" spans="1:21" s="126" customFormat="1" ht="14.25" customHeight="1">
      <c r="A18" s="115" t="s">
        <v>15</v>
      </c>
      <c r="B18" s="116">
        <v>1</v>
      </c>
      <c r="C18" s="131" t="s">
        <v>40</v>
      </c>
      <c r="D18" s="117" t="s">
        <v>38</v>
      </c>
      <c r="E18" s="168" t="s">
        <v>41</v>
      </c>
      <c r="F18" s="168"/>
      <c r="G18" s="169"/>
      <c r="H18" s="169"/>
      <c r="I18" s="169"/>
      <c r="J18" s="123">
        <v>2508</v>
      </c>
      <c r="K18" s="123"/>
      <c r="L18" s="121">
        <f t="shared" si="4"/>
        <v>2508</v>
      </c>
      <c r="M18" s="123">
        <f aca="true" t="shared" si="5" ref="M18:M25">J18</f>
        <v>2508</v>
      </c>
      <c r="N18" s="123">
        <f aca="true" t="shared" si="6" ref="N18:N26">K18</f>
        <v>0</v>
      </c>
      <c r="O18" s="121">
        <f aca="true" t="shared" si="7" ref="O18:O26">SUM(M18:N18)</f>
        <v>2508</v>
      </c>
      <c r="P18" s="123">
        <f aca="true" t="shared" si="8" ref="P18:P26">M18*0.65</f>
        <v>1630.2</v>
      </c>
      <c r="Q18" s="123">
        <f aca="true" t="shared" si="9" ref="Q18:Q26">N18*0.65</f>
        <v>0</v>
      </c>
      <c r="R18" s="121">
        <f aca="true" t="shared" si="10" ref="R18:R26">SUM(P18:Q18)</f>
        <v>1630.2</v>
      </c>
      <c r="S18" s="355"/>
      <c r="T18" s="355"/>
      <c r="U18" s="170"/>
    </row>
    <row r="19" spans="1:21" s="126" customFormat="1" ht="14.25" customHeight="1">
      <c r="A19" s="115" t="s">
        <v>15</v>
      </c>
      <c r="B19" s="116">
        <v>1</v>
      </c>
      <c r="C19" s="117" t="s">
        <v>42</v>
      </c>
      <c r="D19" s="117" t="s">
        <v>38</v>
      </c>
      <c r="E19" s="117" t="s">
        <v>43</v>
      </c>
      <c r="F19" s="117"/>
      <c r="G19" s="171"/>
      <c r="H19" s="171"/>
      <c r="I19" s="171"/>
      <c r="J19" s="123">
        <v>2516.85</v>
      </c>
      <c r="K19" s="123"/>
      <c r="L19" s="121">
        <f t="shared" si="4"/>
        <v>2516.85</v>
      </c>
      <c r="M19" s="123">
        <f t="shared" si="5"/>
        <v>2516.85</v>
      </c>
      <c r="N19" s="123">
        <f t="shared" si="6"/>
        <v>0</v>
      </c>
      <c r="O19" s="121">
        <f t="shared" si="7"/>
        <v>2516.85</v>
      </c>
      <c r="P19" s="123">
        <f t="shared" si="8"/>
        <v>1635.9525</v>
      </c>
      <c r="Q19" s="123">
        <f t="shared" si="9"/>
        <v>0</v>
      </c>
      <c r="R19" s="121">
        <f t="shared" si="10"/>
        <v>1635.9525</v>
      </c>
      <c r="S19" s="430"/>
      <c r="T19" s="431"/>
      <c r="U19" s="170"/>
    </row>
    <row r="20" spans="1:21" s="126" customFormat="1" ht="14.25" customHeight="1">
      <c r="A20" s="115" t="s">
        <v>15</v>
      </c>
      <c r="B20" s="116">
        <v>1</v>
      </c>
      <c r="C20" s="117" t="s">
        <v>44</v>
      </c>
      <c r="D20" s="117" t="s">
        <v>38</v>
      </c>
      <c r="E20" s="117" t="s">
        <v>45</v>
      </c>
      <c r="F20" s="117"/>
      <c r="G20" s="171"/>
      <c r="H20" s="171"/>
      <c r="I20" s="171"/>
      <c r="J20" s="123">
        <v>2513.7</v>
      </c>
      <c r="K20" s="123"/>
      <c r="L20" s="121">
        <f t="shared" si="4"/>
        <v>2513.7</v>
      </c>
      <c r="M20" s="123">
        <f t="shared" si="5"/>
        <v>2513.7</v>
      </c>
      <c r="N20" s="123">
        <f t="shared" si="6"/>
        <v>0</v>
      </c>
      <c r="O20" s="121">
        <f t="shared" si="7"/>
        <v>2513.7</v>
      </c>
      <c r="P20" s="123">
        <f t="shared" si="8"/>
        <v>1633.905</v>
      </c>
      <c r="Q20" s="123">
        <f t="shared" si="9"/>
        <v>0</v>
      </c>
      <c r="R20" s="121">
        <f t="shared" si="10"/>
        <v>1633.905</v>
      </c>
      <c r="S20" s="436"/>
      <c r="T20" s="436"/>
      <c r="U20" s="170"/>
    </row>
    <row r="21" spans="1:21" s="126" customFormat="1" ht="56.25">
      <c r="A21" s="115" t="s">
        <v>15</v>
      </c>
      <c r="B21" s="116" t="s">
        <v>51</v>
      </c>
      <c r="C21" s="117" t="s">
        <v>50</v>
      </c>
      <c r="D21" s="117" t="s">
        <v>52</v>
      </c>
      <c r="E21" s="117" t="s">
        <v>164</v>
      </c>
      <c r="F21" s="117"/>
      <c r="G21" s="171"/>
      <c r="H21" s="171"/>
      <c r="I21" s="171"/>
      <c r="J21" s="123">
        <f>44714.89</f>
        <v>44714.89</v>
      </c>
      <c r="K21" s="123"/>
      <c r="L21" s="121">
        <f t="shared" si="4"/>
        <v>44714.89</v>
      </c>
      <c r="M21" s="123">
        <f t="shared" si="5"/>
        <v>44714.89</v>
      </c>
      <c r="N21" s="123">
        <f t="shared" si="6"/>
        <v>0</v>
      </c>
      <c r="O21" s="121">
        <f t="shared" si="7"/>
        <v>44714.89</v>
      </c>
      <c r="P21" s="123">
        <f t="shared" si="8"/>
        <v>29064.6785</v>
      </c>
      <c r="Q21" s="123">
        <f t="shared" si="9"/>
        <v>0</v>
      </c>
      <c r="R21" s="121">
        <f t="shared" si="10"/>
        <v>29064.6785</v>
      </c>
      <c r="S21" s="428"/>
      <c r="T21" s="429"/>
      <c r="U21" s="170"/>
    </row>
    <row r="22" spans="1:21" s="126" customFormat="1" ht="14.25" customHeight="1">
      <c r="A22" s="115" t="s">
        <v>15</v>
      </c>
      <c r="B22" s="116">
        <v>7</v>
      </c>
      <c r="C22" s="117" t="s">
        <v>61</v>
      </c>
      <c r="D22" s="117" t="s">
        <v>64</v>
      </c>
      <c r="E22" s="117" t="s">
        <v>62</v>
      </c>
      <c r="F22" s="117"/>
      <c r="G22" s="171"/>
      <c r="H22" s="171"/>
      <c r="I22" s="171"/>
      <c r="J22" s="123">
        <v>1638</v>
      </c>
      <c r="K22" s="123"/>
      <c r="L22" s="121">
        <f t="shared" si="4"/>
        <v>1638</v>
      </c>
      <c r="M22" s="123">
        <f t="shared" si="5"/>
        <v>1638</v>
      </c>
      <c r="N22" s="123">
        <f t="shared" si="6"/>
        <v>0</v>
      </c>
      <c r="O22" s="121">
        <f t="shared" si="7"/>
        <v>1638</v>
      </c>
      <c r="P22" s="123">
        <f t="shared" si="8"/>
        <v>1064.7</v>
      </c>
      <c r="Q22" s="123">
        <f t="shared" si="9"/>
        <v>0</v>
      </c>
      <c r="R22" s="121">
        <f t="shared" si="10"/>
        <v>1064.7</v>
      </c>
      <c r="S22" s="448" t="s">
        <v>97</v>
      </c>
      <c r="T22" s="357"/>
      <c r="U22" s="170"/>
    </row>
    <row r="23" spans="1:21" s="126" customFormat="1" ht="34.5" customHeight="1">
      <c r="A23" s="115" t="s">
        <v>15</v>
      </c>
      <c r="B23" s="116">
        <v>1</v>
      </c>
      <c r="C23" s="117" t="s">
        <v>61</v>
      </c>
      <c r="D23" s="117" t="s">
        <v>38</v>
      </c>
      <c r="E23" s="117" t="s">
        <v>63</v>
      </c>
      <c r="F23" s="117"/>
      <c r="G23" s="171"/>
      <c r="H23" s="171"/>
      <c r="I23" s="171"/>
      <c r="J23" s="123">
        <v>2751.84</v>
      </c>
      <c r="K23" s="123"/>
      <c r="L23" s="121">
        <f t="shared" si="4"/>
        <v>2751.84</v>
      </c>
      <c r="M23" s="123">
        <f t="shared" si="5"/>
        <v>2751.84</v>
      </c>
      <c r="N23" s="123">
        <f t="shared" si="6"/>
        <v>0</v>
      </c>
      <c r="O23" s="121">
        <f t="shared" si="7"/>
        <v>2751.84</v>
      </c>
      <c r="P23" s="123">
        <f t="shared" si="8"/>
        <v>1788.6960000000001</v>
      </c>
      <c r="Q23" s="123">
        <f t="shared" si="9"/>
        <v>0</v>
      </c>
      <c r="R23" s="121">
        <f t="shared" si="10"/>
        <v>1788.6960000000001</v>
      </c>
      <c r="S23" s="360"/>
      <c r="T23" s="361"/>
      <c r="U23" s="170"/>
    </row>
    <row r="24" spans="1:21" s="126" customFormat="1" ht="14.25" customHeight="1">
      <c r="A24" s="115" t="s">
        <v>100</v>
      </c>
      <c r="B24" s="116">
        <v>1</v>
      </c>
      <c r="C24" s="117" t="s">
        <v>112</v>
      </c>
      <c r="D24" s="117" t="s">
        <v>113</v>
      </c>
      <c r="E24" s="117" t="s">
        <v>114</v>
      </c>
      <c r="F24" s="117"/>
      <c r="G24" s="171"/>
      <c r="H24" s="171"/>
      <c r="I24" s="171"/>
      <c r="J24" s="123">
        <v>2508.32</v>
      </c>
      <c r="K24" s="123"/>
      <c r="L24" s="121">
        <f t="shared" si="4"/>
        <v>2508.32</v>
      </c>
      <c r="M24" s="123">
        <f t="shared" si="5"/>
        <v>2508.32</v>
      </c>
      <c r="N24" s="123">
        <f t="shared" si="6"/>
        <v>0</v>
      </c>
      <c r="O24" s="121">
        <f t="shared" si="7"/>
        <v>2508.32</v>
      </c>
      <c r="P24" s="123">
        <f t="shared" si="8"/>
        <v>1630.4080000000001</v>
      </c>
      <c r="Q24" s="123">
        <f t="shared" si="9"/>
        <v>0</v>
      </c>
      <c r="R24" s="121">
        <f t="shared" si="10"/>
        <v>1630.4080000000001</v>
      </c>
      <c r="S24" s="387"/>
      <c r="T24" s="388"/>
      <c r="U24" s="170"/>
    </row>
    <row r="25" spans="1:21" s="126" customFormat="1" ht="45">
      <c r="A25" s="115" t="s">
        <v>100</v>
      </c>
      <c r="B25" s="116"/>
      <c r="C25" s="117" t="s">
        <v>61</v>
      </c>
      <c r="D25" s="117" t="s">
        <v>38</v>
      </c>
      <c r="E25" s="117" t="s">
        <v>127</v>
      </c>
      <c r="F25" s="117"/>
      <c r="G25" s="171"/>
      <c r="H25" s="171"/>
      <c r="I25" s="171"/>
      <c r="J25" s="123">
        <v>14348.46</v>
      </c>
      <c r="K25" s="123"/>
      <c r="L25" s="121">
        <f t="shared" si="4"/>
        <v>14348.46</v>
      </c>
      <c r="M25" s="123">
        <f t="shared" si="5"/>
        <v>14348.46</v>
      </c>
      <c r="N25" s="123">
        <f t="shared" si="6"/>
        <v>0</v>
      </c>
      <c r="O25" s="121">
        <f t="shared" si="7"/>
        <v>14348.46</v>
      </c>
      <c r="P25" s="123">
        <f t="shared" si="8"/>
        <v>9326.499</v>
      </c>
      <c r="Q25" s="123">
        <f t="shared" si="9"/>
        <v>0</v>
      </c>
      <c r="R25" s="121">
        <f t="shared" si="10"/>
        <v>9326.499</v>
      </c>
      <c r="S25" s="387"/>
      <c r="T25" s="388"/>
      <c r="U25" s="170"/>
    </row>
    <row r="26" spans="1:21" s="126" customFormat="1" ht="67.5">
      <c r="A26" s="115" t="s">
        <v>100</v>
      </c>
      <c r="B26" s="116"/>
      <c r="C26" s="117" t="s">
        <v>50</v>
      </c>
      <c r="D26" s="117"/>
      <c r="E26" s="117" t="s">
        <v>165</v>
      </c>
      <c r="F26" s="117"/>
      <c r="G26" s="171"/>
      <c r="H26" s="171"/>
      <c r="I26" s="171"/>
      <c r="J26" s="123">
        <v>50616.12</v>
      </c>
      <c r="K26" s="123"/>
      <c r="L26" s="121">
        <f t="shared" si="4"/>
        <v>50616.12</v>
      </c>
      <c r="M26" s="123">
        <f>J26-8630.16</f>
        <v>41985.96000000001</v>
      </c>
      <c r="N26" s="123">
        <f t="shared" si="6"/>
        <v>0</v>
      </c>
      <c r="O26" s="121">
        <f t="shared" si="7"/>
        <v>41985.96000000001</v>
      </c>
      <c r="P26" s="123">
        <f t="shared" si="8"/>
        <v>27290.874000000003</v>
      </c>
      <c r="Q26" s="123">
        <f t="shared" si="9"/>
        <v>0</v>
      </c>
      <c r="R26" s="121">
        <f t="shared" si="10"/>
        <v>27290.874000000003</v>
      </c>
      <c r="S26" s="367" t="s">
        <v>233</v>
      </c>
      <c r="T26" s="368"/>
      <c r="U26" s="170"/>
    </row>
    <row r="27" spans="1:21" s="126" customFormat="1" ht="14.25" customHeight="1">
      <c r="A27" s="115" t="s">
        <v>226</v>
      </c>
      <c r="B27" s="116"/>
      <c r="C27" s="117" t="s">
        <v>46</v>
      </c>
      <c r="D27" s="117"/>
      <c r="E27" s="117" t="s">
        <v>250</v>
      </c>
      <c r="F27" s="117"/>
      <c r="G27" s="171"/>
      <c r="H27" s="171"/>
      <c r="I27" s="171"/>
      <c r="J27" s="123">
        <v>13140</v>
      </c>
      <c r="K27" s="123"/>
      <c r="L27" s="121">
        <f aca="true" t="shared" si="11" ref="L27:L36">+K27+J27</f>
        <v>13140</v>
      </c>
      <c r="M27" s="123">
        <v>13140</v>
      </c>
      <c r="N27" s="123"/>
      <c r="O27" s="121">
        <f aca="true" t="shared" si="12" ref="O27:O36">+N27+M27</f>
        <v>13140</v>
      </c>
      <c r="P27" s="123">
        <f aca="true" t="shared" si="13" ref="P27:P36">+M27*0.65</f>
        <v>8541</v>
      </c>
      <c r="Q27" s="123"/>
      <c r="R27" s="121">
        <f>+P27+Q27</f>
        <v>8541</v>
      </c>
      <c r="S27" s="267"/>
      <c r="T27" s="268"/>
      <c r="U27" s="170"/>
    </row>
    <row r="28" spans="1:21" s="126" customFormat="1" ht="126.75" customHeight="1">
      <c r="A28" s="49" t="s">
        <v>226</v>
      </c>
      <c r="B28" s="8"/>
      <c r="C28" s="15" t="s">
        <v>61</v>
      </c>
      <c r="D28" s="117"/>
      <c r="E28" s="117" t="s">
        <v>257</v>
      </c>
      <c r="F28" s="117"/>
      <c r="G28" s="171"/>
      <c r="H28" s="171"/>
      <c r="I28" s="171"/>
      <c r="J28" s="290">
        <f>16.38*234+16.38*78+20.5*275+16.38*719+16.38*306+16.38*156+16.38*439+16.38*156+15.98*204</f>
        <v>43098.85999999999</v>
      </c>
      <c r="K28" s="123"/>
      <c r="L28" s="291">
        <f t="shared" si="11"/>
        <v>43098.85999999999</v>
      </c>
      <c r="M28" s="290">
        <v>43098.86</v>
      </c>
      <c r="N28" s="290"/>
      <c r="O28" s="291">
        <f t="shared" si="12"/>
        <v>43098.86</v>
      </c>
      <c r="P28" s="290">
        <f t="shared" si="13"/>
        <v>28014.259000000002</v>
      </c>
      <c r="Q28" s="290"/>
      <c r="R28" s="291">
        <f>+P28+Q28</f>
        <v>28014.259000000002</v>
      </c>
      <c r="S28" s="267"/>
      <c r="T28" s="268"/>
      <c r="U28" s="170"/>
    </row>
    <row r="29" spans="1:21" s="314" customFormat="1" ht="79.5" customHeight="1">
      <c r="A29" s="49" t="s">
        <v>226</v>
      </c>
      <c r="B29" s="8"/>
      <c r="C29" s="15" t="s">
        <v>50</v>
      </c>
      <c r="D29" s="15"/>
      <c r="E29" s="15" t="s">
        <v>297</v>
      </c>
      <c r="F29" s="15"/>
      <c r="G29" s="16"/>
      <c r="H29" s="16"/>
      <c r="I29" s="16"/>
      <c r="J29" s="290">
        <f>28.01*492+24.94*505+16.11*478+12.45*462+8.07*417+15.32*303+10.57*475</f>
        <v>52856.00000000001</v>
      </c>
      <c r="K29" s="290"/>
      <c r="L29" s="291">
        <f t="shared" si="11"/>
        <v>52856.00000000001</v>
      </c>
      <c r="M29" s="290">
        <v>52856</v>
      </c>
      <c r="N29" s="290"/>
      <c r="O29" s="291">
        <f t="shared" si="12"/>
        <v>52856</v>
      </c>
      <c r="P29" s="290">
        <f t="shared" si="13"/>
        <v>34356.4</v>
      </c>
      <c r="Q29" s="290">
        <f>+N29*0.65</f>
        <v>0</v>
      </c>
      <c r="R29" s="291">
        <f aca="true" t="shared" si="14" ref="R29:R36">+Q29+P29</f>
        <v>34356.4</v>
      </c>
      <c r="S29" s="269"/>
      <c r="T29" s="270"/>
      <c r="U29" s="19"/>
    </row>
    <row r="30" spans="1:21" s="314" customFormat="1" ht="11.25">
      <c r="A30" s="49" t="s">
        <v>318</v>
      </c>
      <c r="B30" s="8"/>
      <c r="C30" s="15" t="s">
        <v>61</v>
      </c>
      <c r="D30" s="15"/>
      <c r="E30" s="15" t="s">
        <v>323</v>
      </c>
      <c r="F30" s="15"/>
      <c r="G30" s="16"/>
      <c r="H30" s="16"/>
      <c r="I30" s="16"/>
      <c r="J30" s="290">
        <v>22753</v>
      </c>
      <c r="K30" s="290"/>
      <c r="L30" s="291">
        <f t="shared" si="11"/>
        <v>22753</v>
      </c>
      <c r="M30" s="290">
        <v>22753</v>
      </c>
      <c r="N30" s="290"/>
      <c r="O30" s="291">
        <f t="shared" si="12"/>
        <v>22753</v>
      </c>
      <c r="P30" s="290">
        <f t="shared" si="13"/>
        <v>14789.45</v>
      </c>
      <c r="Q30" s="290">
        <f>+N30*0.65</f>
        <v>0</v>
      </c>
      <c r="R30" s="291">
        <f t="shared" si="14"/>
        <v>14789.45</v>
      </c>
      <c r="S30" s="269"/>
      <c r="T30" s="270"/>
      <c r="U30" s="19"/>
    </row>
    <row r="31" spans="1:21" s="314" customFormat="1" ht="11.25">
      <c r="A31" s="49" t="s">
        <v>318</v>
      </c>
      <c r="B31" s="8"/>
      <c r="C31" s="117" t="s">
        <v>44</v>
      </c>
      <c r="D31" s="117"/>
      <c r="E31" s="117" t="s">
        <v>45</v>
      </c>
      <c r="F31" s="15"/>
      <c r="G31" s="16"/>
      <c r="H31" s="16"/>
      <c r="I31" s="16"/>
      <c r="J31" s="290">
        <v>4998</v>
      </c>
      <c r="K31" s="290"/>
      <c r="L31" s="291">
        <f t="shared" si="11"/>
        <v>4998</v>
      </c>
      <c r="M31" s="290">
        <f>340*14.7</f>
        <v>4998</v>
      </c>
      <c r="N31" s="290"/>
      <c r="O31" s="291">
        <f t="shared" si="12"/>
        <v>4998</v>
      </c>
      <c r="P31" s="290">
        <f t="shared" si="13"/>
        <v>3248.7000000000003</v>
      </c>
      <c r="Q31" s="290">
        <f>+N31*0.65</f>
        <v>0</v>
      </c>
      <c r="R31" s="291">
        <f t="shared" si="14"/>
        <v>3248.7000000000003</v>
      </c>
      <c r="S31" s="269"/>
      <c r="T31" s="270"/>
      <c r="U31" s="19"/>
    </row>
    <row r="32" spans="1:21" s="314" customFormat="1" ht="11.25">
      <c r="A32" s="49" t="s">
        <v>318</v>
      </c>
      <c r="B32" s="8"/>
      <c r="C32" s="15" t="s">
        <v>50</v>
      </c>
      <c r="D32" s="15"/>
      <c r="E32" s="15" t="s">
        <v>352</v>
      </c>
      <c r="F32" s="15"/>
      <c r="G32" s="16"/>
      <c r="H32" s="16"/>
      <c r="I32" s="16"/>
      <c r="J32" s="290">
        <v>59591.77</v>
      </c>
      <c r="K32" s="290"/>
      <c r="L32" s="291">
        <f t="shared" si="11"/>
        <v>59591.77</v>
      </c>
      <c r="M32" s="290">
        <f>360*28.01+331*24.94+294*12.45+466*16.11+581*10.57+580*12.01+584*12.01+542*12.11+222*15.32</f>
        <v>59591.770000000004</v>
      </c>
      <c r="N32" s="290"/>
      <c r="O32" s="291">
        <f t="shared" si="12"/>
        <v>59591.770000000004</v>
      </c>
      <c r="P32" s="290">
        <f t="shared" si="13"/>
        <v>38734.6505</v>
      </c>
      <c r="Q32" s="290"/>
      <c r="R32" s="291">
        <f t="shared" si="14"/>
        <v>38734.6505</v>
      </c>
      <c r="S32" s="269"/>
      <c r="T32" s="270"/>
      <c r="U32" s="19"/>
    </row>
    <row r="33" spans="1:21" s="314" customFormat="1" ht="11.25">
      <c r="A33" s="49" t="s">
        <v>318</v>
      </c>
      <c r="B33" s="8"/>
      <c r="C33" s="117" t="s">
        <v>42</v>
      </c>
      <c r="D33" s="117"/>
      <c r="E33" s="117" t="s">
        <v>43</v>
      </c>
      <c r="F33" s="15"/>
      <c r="G33" s="16"/>
      <c r="H33" s="16"/>
      <c r="I33" s="16"/>
      <c r="J33" s="290">
        <v>5015.85</v>
      </c>
      <c r="K33" s="290"/>
      <c r="L33" s="291">
        <f t="shared" si="11"/>
        <v>5015.85</v>
      </c>
      <c r="M33" s="290">
        <f>17.85*281</f>
        <v>5015.85</v>
      </c>
      <c r="N33" s="290"/>
      <c r="O33" s="291">
        <f t="shared" si="12"/>
        <v>5015.85</v>
      </c>
      <c r="P33" s="290">
        <f t="shared" si="13"/>
        <v>3260.3025000000002</v>
      </c>
      <c r="Q33" s="290">
        <f>+N33*0.65</f>
        <v>0</v>
      </c>
      <c r="R33" s="291">
        <f t="shared" si="14"/>
        <v>3260.3025000000002</v>
      </c>
      <c r="S33" s="269"/>
      <c r="T33" s="270"/>
      <c r="U33" s="19"/>
    </row>
    <row r="34" spans="1:21" s="314" customFormat="1" ht="11.25">
      <c r="A34" s="49" t="s">
        <v>318</v>
      </c>
      <c r="B34" s="8"/>
      <c r="C34" s="131" t="s">
        <v>40</v>
      </c>
      <c r="D34" s="117"/>
      <c r="E34" s="168" t="s">
        <v>41</v>
      </c>
      <c r="F34" s="15"/>
      <c r="G34" s="16"/>
      <c r="H34" s="16"/>
      <c r="I34" s="16"/>
      <c r="J34" s="290">
        <v>5016</v>
      </c>
      <c r="K34" s="290"/>
      <c r="L34" s="291">
        <f t="shared" si="11"/>
        <v>5016</v>
      </c>
      <c r="M34" s="290">
        <f>20.9*240</f>
        <v>5016</v>
      </c>
      <c r="N34" s="290"/>
      <c r="O34" s="291">
        <f t="shared" si="12"/>
        <v>5016</v>
      </c>
      <c r="P34" s="290">
        <f t="shared" si="13"/>
        <v>3260.4</v>
      </c>
      <c r="Q34" s="290">
        <f>+N34*0.65</f>
        <v>0</v>
      </c>
      <c r="R34" s="291">
        <f t="shared" si="14"/>
        <v>3260.4</v>
      </c>
      <c r="S34" s="269"/>
      <c r="T34" s="270"/>
      <c r="U34" s="19"/>
    </row>
    <row r="35" spans="1:21" s="314" customFormat="1" ht="11.25">
      <c r="A35" s="49" t="s">
        <v>318</v>
      </c>
      <c r="B35" s="8"/>
      <c r="C35" s="117" t="s">
        <v>36</v>
      </c>
      <c r="D35" s="117"/>
      <c r="E35" s="117" t="s">
        <v>37</v>
      </c>
      <c r="F35" s="15"/>
      <c r="G35" s="16"/>
      <c r="H35" s="16"/>
      <c r="I35" s="16"/>
      <c r="J35" s="290">
        <v>4594.92</v>
      </c>
      <c r="K35" s="290"/>
      <c r="L35" s="291">
        <f t="shared" si="11"/>
        <v>4594.92</v>
      </c>
      <c r="M35" s="290">
        <f>34.81*132</f>
        <v>4594.92</v>
      </c>
      <c r="N35" s="290"/>
      <c r="O35" s="291">
        <f t="shared" si="12"/>
        <v>4594.92</v>
      </c>
      <c r="P35" s="290">
        <f t="shared" si="13"/>
        <v>2986.6980000000003</v>
      </c>
      <c r="Q35" s="290">
        <f>+N35*0.65</f>
        <v>0</v>
      </c>
      <c r="R35" s="291">
        <f t="shared" si="14"/>
        <v>2986.6980000000003</v>
      </c>
      <c r="S35" s="269"/>
      <c r="T35" s="270"/>
      <c r="U35" s="19"/>
    </row>
    <row r="36" spans="1:21" s="314" customFormat="1" ht="11.25">
      <c r="A36" s="49" t="s">
        <v>318</v>
      </c>
      <c r="B36" s="8"/>
      <c r="C36" s="117" t="s">
        <v>112</v>
      </c>
      <c r="D36" s="117"/>
      <c r="E36" s="117" t="s">
        <v>114</v>
      </c>
      <c r="F36" s="15"/>
      <c r="G36" s="16"/>
      <c r="H36" s="16"/>
      <c r="I36" s="16"/>
      <c r="J36" s="290">
        <v>4934.4</v>
      </c>
      <c r="K36" s="290"/>
      <c r="L36" s="291">
        <f t="shared" si="11"/>
        <v>4934.4</v>
      </c>
      <c r="M36" s="290">
        <f>20.56*240</f>
        <v>4934.4</v>
      </c>
      <c r="N36" s="290"/>
      <c r="O36" s="291">
        <f t="shared" si="12"/>
        <v>4934.4</v>
      </c>
      <c r="P36" s="290">
        <f t="shared" si="13"/>
        <v>3207.3599999999997</v>
      </c>
      <c r="Q36" s="290">
        <f>+N36*0.65</f>
        <v>0</v>
      </c>
      <c r="R36" s="291">
        <f t="shared" si="14"/>
        <v>3207.3599999999997</v>
      </c>
      <c r="S36" s="269"/>
      <c r="T36" s="270"/>
      <c r="U36" s="19"/>
    </row>
    <row r="37" spans="1:21" ht="11.25">
      <c r="A37" s="49"/>
      <c r="B37" s="8"/>
      <c r="C37" s="15"/>
      <c r="D37" s="15"/>
      <c r="E37" s="9"/>
      <c r="F37" s="9"/>
      <c r="G37" s="10"/>
      <c r="H37" s="11"/>
      <c r="I37" s="11"/>
      <c r="J37" s="12"/>
      <c r="K37" s="12"/>
      <c r="L37" s="93"/>
      <c r="M37" s="12"/>
      <c r="N37" s="12"/>
      <c r="O37" s="93"/>
      <c r="P37" s="12">
        <f>M37*0.65</f>
        <v>0</v>
      </c>
      <c r="Q37" s="12"/>
      <c r="R37" s="93"/>
      <c r="S37" s="427"/>
      <c r="T37" s="427"/>
      <c r="U37" s="19"/>
    </row>
    <row r="38" ht="11.25">
      <c r="U38" s="19"/>
    </row>
    <row r="39" spans="1:21" ht="11.25">
      <c r="A39" s="407" t="s">
        <v>7</v>
      </c>
      <c r="B39" s="408"/>
      <c r="C39" s="408"/>
      <c r="D39" s="408"/>
      <c r="E39" s="408"/>
      <c r="F39" s="408"/>
      <c r="G39" s="408"/>
      <c r="H39" s="408"/>
      <c r="I39" s="408"/>
      <c r="J39" s="408"/>
      <c r="K39" s="408"/>
      <c r="L39" s="409"/>
      <c r="M39" s="81" t="s">
        <v>214</v>
      </c>
      <c r="N39" s="81" t="s">
        <v>215</v>
      </c>
      <c r="O39" s="101" t="s">
        <v>216</v>
      </c>
      <c r="P39" s="81" t="s">
        <v>217</v>
      </c>
      <c r="Q39" s="81" t="s">
        <v>218</v>
      </c>
      <c r="R39" s="101" t="s">
        <v>219</v>
      </c>
      <c r="S39" s="25" t="s">
        <v>25</v>
      </c>
      <c r="T39" s="26" t="s">
        <v>26</v>
      </c>
      <c r="U39" s="19"/>
    </row>
    <row r="40" spans="1:22" ht="11.25">
      <c r="A40" s="418"/>
      <c r="B40" s="419"/>
      <c r="C40" s="398"/>
      <c r="D40" s="399"/>
      <c r="E40" s="399"/>
      <c r="F40" s="399"/>
      <c r="G40" s="399"/>
      <c r="H40" s="399"/>
      <c r="I40" s="399"/>
      <c r="J40" s="399"/>
      <c r="K40" s="400"/>
      <c r="L40" s="95" t="s">
        <v>12</v>
      </c>
      <c r="M40" s="3">
        <f>192.95*1000</f>
        <v>192950</v>
      </c>
      <c r="N40" s="3"/>
      <c r="O40" s="102"/>
      <c r="P40" s="3">
        <f>M40*0.65</f>
        <v>125417.5</v>
      </c>
      <c r="Q40" s="75"/>
      <c r="R40" s="107"/>
      <c r="S40" s="40"/>
      <c r="T40" s="40"/>
      <c r="U40" s="19"/>
      <c r="V40" s="19"/>
    </row>
    <row r="41" spans="1:22" ht="11.25">
      <c r="A41" s="420"/>
      <c r="B41" s="421"/>
      <c r="C41" s="401"/>
      <c r="D41" s="402"/>
      <c r="E41" s="402"/>
      <c r="F41" s="402"/>
      <c r="G41" s="402"/>
      <c r="H41" s="402"/>
      <c r="I41" s="402"/>
      <c r="J41" s="402"/>
      <c r="K41" s="403"/>
      <c r="L41" s="89" t="s">
        <v>28</v>
      </c>
      <c r="M41" s="4">
        <f aca="true" t="shared" si="15" ref="M41:R41">SUM(M47:M47)</f>
        <v>10000</v>
      </c>
      <c r="N41" s="4">
        <f t="shared" si="15"/>
        <v>2000</v>
      </c>
      <c r="O41" s="103">
        <f t="shared" si="15"/>
        <v>12000</v>
      </c>
      <c r="P41" s="4">
        <f t="shared" si="15"/>
        <v>6500</v>
      </c>
      <c r="Q41" s="4">
        <f t="shared" si="15"/>
        <v>1300</v>
      </c>
      <c r="R41" s="103">
        <f t="shared" si="15"/>
        <v>7800</v>
      </c>
      <c r="S41" s="5">
        <f>R41*0.375</f>
        <v>2925</v>
      </c>
      <c r="T41" s="5">
        <f>R41-S41</f>
        <v>4875</v>
      </c>
      <c r="U41" s="19"/>
      <c r="V41" s="19"/>
    </row>
    <row r="42" spans="1:22" ht="11.25">
      <c r="A42" s="420"/>
      <c r="B42" s="421"/>
      <c r="C42" s="35"/>
      <c r="D42" s="34"/>
      <c r="E42" s="34"/>
      <c r="F42" s="53"/>
      <c r="G42" s="54"/>
      <c r="H42" s="34"/>
      <c r="I42" s="34"/>
      <c r="J42" s="34"/>
      <c r="K42" s="36"/>
      <c r="L42" s="89" t="s">
        <v>125</v>
      </c>
      <c r="M42" s="4">
        <f aca="true" t="shared" si="16" ref="M42:R42">M48</f>
        <v>52010</v>
      </c>
      <c r="N42" s="4">
        <f t="shared" si="16"/>
        <v>2184</v>
      </c>
      <c r="O42" s="103">
        <f t="shared" si="16"/>
        <v>54194</v>
      </c>
      <c r="P42" s="4">
        <f t="shared" si="16"/>
        <v>33806.5</v>
      </c>
      <c r="Q42" s="4">
        <f t="shared" si="16"/>
        <v>1419.6</v>
      </c>
      <c r="R42" s="103">
        <f t="shared" si="16"/>
        <v>35226.1</v>
      </c>
      <c r="S42" s="5">
        <f>R42*0.375</f>
        <v>13209.787499999999</v>
      </c>
      <c r="T42" s="5">
        <f>R42-S42</f>
        <v>22016.3125</v>
      </c>
      <c r="U42" s="19"/>
      <c r="V42" s="19"/>
    </row>
    <row r="43" spans="1:21" s="1" customFormat="1" ht="11.25">
      <c r="A43" s="420"/>
      <c r="B43" s="421"/>
      <c r="C43" s="35"/>
      <c r="D43" s="34"/>
      <c r="E43" s="34"/>
      <c r="F43" s="34"/>
      <c r="G43" s="34"/>
      <c r="H43" s="34"/>
      <c r="I43" s="34"/>
      <c r="J43" s="34"/>
      <c r="K43" s="36"/>
      <c r="L43" s="90" t="s">
        <v>222</v>
      </c>
      <c r="M43" s="4">
        <f>SUM(M69:M87)</f>
        <v>25992.34</v>
      </c>
      <c r="N43" s="4">
        <f>SUM(N69:N87)</f>
        <v>225.99999999999966</v>
      </c>
      <c r="O43" s="103">
        <f>+N43+M43</f>
        <v>26218.34</v>
      </c>
      <c r="P43" s="4">
        <f>SUM(P69:P87)</f>
        <v>16895.020999999997</v>
      </c>
      <c r="Q43" s="4">
        <f>SUM(Q69:Q87)</f>
        <v>146.9000000000001</v>
      </c>
      <c r="R43" s="103">
        <f>+Q43+P43</f>
        <v>17041.921</v>
      </c>
      <c r="S43" s="5">
        <f>R43*0.375</f>
        <v>6390.720374999999</v>
      </c>
      <c r="T43" s="5">
        <f>R43-S43</f>
        <v>10651.200625</v>
      </c>
      <c r="U43" s="24"/>
    </row>
    <row r="44" spans="1:22" ht="11.25">
      <c r="A44" s="420"/>
      <c r="B44" s="421"/>
      <c r="C44" s="35"/>
      <c r="D44" s="34"/>
      <c r="E44" s="34"/>
      <c r="F44" s="34"/>
      <c r="G44" s="34"/>
      <c r="H44" s="34"/>
      <c r="I44" s="34"/>
      <c r="J44" s="34"/>
      <c r="K44" s="36"/>
      <c r="L44" s="90" t="s">
        <v>322</v>
      </c>
      <c r="M44" s="4">
        <f>SUM(M88:M99)</f>
        <v>25970</v>
      </c>
      <c r="N44" s="4">
        <f>SUM(N88:N99)</f>
        <v>-666</v>
      </c>
      <c r="O44" s="103">
        <f>+N44+M44</f>
        <v>25304</v>
      </c>
      <c r="P44" s="4">
        <f>SUM(P88:P99)</f>
        <v>16880.5</v>
      </c>
      <c r="Q44" s="4">
        <f>SUM(Q88:Q99)</f>
        <v>-432.9000000000001</v>
      </c>
      <c r="R44" s="103">
        <f>+Q44+P44</f>
        <v>16447.6</v>
      </c>
      <c r="S44" s="5">
        <f>R44*0.375</f>
        <v>6167.849999999999</v>
      </c>
      <c r="T44" s="5">
        <f>R44-S44</f>
        <v>10279.75</v>
      </c>
      <c r="U44" s="19"/>
      <c r="V44" s="19"/>
    </row>
    <row r="45" spans="1:22" ht="11.25">
      <c r="A45" s="422"/>
      <c r="B45" s="423"/>
      <c r="C45" s="404"/>
      <c r="D45" s="405"/>
      <c r="E45" s="405"/>
      <c r="F45" s="405"/>
      <c r="G45" s="405"/>
      <c r="H45" s="405"/>
      <c r="I45" s="405"/>
      <c r="J45" s="405"/>
      <c r="K45" s="406"/>
      <c r="L45" s="96" t="s">
        <v>13</v>
      </c>
      <c r="M45" s="6">
        <f>M40-M41-M42-M43-M44</f>
        <v>78977.66</v>
      </c>
      <c r="N45" s="6"/>
      <c r="O45" s="104"/>
      <c r="P45" s="6">
        <f>P40-P41-P42-P43-P44</f>
        <v>51335.47900000001</v>
      </c>
      <c r="Q45" s="76"/>
      <c r="R45" s="109"/>
      <c r="S45" s="28"/>
      <c r="T45" s="1"/>
      <c r="U45" s="19"/>
      <c r="V45" s="19"/>
    </row>
    <row r="46" spans="1:21" ht="27.75" customHeight="1">
      <c r="A46" s="7" t="s">
        <v>14</v>
      </c>
      <c r="B46" s="7" t="s">
        <v>11</v>
      </c>
      <c r="C46" s="27" t="s">
        <v>24</v>
      </c>
      <c r="D46" s="27" t="s">
        <v>20</v>
      </c>
      <c r="E46" s="32" t="s">
        <v>2</v>
      </c>
      <c r="F46" s="27" t="s">
        <v>19</v>
      </c>
      <c r="G46" s="27" t="s">
        <v>18</v>
      </c>
      <c r="H46" s="32" t="s">
        <v>17</v>
      </c>
      <c r="I46" s="32" t="s">
        <v>16</v>
      </c>
      <c r="J46" s="27" t="s">
        <v>3</v>
      </c>
      <c r="K46" s="27" t="s">
        <v>4</v>
      </c>
      <c r="L46" s="92" t="s">
        <v>5</v>
      </c>
      <c r="M46" s="7" t="s">
        <v>21</v>
      </c>
      <c r="N46" s="7" t="s">
        <v>110</v>
      </c>
      <c r="O46" s="92" t="s">
        <v>111</v>
      </c>
      <c r="P46" s="7" t="s">
        <v>22</v>
      </c>
      <c r="Q46" s="7" t="s">
        <v>211</v>
      </c>
      <c r="R46" s="92" t="s">
        <v>212</v>
      </c>
      <c r="S46" s="389" t="s">
        <v>27</v>
      </c>
      <c r="T46" s="389"/>
      <c r="U46" s="19"/>
    </row>
    <row r="47" spans="1:20" s="179" customFormat="1" ht="11.25" customHeight="1">
      <c r="A47" s="172" t="s">
        <v>15</v>
      </c>
      <c r="B47" s="173">
        <v>1.7</v>
      </c>
      <c r="C47" s="174" t="s">
        <v>46</v>
      </c>
      <c r="D47" s="175" t="s">
        <v>94</v>
      </c>
      <c r="E47" s="174" t="s">
        <v>47</v>
      </c>
      <c r="F47" s="176" t="s">
        <v>49</v>
      </c>
      <c r="G47" s="177">
        <v>38491</v>
      </c>
      <c r="H47" s="178">
        <v>38492</v>
      </c>
      <c r="I47" s="265" t="s">
        <v>48</v>
      </c>
      <c r="J47" s="133">
        <v>10000</v>
      </c>
      <c r="K47" s="133">
        <f>+J47*0.2</f>
        <v>2000</v>
      </c>
      <c r="L47" s="121">
        <f>SUM(J47:K47)</f>
        <v>12000</v>
      </c>
      <c r="M47" s="133">
        <f>J47</f>
        <v>10000</v>
      </c>
      <c r="N47" s="133">
        <v>2000</v>
      </c>
      <c r="O47" s="121">
        <f>SUM(M47:N47)</f>
        <v>12000</v>
      </c>
      <c r="P47" s="133">
        <f aca="true" t="shared" si="17" ref="P47:P68">M47*0.65</f>
        <v>6500</v>
      </c>
      <c r="Q47" s="147">
        <f>N47*0.65</f>
        <v>1300</v>
      </c>
      <c r="R47" s="125">
        <f>O47*0.65</f>
        <v>7800</v>
      </c>
      <c r="S47" s="392" t="s">
        <v>99</v>
      </c>
      <c r="T47" s="392"/>
    </row>
    <row r="48" spans="1:20" s="214" customFormat="1" ht="11.25" customHeight="1">
      <c r="A48" s="206" t="s">
        <v>100</v>
      </c>
      <c r="B48" s="207"/>
      <c r="C48" s="225" t="s">
        <v>237</v>
      </c>
      <c r="D48" s="209"/>
      <c r="E48" s="208"/>
      <c r="F48" s="210"/>
      <c r="G48" s="211"/>
      <c r="H48" s="212"/>
      <c r="I48" s="266"/>
      <c r="J48" s="213"/>
      <c r="K48" s="213"/>
      <c r="L48" s="121"/>
      <c r="M48" s="215">
        <v>52010</v>
      </c>
      <c r="N48" s="215">
        <v>2184</v>
      </c>
      <c r="O48" s="261">
        <v>54194</v>
      </c>
      <c r="P48" s="215">
        <v>33806.5</v>
      </c>
      <c r="Q48" s="215">
        <v>1419.6</v>
      </c>
      <c r="R48" s="261">
        <v>35226.1</v>
      </c>
      <c r="S48" s="446" t="s">
        <v>238</v>
      </c>
      <c r="T48" s="447"/>
    </row>
    <row r="49" spans="1:20" s="179" customFormat="1" ht="22.5" customHeight="1">
      <c r="A49" s="172" t="s">
        <v>100</v>
      </c>
      <c r="B49" s="173">
        <v>1.7</v>
      </c>
      <c r="C49" s="174" t="s">
        <v>46</v>
      </c>
      <c r="D49" s="175" t="s">
        <v>94</v>
      </c>
      <c r="E49" s="174" t="s">
        <v>47</v>
      </c>
      <c r="F49" s="176" t="s">
        <v>49</v>
      </c>
      <c r="G49" s="177">
        <v>38491</v>
      </c>
      <c r="H49" s="178">
        <v>38492</v>
      </c>
      <c r="I49" s="265" t="s">
        <v>48</v>
      </c>
      <c r="J49" s="133">
        <v>10000</v>
      </c>
      <c r="K49" s="133">
        <f>+J49*0.2</f>
        <v>2000</v>
      </c>
      <c r="L49" s="121">
        <f>SUM(J49:K49)</f>
        <v>12000</v>
      </c>
      <c r="M49" s="133">
        <v>0</v>
      </c>
      <c r="N49" s="133">
        <f>-N47</f>
        <v>-2000</v>
      </c>
      <c r="O49" s="121">
        <f>SUM(M49:N49)</f>
        <v>-2000</v>
      </c>
      <c r="P49" s="133">
        <f>M49*0.65</f>
        <v>0</v>
      </c>
      <c r="Q49" s="147">
        <f>N49*0.65</f>
        <v>-1300</v>
      </c>
      <c r="R49" s="125">
        <f>O49*0.65</f>
        <v>-1300</v>
      </c>
      <c r="S49" s="353" t="s">
        <v>220</v>
      </c>
      <c r="T49" s="393"/>
    </row>
    <row r="50" spans="1:20" s="126" customFormat="1" ht="11.25" customHeight="1">
      <c r="A50" s="115" t="s">
        <v>100</v>
      </c>
      <c r="B50" s="116"/>
      <c r="C50" s="117" t="s">
        <v>101</v>
      </c>
      <c r="D50" s="117" t="s">
        <v>102</v>
      </c>
      <c r="E50" s="134" t="s">
        <v>103</v>
      </c>
      <c r="F50" s="135" t="s">
        <v>104</v>
      </c>
      <c r="G50" s="137">
        <v>38527</v>
      </c>
      <c r="H50" s="137">
        <v>38527</v>
      </c>
      <c r="I50" s="180" t="s">
        <v>105</v>
      </c>
      <c r="J50" s="160">
        <v>1650</v>
      </c>
      <c r="K50" s="123">
        <f>J50*0.2</f>
        <v>330</v>
      </c>
      <c r="L50" s="121">
        <f>J50+K50</f>
        <v>1980</v>
      </c>
      <c r="M50" s="133">
        <f aca="true" t="shared" si="18" ref="M50:N53">J50</f>
        <v>1650</v>
      </c>
      <c r="N50" s="133">
        <f t="shared" si="18"/>
        <v>330</v>
      </c>
      <c r="O50" s="121">
        <f>M50+N50</f>
        <v>1980</v>
      </c>
      <c r="P50" s="123">
        <f t="shared" si="17"/>
        <v>1072.5</v>
      </c>
      <c r="Q50" s="145">
        <f aca="true" t="shared" si="19" ref="Q50:Q68">N50*0.65</f>
        <v>214.5</v>
      </c>
      <c r="R50" s="125">
        <f>SUM(P50:Q50)</f>
        <v>1287</v>
      </c>
      <c r="S50" s="387"/>
      <c r="T50" s="388"/>
    </row>
    <row r="51" spans="1:20" s="126" customFormat="1" ht="22.5">
      <c r="A51" s="115" t="s">
        <v>100</v>
      </c>
      <c r="B51" s="116"/>
      <c r="C51" s="117" t="s">
        <v>101</v>
      </c>
      <c r="D51" s="117" t="s">
        <v>102</v>
      </c>
      <c r="E51" s="134" t="s">
        <v>106</v>
      </c>
      <c r="F51" s="135">
        <v>72</v>
      </c>
      <c r="G51" s="137">
        <v>38527</v>
      </c>
      <c r="H51" s="137">
        <v>38527</v>
      </c>
      <c r="I51" s="180" t="s">
        <v>105</v>
      </c>
      <c r="J51" s="160">
        <v>1650</v>
      </c>
      <c r="K51" s="123">
        <f>J51*0.2</f>
        <v>330</v>
      </c>
      <c r="L51" s="121">
        <f>J51+K51</f>
        <v>1980</v>
      </c>
      <c r="M51" s="133">
        <f t="shared" si="18"/>
        <v>1650</v>
      </c>
      <c r="N51" s="133">
        <f t="shared" si="18"/>
        <v>330</v>
      </c>
      <c r="O51" s="121">
        <f>M51+N51</f>
        <v>1980</v>
      </c>
      <c r="P51" s="123">
        <f aca="true" t="shared" si="20" ref="P51:Q53">M51*0.65</f>
        <v>1072.5</v>
      </c>
      <c r="Q51" s="145">
        <f t="shared" si="20"/>
        <v>214.5</v>
      </c>
      <c r="R51" s="125">
        <f>SUM(P51:Q51)</f>
        <v>1287</v>
      </c>
      <c r="S51" s="387"/>
      <c r="T51" s="388"/>
    </row>
    <row r="52" spans="1:20" s="126" customFormat="1" ht="22.5">
      <c r="A52" s="115" t="s">
        <v>100</v>
      </c>
      <c r="B52" s="116"/>
      <c r="C52" s="117" t="s">
        <v>101</v>
      </c>
      <c r="D52" s="117" t="s">
        <v>102</v>
      </c>
      <c r="E52" s="134" t="s">
        <v>107</v>
      </c>
      <c r="F52" s="135" t="s">
        <v>108</v>
      </c>
      <c r="G52" s="137">
        <v>38555</v>
      </c>
      <c r="H52" s="137">
        <v>38565</v>
      </c>
      <c r="I52" s="180" t="s">
        <v>105</v>
      </c>
      <c r="J52" s="160">
        <v>1650</v>
      </c>
      <c r="K52" s="123">
        <f>J52*0.2</f>
        <v>330</v>
      </c>
      <c r="L52" s="121">
        <f>J52+K52</f>
        <v>1980</v>
      </c>
      <c r="M52" s="133">
        <f t="shared" si="18"/>
        <v>1650</v>
      </c>
      <c r="N52" s="133">
        <f t="shared" si="18"/>
        <v>330</v>
      </c>
      <c r="O52" s="121">
        <f>M52+N52</f>
        <v>1980</v>
      </c>
      <c r="P52" s="123">
        <f t="shared" si="20"/>
        <v>1072.5</v>
      </c>
      <c r="Q52" s="145">
        <f t="shared" si="20"/>
        <v>214.5</v>
      </c>
      <c r="R52" s="125">
        <f>SUM(P52:Q52)</f>
        <v>1287</v>
      </c>
      <c r="S52" s="387"/>
      <c r="T52" s="388"/>
    </row>
    <row r="53" spans="1:20" s="126" customFormat="1" ht="22.5">
      <c r="A53" s="115" t="s">
        <v>100</v>
      </c>
      <c r="B53" s="116"/>
      <c r="C53" s="117" t="s">
        <v>101</v>
      </c>
      <c r="D53" s="117" t="s">
        <v>102</v>
      </c>
      <c r="E53" s="134" t="s">
        <v>109</v>
      </c>
      <c r="F53" s="135">
        <v>7</v>
      </c>
      <c r="G53" s="137">
        <v>38534</v>
      </c>
      <c r="H53" s="137">
        <v>38565</v>
      </c>
      <c r="I53" s="180" t="s">
        <v>105</v>
      </c>
      <c r="J53" s="160">
        <v>1650</v>
      </c>
      <c r="K53" s="123">
        <v>0</v>
      </c>
      <c r="L53" s="121">
        <f>J53+K53</f>
        <v>1650</v>
      </c>
      <c r="M53" s="133">
        <f t="shared" si="18"/>
        <v>1650</v>
      </c>
      <c r="N53" s="133">
        <f t="shared" si="18"/>
        <v>0</v>
      </c>
      <c r="O53" s="121">
        <f>M53+N53</f>
        <v>1650</v>
      </c>
      <c r="P53" s="123">
        <f t="shared" si="20"/>
        <v>1072.5</v>
      </c>
      <c r="Q53" s="145">
        <f t="shared" si="20"/>
        <v>0</v>
      </c>
      <c r="R53" s="125">
        <f aca="true" t="shared" si="21" ref="R53:R68">SUM(P53:Q53)</f>
        <v>1072.5</v>
      </c>
      <c r="S53" s="387"/>
      <c r="T53" s="388"/>
    </row>
    <row r="54" spans="1:20" s="126" customFormat="1" ht="69.75" customHeight="1">
      <c r="A54" s="115" t="s">
        <v>100</v>
      </c>
      <c r="B54" s="116"/>
      <c r="C54" s="117" t="s">
        <v>115</v>
      </c>
      <c r="D54" s="117" t="s">
        <v>121</v>
      </c>
      <c r="E54" s="134" t="s">
        <v>116</v>
      </c>
      <c r="F54" s="181" t="s">
        <v>117</v>
      </c>
      <c r="G54" s="137">
        <v>38534</v>
      </c>
      <c r="H54" s="137">
        <v>38580</v>
      </c>
      <c r="I54" s="180" t="s">
        <v>118</v>
      </c>
      <c r="J54" s="150">
        <v>6000</v>
      </c>
      <c r="K54" s="123">
        <f aca="true" t="shared" si="22" ref="K54:K60">J54*0.2</f>
        <v>1200</v>
      </c>
      <c r="L54" s="121">
        <f aca="true" t="shared" si="23" ref="L54:L61">SUM(J54:K54)</f>
        <v>7200</v>
      </c>
      <c r="M54" s="133">
        <f aca="true" t="shared" si="24" ref="M54:M68">J54</f>
        <v>6000</v>
      </c>
      <c r="N54" s="133"/>
      <c r="O54" s="121">
        <f aca="true" t="shared" si="25" ref="O54:O60">SUM(M54:N54)</f>
        <v>6000</v>
      </c>
      <c r="P54" s="123">
        <f t="shared" si="17"/>
        <v>3900</v>
      </c>
      <c r="Q54" s="145">
        <f t="shared" si="19"/>
        <v>0</v>
      </c>
      <c r="R54" s="125">
        <f t="shared" si="21"/>
        <v>3900</v>
      </c>
      <c r="S54" s="356" t="s">
        <v>225</v>
      </c>
      <c r="T54" s="362"/>
    </row>
    <row r="55" spans="1:20" s="126" customFormat="1" ht="62.25" customHeight="1">
      <c r="A55" s="115" t="s">
        <v>100</v>
      </c>
      <c r="B55" s="116"/>
      <c r="C55" s="117" t="s">
        <v>115</v>
      </c>
      <c r="D55" s="117" t="s">
        <v>121</v>
      </c>
      <c r="E55" s="134" t="s">
        <v>116</v>
      </c>
      <c r="F55" s="181" t="s">
        <v>119</v>
      </c>
      <c r="G55" s="137">
        <v>38619</v>
      </c>
      <c r="H55" s="138" t="s">
        <v>120</v>
      </c>
      <c r="I55" s="138" t="s">
        <v>118</v>
      </c>
      <c r="J55" s="160">
        <v>13040</v>
      </c>
      <c r="K55" s="123">
        <f t="shared" si="22"/>
        <v>2608</v>
      </c>
      <c r="L55" s="121">
        <f t="shared" si="23"/>
        <v>15648</v>
      </c>
      <c r="M55" s="133">
        <v>13000</v>
      </c>
      <c r="N55" s="133"/>
      <c r="O55" s="121">
        <f t="shared" si="25"/>
        <v>13000</v>
      </c>
      <c r="P55" s="123">
        <f t="shared" si="17"/>
        <v>8450</v>
      </c>
      <c r="Q55" s="145">
        <f t="shared" si="19"/>
        <v>0</v>
      </c>
      <c r="R55" s="125">
        <f t="shared" si="21"/>
        <v>8450</v>
      </c>
      <c r="S55" s="390"/>
      <c r="T55" s="391"/>
    </row>
    <row r="56" spans="1:20" s="126" customFormat="1" ht="163.5" customHeight="1">
      <c r="A56" s="115" t="s">
        <v>100</v>
      </c>
      <c r="B56" s="116"/>
      <c r="C56" s="117" t="s">
        <v>61</v>
      </c>
      <c r="D56" s="164" t="s">
        <v>128</v>
      </c>
      <c r="E56" s="157" t="s">
        <v>133</v>
      </c>
      <c r="F56" s="182" t="s">
        <v>142</v>
      </c>
      <c r="G56" s="149">
        <v>38611</v>
      </c>
      <c r="H56" s="149">
        <v>38617</v>
      </c>
      <c r="I56" s="149" t="s">
        <v>134</v>
      </c>
      <c r="J56" s="183">
        <v>1850</v>
      </c>
      <c r="K56" s="183">
        <f t="shared" si="22"/>
        <v>370</v>
      </c>
      <c r="L56" s="121">
        <f t="shared" si="23"/>
        <v>2220</v>
      </c>
      <c r="M56" s="133"/>
      <c r="N56" s="183">
        <f>M56*0.2</f>
        <v>0</v>
      </c>
      <c r="O56" s="121">
        <f t="shared" si="25"/>
        <v>0</v>
      </c>
      <c r="P56" s="123">
        <f t="shared" si="17"/>
        <v>0</v>
      </c>
      <c r="Q56" s="145">
        <f t="shared" si="19"/>
        <v>0</v>
      </c>
      <c r="R56" s="125">
        <f t="shared" si="21"/>
        <v>0</v>
      </c>
      <c r="S56" s="356" t="s">
        <v>319</v>
      </c>
      <c r="T56" s="362"/>
    </row>
    <row r="57" spans="1:20" s="126" customFormat="1" ht="273" customHeight="1">
      <c r="A57" s="115" t="s">
        <v>100</v>
      </c>
      <c r="B57" s="116"/>
      <c r="C57" s="117" t="s">
        <v>61</v>
      </c>
      <c r="D57" s="164" t="s">
        <v>129</v>
      </c>
      <c r="E57" s="157" t="s">
        <v>133</v>
      </c>
      <c r="F57" s="182" t="s">
        <v>135</v>
      </c>
      <c r="G57" s="149">
        <v>38611</v>
      </c>
      <c r="H57" s="149">
        <v>38617</v>
      </c>
      <c r="I57" s="149" t="s">
        <v>134</v>
      </c>
      <c r="J57" s="183">
        <v>2000</v>
      </c>
      <c r="K57" s="183">
        <f t="shared" si="22"/>
        <v>400</v>
      </c>
      <c r="L57" s="121">
        <f t="shared" si="23"/>
        <v>2400</v>
      </c>
      <c r="M57" s="133"/>
      <c r="N57" s="183">
        <f>M57*0.2</f>
        <v>0</v>
      </c>
      <c r="O57" s="121">
        <f t="shared" si="25"/>
        <v>0</v>
      </c>
      <c r="P57" s="123">
        <f t="shared" si="17"/>
        <v>0</v>
      </c>
      <c r="Q57" s="145">
        <f t="shared" si="19"/>
        <v>0</v>
      </c>
      <c r="R57" s="125">
        <f t="shared" si="21"/>
        <v>0</v>
      </c>
      <c r="S57" s="351"/>
      <c r="T57" s="380"/>
    </row>
    <row r="58" spans="1:20" s="126" customFormat="1" ht="80.25" customHeight="1">
      <c r="A58" s="115" t="s">
        <v>100</v>
      </c>
      <c r="B58" s="116"/>
      <c r="C58" s="117" t="s">
        <v>61</v>
      </c>
      <c r="D58" s="164" t="s">
        <v>131</v>
      </c>
      <c r="E58" s="157" t="s">
        <v>138</v>
      </c>
      <c r="F58" s="182" t="s">
        <v>139</v>
      </c>
      <c r="G58" s="149">
        <v>38618</v>
      </c>
      <c r="H58" s="149">
        <v>38618</v>
      </c>
      <c r="I58" s="149" t="s">
        <v>134</v>
      </c>
      <c r="J58" s="183">
        <v>5600</v>
      </c>
      <c r="K58" s="183">
        <f>J58*0.2</f>
        <v>1120</v>
      </c>
      <c r="L58" s="121">
        <f>SUM(J58:K58)</f>
        <v>6720</v>
      </c>
      <c r="M58" s="133">
        <f>5700/1.2</f>
        <v>4750</v>
      </c>
      <c r="N58" s="183"/>
      <c r="O58" s="121">
        <f>SUM(M58:N58)</f>
        <v>4750</v>
      </c>
      <c r="P58" s="123">
        <f>M58*0.65</f>
        <v>3087.5</v>
      </c>
      <c r="Q58" s="145">
        <f>N58*0.65</f>
        <v>0</v>
      </c>
      <c r="R58" s="125">
        <f>SUM(P58:Q58)</f>
        <v>3087.5</v>
      </c>
      <c r="S58" s="367" t="s">
        <v>295</v>
      </c>
      <c r="T58" s="368"/>
    </row>
    <row r="59" spans="1:20" s="126" customFormat="1" ht="46.5" customHeight="1">
      <c r="A59" s="115" t="s">
        <v>100</v>
      </c>
      <c r="B59" s="116"/>
      <c r="C59" s="117" t="s">
        <v>61</v>
      </c>
      <c r="D59" s="164" t="s">
        <v>130</v>
      </c>
      <c r="E59" s="157" t="s">
        <v>136</v>
      </c>
      <c r="F59" s="182" t="s">
        <v>137</v>
      </c>
      <c r="G59" s="149">
        <v>38614</v>
      </c>
      <c r="H59" s="149">
        <v>38615</v>
      </c>
      <c r="I59" s="149" t="s">
        <v>134</v>
      </c>
      <c r="J59" s="183">
        <v>5000</v>
      </c>
      <c r="K59" s="183">
        <f t="shared" si="22"/>
        <v>1000</v>
      </c>
      <c r="L59" s="121">
        <f t="shared" si="23"/>
        <v>6000</v>
      </c>
      <c r="M59" s="133">
        <f t="shared" si="24"/>
        <v>5000</v>
      </c>
      <c r="N59" s="183"/>
      <c r="O59" s="121">
        <f t="shared" si="25"/>
        <v>5000</v>
      </c>
      <c r="P59" s="123">
        <f t="shared" si="17"/>
        <v>3250</v>
      </c>
      <c r="Q59" s="145">
        <f t="shared" si="19"/>
        <v>0</v>
      </c>
      <c r="R59" s="125">
        <f t="shared" si="21"/>
        <v>3250</v>
      </c>
      <c r="S59" s="367" t="s">
        <v>296</v>
      </c>
      <c r="T59" s="368"/>
    </row>
    <row r="60" spans="1:20" s="126" customFormat="1" ht="114.75" customHeight="1">
      <c r="A60" s="115" t="s">
        <v>100</v>
      </c>
      <c r="B60" s="116"/>
      <c r="C60" s="117" t="s">
        <v>61</v>
      </c>
      <c r="D60" s="164" t="s">
        <v>132</v>
      </c>
      <c r="E60" s="184" t="s">
        <v>140</v>
      </c>
      <c r="F60" s="182" t="s">
        <v>141</v>
      </c>
      <c r="G60" s="149">
        <v>38618</v>
      </c>
      <c r="H60" s="149">
        <v>38618</v>
      </c>
      <c r="I60" s="149" t="s">
        <v>134</v>
      </c>
      <c r="J60" s="183">
        <v>1520</v>
      </c>
      <c r="K60" s="183">
        <f t="shared" si="22"/>
        <v>304</v>
      </c>
      <c r="L60" s="121">
        <f t="shared" si="23"/>
        <v>1824</v>
      </c>
      <c r="M60" s="133">
        <v>1500</v>
      </c>
      <c r="N60" s="183"/>
      <c r="O60" s="121">
        <f t="shared" si="25"/>
        <v>1500</v>
      </c>
      <c r="P60" s="123">
        <f t="shared" si="17"/>
        <v>975</v>
      </c>
      <c r="Q60" s="145">
        <f t="shared" si="19"/>
        <v>0</v>
      </c>
      <c r="R60" s="125">
        <f t="shared" si="21"/>
        <v>975</v>
      </c>
      <c r="S60" s="367" t="s">
        <v>260</v>
      </c>
      <c r="T60" s="368"/>
    </row>
    <row r="61" spans="1:20" s="126" customFormat="1" ht="22.5">
      <c r="A61" s="115" t="s">
        <v>100</v>
      </c>
      <c r="B61" s="116"/>
      <c r="C61" s="117" t="s">
        <v>50</v>
      </c>
      <c r="D61" s="146" t="s">
        <v>166</v>
      </c>
      <c r="E61" s="134" t="s">
        <v>168</v>
      </c>
      <c r="F61" s="186" t="s">
        <v>169</v>
      </c>
      <c r="G61" s="137">
        <v>38532</v>
      </c>
      <c r="H61" s="137">
        <v>38537</v>
      </c>
      <c r="I61" s="138" t="s">
        <v>91</v>
      </c>
      <c r="J61" s="150">
        <v>1248</v>
      </c>
      <c r="K61" s="123">
        <f>J61*0.2</f>
        <v>249.60000000000002</v>
      </c>
      <c r="L61" s="121">
        <f t="shared" si="23"/>
        <v>1497.6</v>
      </c>
      <c r="M61" s="133">
        <f t="shared" si="24"/>
        <v>1248</v>
      </c>
      <c r="N61" s="133"/>
      <c r="O61" s="121">
        <f>SUM(M61:N61)</f>
        <v>1248</v>
      </c>
      <c r="P61" s="123">
        <f t="shared" si="17"/>
        <v>811.2</v>
      </c>
      <c r="Q61" s="145">
        <f t="shared" si="19"/>
        <v>0</v>
      </c>
      <c r="R61" s="125">
        <f t="shared" si="21"/>
        <v>811.2</v>
      </c>
      <c r="S61" s="443" t="s">
        <v>290</v>
      </c>
      <c r="T61" s="362"/>
    </row>
    <row r="62" spans="1:20" s="126" customFormat="1" ht="22.5">
      <c r="A62" s="115" t="s">
        <v>100</v>
      </c>
      <c r="B62" s="116"/>
      <c r="C62" s="117" t="s">
        <v>50</v>
      </c>
      <c r="D62" s="146" t="s">
        <v>166</v>
      </c>
      <c r="E62" s="134" t="s">
        <v>168</v>
      </c>
      <c r="F62" s="185" t="s">
        <v>170</v>
      </c>
      <c r="G62" s="137">
        <v>38562</v>
      </c>
      <c r="H62" s="137">
        <v>38566</v>
      </c>
      <c r="I62" s="138" t="s">
        <v>91</v>
      </c>
      <c r="J62" s="150">
        <v>1248</v>
      </c>
      <c r="K62" s="123">
        <f aca="true" t="shared" si="26" ref="K62:K68">J62*0.2</f>
        <v>249.60000000000002</v>
      </c>
      <c r="L62" s="121">
        <f aca="true" t="shared" si="27" ref="L62:L68">SUM(J62:K62)</f>
        <v>1497.6</v>
      </c>
      <c r="M62" s="133">
        <f t="shared" si="24"/>
        <v>1248</v>
      </c>
      <c r="N62" s="133"/>
      <c r="O62" s="121">
        <f aca="true" t="shared" si="28" ref="O62:O68">SUM(M62:N62)</f>
        <v>1248</v>
      </c>
      <c r="P62" s="123">
        <f t="shared" si="17"/>
        <v>811.2</v>
      </c>
      <c r="Q62" s="145">
        <f t="shared" si="19"/>
        <v>0</v>
      </c>
      <c r="R62" s="125">
        <f t="shared" si="21"/>
        <v>811.2</v>
      </c>
      <c r="S62" s="444"/>
      <c r="T62" s="445"/>
    </row>
    <row r="63" spans="1:20" s="126" customFormat="1" ht="22.5">
      <c r="A63" s="115" t="s">
        <v>100</v>
      </c>
      <c r="B63" s="116"/>
      <c r="C63" s="117" t="s">
        <v>50</v>
      </c>
      <c r="D63" s="146" t="s">
        <v>166</v>
      </c>
      <c r="E63" s="134" t="s">
        <v>168</v>
      </c>
      <c r="F63" s="185" t="s">
        <v>171</v>
      </c>
      <c r="G63" s="137">
        <v>38597</v>
      </c>
      <c r="H63" s="137">
        <v>38597</v>
      </c>
      <c r="I63" s="138" t="s">
        <v>91</v>
      </c>
      <c r="J63" s="150">
        <v>1248</v>
      </c>
      <c r="K63" s="123">
        <f t="shared" si="26"/>
        <v>249.60000000000002</v>
      </c>
      <c r="L63" s="121">
        <f t="shared" si="27"/>
        <v>1497.6</v>
      </c>
      <c r="M63" s="133">
        <f t="shared" si="24"/>
        <v>1248</v>
      </c>
      <c r="N63" s="133"/>
      <c r="O63" s="121">
        <f t="shared" si="28"/>
        <v>1248</v>
      </c>
      <c r="P63" s="123">
        <f t="shared" si="17"/>
        <v>811.2</v>
      </c>
      <c r="Q63" s="145">
        <f t="shared" si="19"/>
        <v>0</v>
      </c>
      <c r="R63" s="125">
        <f t="shared" si="21"/>
        <v>811.2</v>
      </c>
      <c r="S63" s="444"/>
      <c r="T63" s="445"/>
    </row>
    <row r="64" spans="1:20" s="126" customFormat="1" ht="22.5">
      <c r="A64" s="115" t="s">
        <v>100</v>
      </c>
      <c r="B64" s="116"/>
      <c r="C64" s="117" t="s">
        <v>50</v>
      </c>
      <c r="D64" s="146" t="s">
        <v>166</v>
      </c>
      <c r="E64" s="134" t="s">
        <v>168</v>
      </c>
      <c r="F64" s="185" t="s">
        <v>172</v>
      </c>
      <c r="G64" s="185" t="s">
        <v>173</v>
      </c>
      <c r="H64" s="137">
        <v>38628</v>
      </c>
      <c r="I64" s="138" t="s">
        <v>91</v>
      </c>
      <c r="J64" s="150">
        <v>1248</v>
      </c>
      <c r="K64" s="123">
        <f t="shared" si="26"/>
        <v>249.60000000000002</v>
      </c>
      <c r="L64" s="121">
        <f t="shared" si="27"/>
        <v>1497.6</v>
      </c>
      <c r="M64" s="133">
        <f t="shared" si="24"/>
        <v>1248</v>
      </c>
      <c r="N64" s="133"/>
      <c r="O64" s="121">
        <f t="shared" si="28"/>
        <v>1248</v>
      </c>
      <c r="P64" s="123">
        <f t="shared" si="17"/>
        <v>811.2</v>
      </c>
      <c r="Q64" s="145">
        <f t="shared" si="19"/>
        <v>0</v>
      </c>
      <c r="R64" s="125">
        <f t="shared" si="21"/>
        <v>811.2</v>
      </c>
      <c r="S64" s="363"/>
      <c r="T64" s="364"/>
    </row>
    <row r="65" spans="1:20" s="126" customFormat="1" ht="33.75">
      <c r="A65" s="115" t="s">
        <v>100</v>
      </c>
      <c r="B65" s="116"/>
      <c r="C65" s="117" t="s">
        <v>50</v>
      </c>
      <c r="D65" s="146" t="s">
        <v>167</v>
      </c>
      <c r="E65" s="148" t="s">
        <v>174</v>
      </c>
      <c r="F65" s="185" t="s">
        <v>175</v>
      </c>
      <c r="G65" s="137">
        <v>38534</v>
      </c>
      <c r="H65" s="137">
        <v>38544</v>
      </c>
      <c r="I65" s="138" t="s">
        <v>91</v>
      </c>
      <c r="J65" s="150">
        <v>1352</v>
      </c>
      <c r="K65" s="123">
        <f t="shared" si="26"/>
        <v>270.40000000000003</v>
      </c>
      <c r="L65" s="121">
        <f t="shared" si="27"/>
        <v>1622.4</v>
      </c>
      <c r="M65" s="133">
        <f t="shared" si="24"/>
        <v>1352</v>
      </c>
      <c r="N65" s="133"/>
      <c r="O65" s="121">
        <f t="shared" si="28"/>
        <v>1352</v>
      </c>
      <c r="P65" s="123">
        <f t="shared" si="17"/>
        <v>878.8000000000001</v>
      </c>
      <c r="Q65" s="145">
        <f t="shared" si="19"/>
        <v>0</v>
      </c>
      <c r="R65" s="125">
        <f t="shared" si="21"/>
        <v>878.8000000000001</v>
      </c>
      <c r="S65" s="443" t="s">
        <v>290</v>
      </c>
      <c r="T65" s="362"/>
    </row>
    <row r="66" spans="1:20" s="126" customFormat="1" ht="33.75">
      <c r="A66" s="115" t="s">
        <v>100</v>
      </c>
      <c r="B66" s="116"/>
      <c r="C66" s="117" t="s">
        <v>50</v>
      </c>
      <c r="D66" s="146" t="s">
        <v>167</v>
      </c>
      <c r="E66" s="148" t="s">
        <v>174</v>
      </c>
      <c r="F66" s="185" t="s">
        <v>176</v>
      </c>
      <c r="G66" s="137">
        <v>38565</v>
      </c>
      <c r="H66" s="137">
        <v>38566</v>
      </c>
      <c r="I66" s="138" t="s">
        <v>91</v>
      </c>
      <c r="J66" s="150">
        <v>1352</v>
      </c>
      <c r="K66" s="123">
        <f t="shared" si="26"/>
        <v>270.40000000000003</v>
      </c>
      <c r="L66" s="121">
        <f t="shared" si="27"/>
        <v>1622.4</v>
      </c>
      <c r="M66" s="133">
        <f t="shared" si="24"/>
        <v>1352</v>
      </c>
      <c r="N66" s="133"/>
      <c r="O66" s="121">
        <f t="shared" si="28"/>
        <v>1352</v>
      </c>
      <c r="P66" s="123">
        <f t="shared" si="17"/>
        <v>878.8000000000001</v>
      </c>
      <c r="Q66" s="145">
        <f t="shared" si="19"/>
        <v>0</v>
      </c>
      <c r="R66" s="125">
        <f t="shared" si="21"/>
        <v>878.8000000000001</v>
      </c>
      <c r="S66" s="444"/>
      <c r="T66" s="445"/>
    </row>
    <row r="67" spans="1:20" s="126" customFormat="1" ht="33.75">
      <c r="A67" s="115" t="s">
        <v>100</v>
      </c>
      <c r="B67" s="116"/>
      <c r="C67" s="117" t="s">
        <v>50</v>
      </c>
      <c r="D67" s="146" t="s">
        <v>167</v>
      </c>
      <c r="E67" s="148" t="s">
        <v>174</v>
      </c>
      <c r="F67" s="185" t="s">
        <v>177</v>
      </c>
      <c r="G67" s="137">
        <v>38596</v>
      </c>
      <c r="H67" s="137">
        <v>38597</v>
      </c>
      <c r="I67" s="138" t="s">
        <v>91</v>
      </c>
      <c r="J67" s="150">
        <v>1352</v>
      </c>
      <c r="K67" s="123">
        <f t="shared" si="26"/>
        <v>270.40000000000003</v>
      </c>
      <c r="L67" s="121">
        <f t="shared" si="27"/>
        <v>1622.4</v>
      </c>
      <c r="M67" s="133">
        <f t="shared" si="24"/>
        <v>1352</v>
      </c>
      <c r="N67" s="133"/>
      <c r="O67" s="121">
        <f t="shared" si="28"/>
        <v>1352</v>
      </c>
      <c r="P67" s="123">
        <f t="shared" si="17"/>
        <v>878.8000000000001</v>
      </c>
      <c r="Q67" s="145">
        <f t="shared" si="19"/>
        <v>0</v>
      </c>
      <c r="R67" s="125">
        <f t="shared" si="21"/>
        <v>878.8000000000001</v>
      </c>
      <c r="S67" s="444"/>
      <c r="T67" s="445"/>
    </row>
    <row r="68" spans="1:20" s="126" customFormat="1" ht="33.75">
      <c r="A68" s="115" t="s">
        <v>100</v>
      </c>
      <c r="B68" s="116"/>
      <c r="C68" s="117" t="s">
        <v>50</v>
      </c>
      <c r="D68" s="146" t="s">
        <v>167</v>
      </c>
      <c r="E68" s="148" t="s">
        <v>174</v>
      </c>
      <c r="F68" s="185" t="s">
        <v>178</v>
      </c>
      <c r="G68" s="137">
        <v>38626</v>
      </c>
      <c r="H68" s="137">
        <v>38628</v>
      </c>
      <c r="I68" s="138" t="s">
        <v>91</v>
      </c>
      <c r="J68" s="150">
        <v>1352</v>
      </c>
      <c r="K68" s="123">
        <f t="shared" si="26"/>
        <v>270.40000000000003</v>
      </c>
      <c r="L68" s="121">
        <f t="shared" si="27"/>
        <v>1622.4</v>
      </c>
      <c r="M68" s="133">
        <f t="shared" si="24"/>
        <v>1352</v>
      </c>
      <c r="N68" s="133"/>
      <c r="O68" s="121">
        <f t="shared" si="28"/>
        <v>1352</v>
      </c>
      <c r="P68" s="123">
        <f t="shared" si="17"/>
        <v>878.8000000000001</v>
      </c>
      <c r="Q68" s="145">
        <f t="shared" si="19"/>
        <v>0</v>
      </c>
      <c r="R68" s="125">
        <f t="shared" si="21"/>
        <v>878.8000000000001</v>
      </c>
      <c r="S68" s="363"/>
      <c r="T68" s="364"/>
    </row>
    <row r="69" spans="1:20" s="224" customFormat="1" ht="13.5" customHeight="1">
      <c r="A69" s="216" t="s">
        <v>226</v>
      </c>
      <c r="B69" s="217"/>
      <c r="C69" s="226" t="s">
        <v>239</v>
      </c>
      <c r="D69" s="219"/>
      <c r="E69" s="218"/>
      <c r="F69" s="220"/>
      <c r="G69" s="221"/>
      <c r="H69" s="222"/>
      <c r="I69" s="222"/>
      <c r="J69" s="223"/>
      <c r="K69" s="223"/>
      <c r="L69" s="93"/>
      <c r="M69" s="223">
        <f aca="true" t="shared" si="29" ref="M69:R69">SUM(M49:M68)-M48</f>
        <v>-4760</v>
      </c>
      <c r="N69" s="223">
        <f t="shared" si="29"/>
        <v>-3194</v>
      </c>
      <c r="O69" s="93">
        <f t="shared" si="29"/>
        <v>-7954</v>
      </c>
      <c r="P69" s="223">
        <f t="shared" si="29"/>
        <v>-3094</v>
      </c>
      <c r="Q69" s="223">
        <f t="shared" si="29"/>
        <v>-2076.1</v>
      </c>
      <c r="R69" s="93">
        <f t="shared" si="29"/>
        <v>-5170.0999999999985</v>
      </c>
      <c r="S69" s="381" t="s">
        <v>241</v>
      </c>
      <c r="T69" s="382"/>
    </row>
    <row r="70" spans="1:20" s="278" customFormat="1" ht="22.5">
      <c r="A70" s="272" t="s">
        <v>226</v>
      </c>
      <c r="B70" s="273"/>
      <c r="C70" s="117" t="s">
        <v>101</v>
      </c>
      <c r="D70" s="9" t="s">
        <v>102</v>
      </c>
      <c r="E70" s="73" t="s">
        <v>103</v>
      </c>
      <c r="F70" s="279">
        <v>59</v>
      </c>
      <c r="G70" s="64">
        <v>38706</v>
      </c>
      <c r="H70" s="63">
        <v>38708</v>
      </c>
      <c r="I70" s="281" t="s">
        <v>105</v>
      </c>
      <c r="J70" s="71">
        <v>2000</v>
      </c>
      <c r="K70" s="71">
        <v>400</v>
      </c>
      <c r="L70" s="98">
        <f>J70+K70</f>
        <v>2400</v>
      </c>
      <c r="M70" s="23">
        <v>2000</v>
      </c>
      <c r="N70" s="23">
        <v>400</v>
      </c>
      <c r="O70" s="93">
        <f aca="true" t="shared" si="30" ref="O70:O77">+N70+M70</f>
        <v>2400</v>
      </c>
      <c r="P70" s="23">
        <f aca="true" t="shared" si="31" ref="P70:Q73">+M70*0.65</f>
        <v>1300</v>
      </c>
      <c r="Q70" s="23">
        <f t="shared" si="31"/>
        <v>260</v>
      </c>
      <c r="R70" s="93">
        <f>+Q70+P70</f>
        <v>1560</v>
      </c>
      <c r="S70" s="276"/>
      <c r="T70" s="277"/>
    </row>
    <row r="71" spans="1:20" s="278" customFormat="1" ht="22.5">
      <c r="A71" s="272" t="s">
        <v>226</v>
      </c>
      <c r="B71" s="273"/>
      <c r="C71" s="117" t="s">
        <v>101</v>
      </c>
      <c r="D71" s="9" t="s">
        <v>102</v>
      </c>
      <c r="E71" s="73" t="s">
        <v>106</v>
      </c>
      <c r="F71" s="279">
        <v>147</v>
      </c>
      <c r="G71" s="64">
        <v>38706</v>
      </c>
      <c r="H71" s="63">
        <v>38708</v>
      </c>
      <c r="I71" s="281" t="s">
        <v>105</v>
      </c>
      <c r="J71" s="71">
        <v>2000</v>
      </c>
      <c r="K71" s="71">
        <v>400</v>
      </c>
      <c r="L71" s="98">
        <f>J71+K71</f>
        <v>2400</v>
      </c>
      <c r="M71" s="23">
        <v>2000</v>
      </c>
      <c r="N71" s="23">
        <v>400</v>
      </c>
      <c r="O71" s="93">
        <f t="shared" si="30"/>
        <v>2400</v>
      </c>
      <c r="P71" s="23">
        <f t="shared" si="31"/>
        <v>1300</v>
      </c>
      <c r="Q71" s="23">
        <f t="shared" si="31"/>
        <v>260</v>
      </c>
      <c r="R71" s="93">
        <f>+Q71+P71</f>
        <v>1560</v>
      </c>
      <c r="S71" s="385"/>
      <c r="T71" s="386"/>
    </row>
    <row r="72" spans="1:20" s="278" customFormat="1" ht="22.5">
      <c r="A72" s="272" t="s">
        <v>226</v>
      </c>
      <c r="B72" s="273"/>
      <c r="C72" s="117" t="s">
        <v>101</v>
      </c>
      <c r="D72" s="9" t="s">
        <v>102</v>
      </c>
      <c r="E72" s="73" t="s">
        <v>107</v>
      </c>
      <c r="F72" s="280" t="s">
        <v>247</v>
      </c>
      <c r="G72" s="64">
        <v>38722</v>
      </c>
      <c r="H72" s="63">
        <v>38733</v>
      </c>
      <c r="I72" s="281" t="s">
        <v>105</v>
      </c>
      <c r="J72" s="71">
        <v>2000</v>
      </c>
      <c r="K72" s="71">
        <v>400</v>
      </c>
      <c r="L72" s="98">
        <f>J72+K72</f>
        <v>2400</v>
      </c>
      <c r="M72" s="23">
        <v>2000</v>
      </c>
      <c r="N72" s="23">
        <v>400</v>
      </c>
      <c r="O72" s="93">
        <f t="shared" si="30"/>
        <v>2400</v>
      </c>
      <c r="P72" s="23">
        <f t="shared" si="31"/>
        <v>1300</v>
      </c>
      <c r="Q72" s="23">
        <f t="shared" si="31"/>
        <v>260</v>
      </c>
      <c r="R72" s="93">
        <f>+Q72+P72</f>
        <v>1560</v>
      </c>
      <c r="S72" s="383" t="s">
        <v>249</v>
      </c>
      <c r="T72" s="384"/>
    </row>
    <row r="73" spans="1:20" s="278" customFormat="1" ht="24.75" customHeight="1">
      <c r="A73" s="272" t="s">
        <v>226</v>
      </c>
      <c r="B73" s="273"/>
      <c r="C73" s="117" t="s">
        <v>101</v>
      </c>
      <c r="D73" s="9" t="s">
        <v>102</v>
      </c>
      <c r="E73" s="62" t="s">
        <v>109</v>
      </c>
      <c r="F73" s="280" t="s">
        <v>248</v>
      </c>
      <c r="G73" s="64">
        <v>38727</v>
      </c>
      <c r="H73" s="63">
        <v>38733</v>
      </c>
      <c r="I73" s="281" t="s">
        <v>105</v>
      </c>
      <c r="J73" s="71">
        <v>2000</v>
      </c>
      <c r="K73" s="71">
        <v>0</v>
      </c>
      <c r="L73" s="98">
        <f>J73+K73</f>
        <v>2000</v>
      </c>
      <c r="M73" s="23">
        <v>2000</v>
      </c>
      <c r="N73" s="23"/>
      <c r="O73" s="93">
        <f t="shared" si="30"/>
        <v>2000</v>
      </c>
      <c r="P73" s="23">
        <f t="shared" si="31"/>
        <v>1300</v>
      </c>
      <c r="Q73" s="23">
        <f t="shared" si="31"/>
        <v>0</v>
      </c>
      <c r="R73" s="93">
        <f>+P73+Q73</f>
        <v>1300</v>
      </c>
      <c r="S73" s="383" t="s">
        <v>249</v>
      </c>
      <c r="T73" s="384"/>
    </row>
    <row r="74" spans="1:20" s="278" customFormat="1" ht="22.5">
      <c r="A74" s="272" t="s">
        <v>226</v>
      </c>
      <c r="B74" s="273"/>
      <c r="C74" s="15" t="s">
        <v>115</v>
      </c>
      <c r="D74" s="73" t="s">
        <v>251</v>
      </c>
      <c r="E74" s="62" t="s">
        <v>252</v>
      </c>
      <c r="F74" s="344" t="s">
        <v>117</v>
      </c>
      <c r="G74" s="64">
        <v>38534</v>
      </c>
      <c r="H74" s="63">
        <v>38763</v>
      </c>
      <c r="I74" s="65" t="s">
        <v>118</v>
      </c>
      <c r="J74" s="72">
        <v>2000</v>
      </c>
      <c r="K74" s="284">
        <f>+J74*0.2</f>
        <v>400</v>
      </c>
      <c r="L74" s="285">
        <f>+J74+K74</f>
        <v>2400</v>
      </c>
      <c r="M74" s="23">
        <v>2000</v>
      </c>
      <c r="N74" s="23"/>
      <c r="O74" s="93">
        <f t="shared" si="30"/>
        <v>2000</v>
      </c>
      <c r="P74" s="23">
        <f>+M74*0.65</f>
        <v>1300</v>
      </c>
      <c r="Q74" s="23"/>
      <c r="R74" s="93">
        <f>+Q74+P74</f>
        <v>1300</v>
      </c>
      <c r="S74" s="276"/>
      <c r="T74" s="277"/>
    </row>
    <row r="75" spans="1:20" s="278" customFormat="1" ht="33.75">
      <c r="A75" s="272" t="s">
        <v>226</v>
      </c>
      <c r="B75" s="273"/>
      <c r="C75" s="275" t="s">
        <v>61</v>
      </c>
      <c r="D75" s="295" t="s">
        <v>131</v>
      </c>
      <c r="E75" s="296" t="s">
        <v>138</v>
      </c>
      <c r="F75" s="345" t="s">
        <v>258</v>
      </c>
      <c r="G75" s="298">
        <v>38679</v>
      </c>
      <c r="H75" s="299">
        <v>38688</v>
      </c>
      <c r="I75" s="332" t="s">
        <v>134</v>
      </c>
      <c r="J75" s="300">
        <v>2100</v>
      </c>
      <c r="K75" s="300">
        <f>J75*0.2</f>
        <v>420</v>
      </c>
      <c r="L75" s="285">
        <f>SUM(J75:K75)</f>
        <v>2520</v>
      </c>
      <c r="M75" s="23">
        <v>2100</v>
      </c>
      <c r="N75" s="23"/>
      <c r="O75" s="93">
        <f t="shared" si="30"/>
        <v>2100</v>
      </c>
      <c r="P75" s="23">
        <f>+M75*0.65</f>
        <v>1365</v>
      </c>
      <c r="Q75" s="23"/>
      <c r="R75" s="93">
        <f>+Q75+P75</f>
        <v>1365</v>
      </c>
      <c r="S75" s="372"/>
      <c r="T75" s="373"/>
    </row>
    <row r="76" spans="1:20" s="278" customFormat="1" ht="22.5">
      <c r="A76" s="272" t="s">
        <v>226</v>
      </c>
      <c r="B76" s="273"/>
      <c r="C76" s="275" t="s">
        <v>61</v>
      </c>
      <c r="D76" s="295" t="s">
        <v>132</v>
      </c>
      <c r="E76" s="301" t="s">
        <v>140</v>
      </c>
      <c r="F76" s="345" t="s">
        <v>259</v>
      </c>
      <c r="G76" s="298">
        <v>38684</v>
      </c>
      <c r="H76" s="299">
        <v>38688</v>
      </c>
      <c r="I76" s="332" t="s">
        <v>134</v>
      </c>
      <c r="J76" s="300">
        <v>760</v>
      </c>
      <c r="K76" s="300">
        <f>J76*0.2</f>
        <v>152</v>
      </c>
      <c r="L76" s="285">
        <f>SUM(J76:K76)</f>
        <v>912</v>
      </c>
      <c r="M76" s="23">
        <v>760</v>
      </c>
      <c r="N76" s="23">
        <f>900-M76</f>
        <v>140</v>
      </c>
      <c r="O76" s="93">
        <f t="shared" si="30"/>
        <v>900</v>
      </c>
      <c r="P76" s="23">
        <f>+M76*0.65</f>
        <v>494</v>
      </c>
      <c r="Q76" s="23">
        <f>+N76*0.65</f>
        <v>91</v>
      </c>
      <c r="R76" s="93">
        <f>+Q76+P76</f>
        <v>585</v>
      </c>
      <c r="S76" s="372"/>
      <c r="T76" s="373"/>
    </row>
    <row r="77" spans="1:20" s="278" customFormat="1" ht="22.5">
      <c r="A77" s="272" t="s">
        <v>226</v>
      </c>
      <c r="B77" s="273"/>
      <c r="C77" s="275" t="s">
        <v>50</v>
      </c>
      <c r="D77" s="62" t="s">
        <v>166</v>
      </c>
      <c r="E77" s="62" t="s">
        <v>168</v>
      </c>
      <c r="F77" s="317" t="s">
        <v>298</v>
      </c>
      <c r="G77" s="65">
        <v>38653</v>
      </c>
      <c r="H77" s="65">
        <v>38660</v>
      </c>
      <c r="I77" s="281" t="s">
        <v>91</v>
      </c>
      <c r="J77" s="318">
        <v>1414.82</v>
      </c>
      <c r="K77" s="319">
        <v>249.6</v>
      </c>
      <c r="L77" s="325">
        <f aca="true" t="shared" si="32" ref="L77:L82">J77+K77</f>
        <v>1664.4199999999998</v>
      </c>
      <c r="M77" s="23">
        <v>1414.82</v>
      </c>
      <c r="N77" s="23">
        <v>249.6</v>
      </c>
      <c r="O77" s="93">
        <f t="shared" si="30"/>
        <v>1664.4199999999998</v>
      </c>
      <c r="P77" s="23">
        <f>+M77*0.65</f>
        <v>919.633</v>
      </c>
      <c r="Q77" s="23">
        <f>+N77*0.65</f>
        <v>162.24</v>
      </c>
      <c r="R77" s="93">
        <f>+Q77+P77</f>
        <v>1081.873</v>
      </c>
      <c r="S77" s="282"/>
      <c r="T77" s="283"/>
    </row>
    <row r="78" spans="1:20" s="278" customFormat="1" ht="22.5">
      <c r="A78" s="272" t="s">
        <v>226</v>
      </c>
      <c r="B78" s="273"/>
      <c r="C78" s="275" t="s">
        <v>50</v>
      </c>
      <c r="D78" s="62" t="s">
        <v>166</v>
      </c>
      <c r="E78" s="62" t="s">
        <v>168</v>
      </c>
      <c r="F78" s="320" t="s">
        <v>299</v>
      </c>
      <c r="G78" s="65">
        <v>38686</v>
      </c>
      <c r="H78" s="65">
        <v>38688</v>
      </c>
      <c r="I78" s="281" t="s">
        <v>91</v>
      </c>
      <c r="J78" s="318">
        <v>1248</v>
      </c>
      <c r="K78" s="319">
        <v>249.6</v>
      </c>
      <c r="L78" s="325">
        <f t="shared" si="32"/>
        <v>1497.6</v>
      </c>
      <c r="M78" s="23">
        <v>1248</v>
      </c>
      <c r="N78" s="319">
        <v>249.6</v>
      </c>
      <c r="O78" s="93">
        <f aca="true" t="shared" si="33" ref="O78:O89">+N78+M78</f>
        <v>1497.6</v>
      </c>
      <c r="P78" s="23">
        <f aca="true" t="shared" si="34" ref="P78:P87">+M78*0.65</f>
        <v>811.2</v>
      </c>
      <c r="Q78" s="23">
        <f aca="true" t="shared" si="35" ref="Q78:Q87">+N78*0.65</f>
        <v>162.24</v>
      </c>
      <c r="R78" s="93">
        <f aca="true" t="shared" si="36" ref="R78:R87">+Q78+P78</f>
        <v>973.44</v>
      </c>
      <c r="S78" s="282"/>
      <c r="T78" s="283"/>
    </row>
    <row r="79" spans="1:20" s="278" customFormat="1" ht="22.5">
      <c r="A79" s="272" t="s">
        <v>226</v>
      </c>
      <c r="B79" s="273"/>
      <c r="C79" s="275" t="s">
        <v>50</v>
      </c>
      <c r="D79" s="62" t="s">
        <v>166</v>
      </c>
      <c r="E79" s="62" t="s">
        <v>168</v>
      </c>
      <c r="F79" s="320" t="s">
        <v>137</v>
      </c>
      <c r="G79" s="65">
        <v>38717</v>
      </c>
      <c r="H79" s="65">
        <v>38717</v>
      </c>
      <c r="I79" s="281" t="s">
        <v>91</v>
      </c>
      <c r="J79" s="318">
        <v>1497.44</v>
      </c>
      <c r="K79" s="319">
        <v>249.6</v>
      </c>
      <c r="L79" s="325">
        <f t="shared" si="32"/>
        <v>1747.04</v>
      </c>
      <c r="M79" s="23">
        <v>1497.76</v>
      </c>
      <c r="N79" s="319">
        <v>249.6</v>
      </c>
      <c r="O79" s="93">
        <f t="shared" si="33"/>
        <v>1747.36</v>
      </c>
      <c r="P79" s="23">
        <f t="shared" si="34"/>
        <v>973.544</v>
      </c>
      <c r="Q79" s="23">
        <f t="shared" si="35"/>
        <v>162.24</v>
      </c>
      <c r="R79" s="93">
        <f t="shared" si="36"/>
        <v>1135.784</v>
      </c>
      <c r="S79" s="282"/>
      <c r="T79" s="283"/>
    </row>
    <row r="80" spans="1:20" s="278" customFormat="1" ht="22.5">
      <c r="A80" s="272" t="s">
        <v>226</v>
      </c>
      <c r="B80" s="273"/>
      <c r="C80" s="275" t="s">
        <v>50</v>
      </c>
      <c r="D80" s="62" t="s">
        <v>166</v>
      </c>
      <c r="E80" s="62" t="s">
        <v>168</v>
      </c>
      <c r="F80" s="320" t="s">
        <v>300</v>
      </c>
      <c r="G80" s="321">
        <v>38748</v>
      </c>
      <c r="H80" s="307">
        <v>38751</v>
      </c>
      <c r="I80" s="281" t="s">
        <v>91</v>
      </c>
      <c r="J80" s="318">
        <v>1498.76</v>
      </c>
      <c r="K80" s="319">
        <v>249.6</v>
      </c>
      <c r="L80" s="325">
        <f>J80+K80</f>
        <v>1748.36</v>
      </c>
      <c r="M80" s="23">
        <v>1498.76</v>
      </c>
      <c r="N80" s="319">
        <v>249.6</v>
      </c>
      <c r="O80" s="93">
        <f t="shared" si="33"/>
        <v>1748.36</v>
      </c>
      <c r="P80" s="23">
        <f t="shared" si="34"/>
        <v>974.1940000000001</v>
      </c>
      <c r="Q80" s="23">
        <f t="shared" si="35"/>
        <v>162.24</v>
      </c>
      <c r="R80" s="93">
        <f t="shared" si="36"/>
        <v>1136.4340000000002</v>
      </c>
      <c r="S80" s="282"/>
      <c r="T80" s="283"/>
    </row>
    <row r="81" spans="1:20" s="278" customFormat="1" ht="33.75">
      <c r="A81" s="272" t="s">
        <v>226</v>
      </c>
      <c r="B81" s="273"/>
      <c r="C81" s="275" t="s">
        <v>50</v>
      </c>
      <c r="D81" s="315" t="s">
        <v>167</v>
      </c>
      <c r="E81" s="316" t="s">
        <v>174</v>
      </c>
      <c r="F81" s="322" t="s">
        <v>301</v>
      </c>
      <c r="G81" s="323">
        <v>38657</v>
      </c>
      <c r="H81" s="65">
        <v>38660</v>
      </c>
      <c r="I81" s="323" t="s">
        <v>91</v>
      </c>
      <c r="J81" s="327">
        <v>1352</v>
      </c>
      <c r="K81" s="328">
        <v>270.4</v>
      </c>
      <c r="L81" s="329">
        <f t="shared" si="32"/>
        <v>1622.4</v>
      </c>
      <c r="M81" s="330">
        <v>1352</v>
      </c>
      <c r="N81" s="328">
        <v>270.4</v>
      </c>
      <c r="O81" s="93">
        <f t="shared" si="33"/>
        <v>1622.4</v>
      </c>
      <c r="P81" s="23">
        <f t="shared" si="34"/>
        <v>878.8000000000001</v>
      </c>
      <c r="Q81" s="23">
        <f t="shared" si="35"/>
        <v>175.76</v>
      </c>
      <c r="R81" s="93">
        <f t="shared" si="36"/>
        <v>1054.56</v>
      </c>
      <c r="S81" s="282"/>
      <c r="T81" s="283"/>
    </row>
    <row r="82" spans="1:20" s="278" customFormat="1" ht="33.75">
      <c r="A82" s="272" t="s">
        <v>226</v>
      </c>
      <c r="B82" s="273"/>
      <c r="C82" s="275" t="s">
        <v>50</v>
      </c>
      <c r="D82" s="315" t="s">
        <v>167</v>
      </c>
      <c r="E82" s="316" t="s">
        <v>174</v>
      </c>
      <c r="F82" s="322" t="s">
        <v>302</v>
      </c>
      <c r="G82" s="323">
        <v>38687</v>
      </c>
      <c r="H82" s="65">
        <v>38688</v>
      </c>
      <c r="I82" s="323" t="s">
        <v>91</v>
      </c>
      <c r="J82" s="327">
        <v>1352</v>
      </c>
      <c r="K82" s="328">
        <v>270.4</v>
      </c>
      <c r="L82" s="329">
        <f t="shared" si="32"/>
        <v>1622.4</v>
      </c>
      <c r="M82" s="330">
        <v>1352</v>
      </c>
      <c r="N82" s="328">
        <v>270.4</v>
      </c>
      <c r="O82" s="93">
        <f t="shared" si="33"/>
        <v>1622.4</v>
      </c>
      <c r="P82" s="23">
        <f t="shared" si="34"/>
        <v>878.8000000000001</v>
      </c>
      <c r="Q82" s="23">
        <f t="shared" si="35"/>
        <v>175.76</v>
      </c>
      <c r="R82" s="93">
        <f t="shared" si="36"/>
        <v>1054.56</v>
      </c>
      <c r="S82" s="282"/>
      <c r="T82" s="283"/>
    </row>
    <row r="83" spans="1:20" s="278" customFormat="1" ht="33.75">
      <c r="A83" s="272" t="s">
        <v>226</v>
      </c>
      <c r="B83" s="273"/>
      <c r="C83" s="275" t="s">
        <v>50</v>
      </c>
      <c r="D83" s="315" t="s">
        <v>167</v>
      </c>
      <c r="E83" s="316" t="s">
        <v>174</v>
      </c>
      <c r="F83" s="322" t="s">
        <v>303</v>
      </c>
      <c r="G83" s="323">
        <v>38719</v>
      </c>
      <c r="H83" s="65">
        <v>38717</v>
      </c>
      <c r="I83" s="323" t="s">
        <v>91</v>
      </c>
      <c r="J83" s="327">
        <v>1352</v>
      </c>
      <c r="K83" s="328">
        <v>270.4</v>
      </c>
      <c r="L83" s="329">
        <f>J83+K83</f>
        <v>1622.4</v>
      </c>
      <c r="M83" s="330">
        <v>1352</v>
      </c>
      <c r="N83" s="328">
        <v>270.4</v>
      </c>
      <c r="O83" s="93">
        <f t="shared" si="33"/>
        <v>1622.4</v>
      </c>
      <c r="P83" s="23">
        <f t="shared" si="34"/>
        <v>878.8000000000001</v>
      </c>
      <c r="Q83" s="23">
        <f t="shared" si="35"/>
        <v>175.76</v>
      </c>
      <c r="R83" s="93">
        <f t="shared" si="36"/>
        <v>1054.56</v>
      </c>
      <c r="S83" s="282"/>
      <c r="T83" s="283"/>
    </row>
    <row r="84" spans="1:20" s="278" customFormat="1" ht="33.75">
      <c r="A84" s="272" t="s">
        <v>226</v>
      </c>
      <c r="B84" s="273"/>
      <c r="C84" s="275" t="s">
        <v>50</v>
      </c>
      <c r="D84" s="315" t="s">
        <v>167</v>
      </c>
      <c r="E84" s="316" t="s">
        <v>174</v>
      </c>
      <c r="F84" s="322" t="s">
        <v>304</v>
      </c>
      <c r="G84" s="323">
        <v>38749</v>
      </c>
      <c r="H84" s="324">
        <v>38761</v>
      </c>
      <c r="I84" s="323" t="s">
        <v>91</v>
      </c>
      <c r="J84" s="327">
        <v>1352</v>
      </c>
      <c r="K84" s="328">
        <v>270.4</v>
      </c>
      <c r="L84" s="329">
        <f>J84+K84</f>
        <v>1622.4</v>
      </c>
      <c r="M84" s="330">
        <v>1352</v>
      </c>
      <c r="N84" s="328">
        <v>270.4</v>
      </c>
      <c r="O84" s="93">
        <f t="shared" si="33"/>
        <v>1622.4</v>
      </c>
      <c r="P84" s="23">
        <f t="shared" si="34"/>
        <v>878.8000000000001</v>
      </c>
      <c r="Q84" s="23">
        <f t="shared" si="35"/>
        <v>175.76</v>
      </c>
      <c r="R84" s="93">
        <f t="shared" si="36"/>
        <v>1054.56</v>
      </c>
      <c r="S84" s="282"/>
      <c r="T84" s="283"/>
    </row>
    <row r="85" spans="1:20" s="278" customFormat="1" ht="45">
      <c r="A85" s="272" t="s">
        <v>226</v>
      </c>
      <c r="B85" s="273"/>
      <c r="C85" s="275" t="s">
        <v>50</v>
      </c>
      <c r="D85" s="302" t="s">
        <v>305</v>
      </c>
      <c r="E85" s="316" t="s">
        <v>306</v>
      </c>
      <c r="F85" s="62"/>
      <c r="G85" s="65">
        <v>38729</v>
      </c>
      <c r="H85" s="65">
        <v>38729</v>
      </c>
      <c r="I85" s="323" t="s">
        <v>91</v>
      </c>
      <c r="J85" s="318">
        <v>3500</v>
      </c>
      <c r="K85" s="319"/>
      <c r="L85" s="326">
        <v>3500</v>
      </c>
      <c r="M85" s="23">
        <f>+J85*0.65</f>
        <v>2275</v>
      </c>
      <c r="N85" s="23"/>
      <c r="O85" s="93">
        <f t="shared" si="33"/>
        <v>2275</v>
      </c>
      <c r="P85" s="23">
        <f t="shared" si="34"/>
        <v>1478.75</v>
      </c>
      <c r="Q85" s="23">
        <f t="shared" si="35"/>
        <v>0</v>
      </c>
      <c r="R85" s="93">
        <f t="shared" si="36"/>
        <v>1478.75</v>
      </c>
      <c r="S85" s="282"/>
      <c r="T85" s="283"/>
    </row>
    <row r="86" spans="1:20" s="278" customFormat="1" ht="45">
      <c r="A86" s="272" t="s">
        <v>226</v>
      </c>
      <c r="B86" s="273"/>
      <c r="C86" s="275" t="s">
        <v>50</v>
      </c>
      <c r="D86" s="302" t="s">
        <v>305</v>
      </c>
      <c r="E86" s="316" t="s">
        <v>307</v>
      </c>
      <c r="F86" s="62"/>
      <c r="G86" s="65">
        <v>38729</v>
      </c>
      <c r="H86" s="65">
        <v>38729</v>
      </c>
      <c r="I86" s="323" t="s">
        <v>91</v>
      </c>
      <c r="J86" s="318">
        <v>3500</v>
      </c>
      <c r="K86" s="319"/>
      <c r="L86" s="326">
        <v>3500</v>
      </c>
      <c r="M86" s="23">
        <f>+J86*0.65</f>
        <v>2275</v>
      </c>
      <c r="N86" s="23"/>
      <c r="O86" s="93">
        <f t="shared" si="33"/>
        <v>2275</v>
      </c>
      <c r="P86" s="23">
        <f t="shared" si="34"/>
        <v>1478.75</v>
      </c>
      <c r="Q86" s="23">
        <f t="shared" si="35"/>
        <v>0</v>
      </c>
      <c r="R86" s="93">
        <f t="shared" si="36"/>
        <v>1478.75</v>
      </c>
      <c r="S86" s="282"/>
      <c r="T86" s="283"/>
    </row>
    <row r="87" spans="1:20" s="278" customFormat="1" ht="45">
      <c r="A87" s="272" t="s">
        <v>226</v>
      </c>
      <c r="B87" s="273"/>
      <c r="C87" s="275" t="s">
        <v>50</v>
      </c>
      <c r="D87" s="302" t="s">
        <v>308</v>
      </c>
      <c r="E87" s="316" t="s">
        <v>309</v>
      </c>
      <c r="F87" s="62"/>
      <c r="G87" s="65">
        <v>38729</v>
      </c>
      <c r="H87" s="65">
        <v>38729</v>
      </c>
      <c r="I87" s="323" t="s">
        <v>91</v>
      </c>
      <c r="J87" s="318">
        <v>3500</v>
      </c>
      <c r="K87" s="319"/>
      <c r="L87" s="326">
        <v>3500</v>
      </c>
      <c r="M87" s="23">
        <f>+J87*0.65</f>
        <v>2275</v>
      </c>
      <c r="N87" s="23"/>
      <c r="O87" s="93">
        <f t="shared" si="33"/>
        <v>2275</v>
      </c>
      <c r="P87" s="23">
        <f t="shared" si="34"/>
        <v>1478.75</v>
      </c>
      <c r="Q87" s="23">
        <f t="shared" si="35"/>
        <v>0</v>
      </c>
      <c r="R87" s="93">
        <f t="shared" si="36"/>
        <v>1478.75</v>
      </c>
      <c r="S87" s="282"/>
      <c r="T87" s="283"/>
    </row>
    <row r="88" spans="1:20" s="278" customFormat="1" ht="32.25" customHeight="1">
      <c r="A88" s="272" t="s">
        <v>318</v>
      </c>
      <c r="B88" s="273"/>
      <c r="C88" s="275" t="s">
        <v>50</v>
      </c>
      <c r="D88" s="302"/>
      <c r="E88" s="316"/>
      <c r="F88" s="62"/>
      <c r="G88" s="65"/>
      <c r="H88" s="65"/>
      <c r="I88" s="323"/>
      <c r="J88" s="318"/>
      <c r="K88" s="319"/>
      <c r="L88" s="326"/>
      <c r="M88" s="23"/>
      <c r="N88" s="23">
        <f>-SUM(N77:N84)</f>
        <v>-2080</v>
      </c>
      <c r="O88" s="93">
        <f>+N88+M88</f>
        <v>-2080</v>
      </c>
      <c r="P88" s="23">
        <f aca="true" t="shared" si="37" ref="P88:Q92">+M88*0.65</f>
        <v>0</v>
      </c>
      <c r="Q88" s="23">
        <f t="shared" si="37"/>
        <v>-1352</v>
      </c>
      <c r="R88" s="93">
        <f aca="true" t="shared" si="38" ref="R88:R99">+Q88+P88</f>
        <v>-1352</v>
      </c>
      <c r="S88" s="372" t="s">
        <v>367</v>
      </c>
      <c r="T88" s="373"/>
    </row>
    <row r="89" spans="1:20" s="278" customFormat="1" ht="33.75">
      <c r="A89" s="272" t="s">
        <v>318</v>
      </c>
      <c r="B89" s="273"/>
      <c r="C89" s="335" t="s">
        <v>61</v>
      </c>
      <c r="D89" s="350" t="s">
        <v>128</v>
      </c>
      <c r="E89" s="346" t="s">
        <v>133</v>
      </c>
      <c r="F89" s="297" t="s">
        <v>142</v>
      </c>
      <c r="G89" s="347">
        <v>38611</v>
      </c>
      <c r="H89" s="347">
        <v>38617</v>
      </c>
      <c r="I89" s="347" t="s">
        <v>134</v>
      </c>
      <c r="J89" s="348">
        <v>1850</v>
      </c>
      <c r="K89" s="348">
        <f>J89*0.2</f>
        <v>370</v>
      </c>
      <c r="L89" s="349">
        <f>SUM(J89:K89)</f>
        <v>2220</v>
      </c>
      <c r="M89" s="23">
        <v>1850</v>
      </c>
      <c r="N89" s="23"/>
      <c r="O89" s="93">
        <f t="shared" si="33"/>
        <v>1850</v>
      </c>
      <c r="P89" s="23">
        <f t="shared" si="37"/>
        <v>1202.5</v>
      </c>
      <c r="Q89" s="23">
        <f t="shared" si="37"/>
        <v>0</v>
      </c>
      <c r="R89" s="93">
        <f t="shared" si="38"/>
        <v>1202.5</v>
      </c>
      <c r="S89" s="282"/>
      <c r="T89" s="283"/>
    </row>
    <row r="90" spans="1:20" s="278" customFormat="1" ht="22.5">
      <c r="A90" s="272" t="s">
        <v>318</v>
      </c>
      <c r="B90" s="273"/>
      <c r="C90" s="335" t="s">
        <v>61</v>
      </c>
      <c r="D90" s="350" t="s">
        <v>129</v>
      </c>
      <c r="E90" s="346" t="s">
        <v>133</v>
      </c>
      <c r="F90" s="297" t="s">
        <v>135</v>
      </c>
      <c r="G90" s="347">
        <v>38611</v>
      </c>
      <c r="H90" s="347">
        <v>38617</v>
      </c>
      <c r="I90" s="347" t="s">
        <v>134</v>
      </c>
      <c r="J90" s="348">
        <v>2000</v>
      </c>
      <c r="K90" s="348">
        <f>J90*0.2</f>
        <v>400</v>
      </c>
      <c r="L90" s="349">
        <f>SUM(J90:K90)</f>
        <v>2400</v>
      </c>
      <c r="M90" s="23">
        <f>16*125</f>
        <v>2000</v>
      </c>
      <c r="N90" s="23"/>
      <c r="O90" s="93">
        <f aca="true" t="shared" si="39" ref="O90:O95">+N90+M90</f>
        <v>2000</v>
      </c>
      <c r="P90" s="23">
        <f t="shared" si="37"/>
        <v>1300</v>
      </c>
      <c r="Q90" s="23">
        <f t="shared" si="37"/>
        <v>0</v>
      </c>
      <c r="R90" s="93">
        <f t="shared" si="38"/>
        <v>1300</v>
      </c>
      <c r="S90" s="282"/>
      <c r="T90" s="283"/>
    </row>
    <row r="91" spans="1:20" s="278" customFormat="1" ht="45.75" customHeight="1">
      <c r="A91" s="272" t="s">
        <v>318</v>
      </c>
      <c r="B91" s="273"/>
      <c r="C91" s="335" t="s">
        <v>61</v>
      </c>
      <c r="D91" s="295" t="s">
        <v>324</v>
      </c>
      <c r="E91" s="296" t="s">
        <v>136</v>
      </c>
      <c r="F91" s="297" t="s">
        <v>325</v>
      </c>
      <c r="G91" s="298">
        <v>38861</v>
      </c>
      <c r="H91" s="299">
        <v>38861</v>
      </c>
      <c r="I91" s="299" t="s">
        <v>134</v>
      </c>
      <c r="J91" s="300">
        <v>13200</v>
      </c>
      <c r="K91" s="300">
        <f>J91*20/100</f>
        <v>2640</v>
      </c>
      <c r="L91" s="285">
        <f>SUM(J91:K91)</f>
        <v>15840</v>
      </c>
      <c r="M91" s="23">
        <v>13200</v>
      </c>
      <c r="N91" s="23"/>
      <c r="O91" s="93">
        <f t="shared" si="39"/>
        <v>13200</v>
      </c>
      <c r="P91" s="23">
        <f t="shared" si="37"/>
        <v>8580</v>
      </c>
      <c r="Q91" s="23">
        <f t="shared" si="37"/>
        <v>0</v>
      </c>
      <c r="R91" s="93">
        <f t="shared" si="38"/>
        <v>8580</v>
      </c>
      <c r="S91" s="372" t="s">
        <v>368</v>
      </c>
      <c r="T91" s="373"/>
    </row>
    <row r="92" spans="1:20" s="278" customFormat="1" ht="22.5">
      <c r="A92" s="272" t="s">
        <v>318</v>
      </c>
      <c r="B92" s="273"/>
      <c r="C92" s="335" t="s">
        <v>61</v>
      </c>
      <c r="D92" s="295" t="s">
        <v>132</v>
      </c>
      <c r="E92" s="301" t="s">
        <v>140</v>
      </c>
      <c r="F92" s="297" t="s">
        <v>326</v>
      </c>
      <c r="G92" s="298">
        <v>38796</v>
      </c>
      <c r="H92" s="299">
        <v>38834</v>
      </c>
      <c r="I92" s="299" t="s">
        <v>134</v>
      </c>
      <c r="J92" s="300">
        <v>1520</v>
      </c>
      <c r="K92" s="300">
        <f>J92*0.2</f>
        <v>304</v>
      </c>
      <c r="L92" s="285">
        <f>SUM(J92:K92)</f>
        <v>1824</v>
      </c>
      <c r="M92" s="23">
        <v>1520</v>
      </c>
      <c r="N92" s="23">
        <f>+M92*20%</f>
        <v>304</v>
      </c>
      <c r="O92" s="93">
        <f t="shared" si="39"/>
        <v>1824</v>
      </c>
      <c r="P92" s="23">
        <f t="shared" si="37"/>
        <v>988</v>
      </c>
      <c r="Q92" s="23">
        <f t="shared" si="37"/>
        <v>197.6</v>
      </c>
      <c r="R92" s="93">
        <f t="shared" si="38"/>
        <v>1185.6</v>
      </c>
      <c r="S92" s="282"/>
      <c r="T92" s="283"/>
    </row>
    <row r="93" spans="1:20" s="278" customFormat="1" ht="22.5">
      <c r="A93" s="272" t="s">
        <v>318</v>
      </c>
      <c r="B93" s="273"/>
      <c r="C93" s="275" t="s">
        <v>50</v>
      </c>
      <c r="D93" s="302" t="s">
        <v>166</v>
      </c>
      <c r="E93" s="316" t="s">
        <v>168</v>
      </c>
      <c r="F93" s="62" t="s">
        <v>353</v>
      </c>
      <c r="G93" s="65">
        <v>38777</v>
      </c>
      <c r="H93" s="65"/>
      <c r="I93" s="323" t="s">
        <v>91</v>
      </c>
      <c r="J93" s="318">
        <v>1456</v>
      </c>
      <c r="K93" s="319">
        <v>291.2</v>
      </c>
      <c r="L93" s="326">
        <v>1747.2</v>
      </c>
      <c r="M93" s="318"/>
      <c r="N93" s="23"/>
      <c r="O93" s="93">
        <f t="shared" si="39"/>
        <v>0</v>
      </c>
      <c r="P93" s="23">
        <f aca="true" t="shared" si="40" ref="P93:P99">+M93*0.65</f>
        <v>0</v>
      </c>
      <c r="Q93" s="23"/>
      <c r="R93" s="93">
        <f t="shared" si="38"/>
        <v>0</v>
      </c>
      <c r="S93" s="372" t="s">
        <v>364</v>
      </c>
      <c r="T93" s="373"/>
    </row>
    <row r="94" spans="1:20" s="278" customFormat="1" ht="22.5">
      <c r="A94" s="272" t="s">
        <v>318</v>
      </c>
      <c r="B94" s="273"/>
      <c r="C94" s="275" t="s">
        <v>50</v>
      </c>
      <c r="D94" s="302" t="s">
        <v>166</v>
      </c>
      <c r="E94" s="316" t="s">
        <v>168</v>
      </c>
      <c r="F94" s="62" t="s">
        <v>354</v>
      </c>
      <c r="G94" s="65">
        <v>38810</v>
      </c>
      <c r="H94" s="65"/>
      <c r="I94" s="323" t="s">
        <v>91</v>
      </c>
      <c r="J94" s="318">
        <v>1456</v>
      </c>
      <c r="K94" s="319">
        <v>291.2</v>
      </c>
      <c r="L94" s="326">
        <v>1747.2</v>
      </c>
      <c r="M94" s="318"/>
      <c r="N94" s="23"/>
      <c r="O94" s="93">
        <f t="shared" si="39"/>
        <v>0</v>
      </c>
      <c r="P94" s="23">
        <f t="shared" si="40"/>
        <v>0</v>
      </c>
      <c r="Q94" s="23"/>
      <c r="R94" s="93">
        <f t="shared" si="38"/>
        <v>0</v>
      </c>
      <c r="S94" s="372" t="s">
        <v>364</v>
      </c>
      <c r="T94" s="373"/>
    </row>
    <row r="95" spans="1:20" s="278" customFormat="1" ht="22.5">
      <c r="A95" s="272" t="s">
        <v>318</v>
      </c>
      <c r="B95" s="273"/>
      <c r="C95" s="275" t="s">
        <v>50</v>
      </c>
      <c r="D95" s="302" t="s">
        <v>166</v>
      </c>
      <c r="E95" s="316" t="s">
        <v>168</v>
      </c>
      <c r="F95" s="62" t="s">
        <v>355</v>
      </c>
      <c r="G95" s="65">
        <v>38836</v>
      </c>
      <c r="H95" s="65"/>
      <c r="I95" s="323" t="s">
        <v>91</v>
      </c>
      <c r="J95" s="318">
        <v>1674.4</v>
      </c>
      <c r="K95" s="319">
        <v>334.88</v>
      </c>
      <c r="L95" s="326">
        <v>2009.28</v>
      </c>
      <c r="M95" s="318"/>
      <c r="N95" s="23"/>
      <c r="O95" s="93">
        <f t="shared" si="39"/>
        <v>0</v>
      </c>
      <c r="P95" s="23">
        <f t="shared" si="40"/>
        <v>0</v>
      </c>
      <c r="Q95" s="23"/>
      <c r="R95" s="93">
        <f t="shared" si="38"/>
        <v>0</v>
      </c>
      <c r="S95" s="372" t="s">
        <v>364</v>
      </c>
      <c r="T95" s="373"/>
    </row>
    <row r="96" spans="1:20" s="278" customFormat="1" ht="22.5">
      <c r="A96" s="272" t="s">
        <v>318</v>
      </c>
      <c r="B96" s="273"/>
      <c r="C96" s="15" t="s">
        <v>36</v>
      </c>
      <c r="D96" s="302" t="s">
        <v>102</v>
      </c>
      <c r="E96" s="316" t="s">
        <v>103</v>
      </c>
      <c r="F96" s="62" t="s">
        <v>356</v>
      </c>
      <c r="G96" s="65">
        <v>38861</v>
      </c>
      <c r="H96" s="65">
        <v>38861</v>
      </c>
      <c r="I96" s="323" t="s">
        <v>105</v>
      </c>
      <c r="J96" s="318">
        <v>1850</v>
      </c>
      <c r="K96" s="319">
        <v>370</v>
      </c>
      <c r="L96" s="326">
        <v>2220</v>
      </c>
      <c r="M96" s="318">
        <v>1850</v>
      </c>
      <c r="N96" s="319">
        <v>370</v>
      </c>
      <c r="O96" s="326">
        <v>2220</v>
      </c>
      <c r="P96" s="23">
        <f t="shared" si="40"/>
        <v>1202.5</v>
      </c>
      <c r="Q96" s="23">
        <f>+N96*0.65</f>
        <v>240.5</v>
      </c>
      <c r="R96" s="93">
        <f t="shared" si="38"/>
        <v>1443</v>
      </c>
      <c r="S96" s="372" t="s">
        <v>364</v>
      </c>
      <c r="T96" s="373"/>
    </row>
    <row r="97" spans="1:20" s="278" customFormat="1" ht="22.5">
      <c r="A97" s="272" t="s">
        <v>318</v>
      </c>
      <c r="B97" s="273"/>
      <c r="C97" s="15" t="s">
        <v>36</v>
      </c>
      <c r="D97" s="302" t="s">
        <v>102</v>
      </c>
      <c r="E97" s="316" t="s">
        <v>106</v>
      </c>
      <c r="F97" s="62">
        <v>86</v>
      </c>
      <c r="G97" s="65">
        <v>38861</v>
      </c>
      <c r="H97" s="65">
        <v>38861</v>
      </c>
      <c r="I97" s="323" t="s">
        <v>105</v>
      </c>
      <c r="J97" s="318">
        <v>1850</v>
      </c>
      <c r="K97" s="319">
        <v>370</v>
      </c>
      <c r="L97" s="326">
        <v>2220</v>
      </c>
      <c r="M97" s="318">
        <v>1850</v>
      </c>
      <c r="N97" s="319">
        <v>370</v>
      </c>
      <c r="O97" s="93">
        <f>+N97+M97</f>
        <v>2220</v>
      </c>
      <c r="P97" s="23">
        <f t="shared" si="40"/>
        <v>1202.5</v>
      </c>
      <c r="Q97" s="23">
        <f>+N97*0.65</f>
        <v>240.5</v>
      </c>
      <c r="R97" s="93">
        <f t="shared" si="38"/>
        <v>1443</v>
      </c>
      <c r="S97" s="372" t="s">
        <v>364</v>
      </c>
      <c r="T97" s="373"/>
    </row>
    <row r="98" spans="1:20" s="278" customFormat="1" ht="22.5">
      <c r="A98" s="272" t="s">
        <v>318</v>
      </c>
      <c r="B98" s="273"/>
      <c r="C98" s="15" t="s">
        <v>36</v>
      </c>
      <c r="D98" s="302" t="s">
        <v>102</v>
      </c>
      <c r="E98" s="316" t="s">
        <v>107</v>
      </c>
      <c r="F98" s="62" t="s">
        <v>357</v>
      </c>
      <c r="G98" s="65">
        <v>38861</v>
      </c>
      <c r="H98" s="65">
        <v>38861</v>
      </c>
      <c r="I98" s="323" t="s">
        <v>105</v>
      </c>
      <c r="J98" s="318">
        <v>1850</v>
      </c>
      <c r="K98" s="319">
        <v>370</v>
      </c>
      <c r="L98" s="326">
        <v>2220</v>
      </c>
      <c r="M98" s="23">
        <f>1813.73+36.27</f>
        <v>1850</v>
      </c>
      <c r="N98" s="23">
        <v>370</v>
      </c>
      <c r="O98" s="93">
        <f>+N98+M98</f>
        <v>2220</v>
      </c>
      <c r="P98" s="23">
        <f t="shared" si="40"/>
        <v>1202.5</v>
      </c>
      <c r="Q98" s="23">
        <f>+N98*0.65</f>
        <v>240.5</v>
      </c>
      <c r="R98" s="93">
        <f t="shared" si="38"/>
        <v>1443</v>
      </c>
      <c r="S98" s="372" t="s">
        <v>364</v>
      </c>
      <c r="T98" s="373"/>
    </row>
    <row r="99" spans="1:20" s="278" customFormat="1" ht="22.5">
      <c r="A99" s="272" t="s">
        <v>318</v>
      </c>
      <c r="B99" s="273"/>
      <c r="C99" s="15" t="s">
        <v>36</v>
      </c>
      <c r="D99" s="302" t="s">
        <v>102</v>
      </c>
      <c r="E99" s="316" t="s">
        <v>109</v>
      </c>
      <c r="F99" s="62" t="s">
        <v>358</v>
      </c>
      <c r="G99" s="65">
        <v>38861</v>
      </c>
      <c r="H99" s="65">
        <v>38861</v>
      </c>
      <c r="I99" s="323" t="s">
        <v>105</v>
      </c>
      <c r="J99" s="318">
        <v>1850</v>
      </c>
      <c r="K99" s="319">
        <v>0</v>
      </c>
      <c r="L99" s="326">
        <v>1850</v>
      </c>
      <c r="M99" s="23">
        <v>1850</v>
      </c>
      <c r="N99" s="23"/>
      <c r="O99" s="93">
        <f>+N99+M99</f>
        <v>1850</v>
      </c>
      <c r="P99" s="23">
        <f t="shared" si="40"/>
        <v>1202.5</v>
      </c>
      <c r="Q99" s="23">
        <f>+N99*0.65</f>
        <v>0</v>
      </c>
      <c r="R99" s="93">
        <f t="shared" si="38"/>
        <v>1202.5</v>
      </c>
      <c r="S99" s="372" t="s">
        <v>364</v>
      </c>
      <c r="T99" s="373"/>
    </row>
    <row r="100" spans="1:20" s="278" customFormat="1" ht="11.25">
      <c r="A100" s="272"/>
      <c r="B100" s="273"/>
      <c r="C100" s="117"/>
      <c r="D100" s="302"/>
      <c r="E100" s="316"/>
      <c r="F100" s="62"/>
      <c r="G100" s="65"/>
      <c r="H100" s="65"/>
      <c r="I100" s="323"/>
      <c r="J100" s="318"/>
      <c r="K100" s="319"/>
      <c r="L100" s="326"/>
      <c r="M100" s="23"/>
      <c r="N100" s="23"/>
      <c r="O100" s="93"/>
      <c r="P100" s="23"/>
      <c r="Q100" s="23"/>
      <c r="R100" s="93"/>
      <c r="S100" s="282"/>
      <c r="T100" s="283"/>
    </row>
    <row r="101" spans="1:20" s="278" customFormat="1" ht="11.25">
      <c r="A101" s="272"/>
      <c r="B101" s="273"/>
      <c r="C101" s="275"/>
      <c r="D101" s="295"/>
      <c r="E101" s="301"/>
      <c r="F101" s="297"/>
      <c r="G101" s="298"/>
      <c r="H101" s="299"/>
      <c r="I101" s="299"/>
      <c r="J101" s="300"/>
      <c r="K101" s="300"/>
      <c r="L101" s="285"/>
      <c r="M101" s="23"/>
      <c r="N101" s="23"/>
      <c r="O101" s="93"/>
      <c r="P101" s="23"/>
      <c r="Q101" s="23"/>
      <c r="R101" s="93"/>
      <c r="S101" s="282"/>
      <c r="T101" s="283"/>
    </row>
    <row r="102" ht="11.25">
      <c r="U102" s="19"/>
    </row>
    <row r="103" spans="1:21" ht="11.25">
      <c r="A103" s="413" t="s">
        <v>1</v>
      </c>
      <c r="B103" s="416"/>
      <c r="C103" s="416"/>
      <c r="D103" s="416"/>
      <c r="E103" s="416"/>
      <c r="F103" s="416"/>
      <c r="G103" s="416"/>
      <c r="H103" s="416"/>
      <c r="I103" s="416"/>
      <c r="J103" s="416"/>
      <c r="K103" s="416"/>
      <c r="L103" s="417"/>
      <c r="M103" s="81" t="s">
        <v>214</v>
      </c>
      <c r="N103" s="81" t="s">
        <v>215</v>
      </c>
      <c r="O103" s="101" t="s">
        <v>216</v>
      </c>
      <c r="P103" s="81" t="s">
        <v>217</v>
      </c>
      <c r="Q103" s="81" t="s">
        <v>218</v>
      </c>
      <c r="R103" s="101" t="s">
        <v>219</v>
      </c>
      <c r="S103" s="25" t="s">
        <v>25</v>
      </c>
      <c r="T103" s="26" t="s">
        <v>26</v>
      </c>
      <c r="U103" s="19"/>
    </row>
    <row r="104" spans="1:22" ht="11.25">
      <c r="A104" s="394"/>
      <c r="B104" s="395"/>
      <c r="C104" s="410"/>
      <c r="D104" s="411"/>
      <c r="E104" s="411"/>
      <c r="F104" s="411"/>
      <c r="G104" s="411"/>
      <c r="H104" s="411"/>
      <c r="I104" s="411"/>
      <c r="J104" s="411"/>
      <c r="K104" s="412"/>
      <c r="L104" s="88" t="s">
        <v>12</v>
      </c>
      <c r="M104" s="3">
        <v>0</v>
      </c>
      <c r="N104" s="3"/>
      <c r="O104" s="102"/>
      <c r="P104" s="57">
        <f>M104*0.5</f>
        <v>0</v>
      </c>
      <c r="Q104" s="78"/>
      <c r="R104" s="110"/>
      <c r="S104" s="40"/>
      <c r="T104" s="40"/>
      <c r="U104" s="19"/>
      <c r="V104" s="19"/>
    </row>
    <row r="105" spans="1:22" ht="11.25">
      <c r="A105" s="394"/>
      <c r="B105" s="395"/>
      <c r="C105" s="401">
        <v>0</v>
      </c>
      <c r="D105" s="402"/>
      <c r="E105" s="402"/>
      <c r="F105" s="402"/>
      <c r="G105" s="402"/>
      <c r="H105" s="402"/>
      <c r="I105" s="402"/>
      <c r="J105" s="402"/>
      <c r="K105" s="403"/>
      <c r="L105" s="90" t="s">
        <v>28</v>
      </c>
      <c r="M105" s="13"/>
      <c r="N105" s="13"/>
      <c r="O105" s="105"/>
      <c r="P105" s="13"/>
      <c r="Q105" s="79"/>
      <c r="R105" s="111"/>
      <c r="S105" s="41">
        <f>P105*0.375</f>
        <v>0</v>
      </c>
      <c r="T105" s="5">
        <f>P105-S105</f>
        <v>0</v>
      </c>
      <c r="U105" s="19"/>
      <c r="V105" s="19"/>
    </row>
    <row r="106" spans="1:22" ht="11.25">
      <c r="A106" s="394"/>
      <c r="B106" s="395"/>
      <c r="C106" s="35"/>
      <c r="D106" s="34"/>
      <c r="E106" s="34"/>
      <c r="F106" s="34"/>
      <c r="G106" s="34"/>
      <c r="H106" s="34"/>
      <c r="I106" s="34"/>
      <c r="J106" s="34"/>
      <c r="K106" s="36"/>
      <c r="L106" s="89" t="s">
        <v>125</v>
      </c>
      <c r="M106" s="4">
        <f>SUM(M111)</f>
        <v>0</v>
      </c>
      <c r="N106" s="4"/>
      <c r="O106" s="103">
        <f>SUM(O111)</f>
        <v>0</v>
      </c>
      <c r="P106" s="4">
        <f>SUM(P111)</f>
        <v>0</v>
      </c>
      <c r="Q106" s="77"/>
      <c r="R106" s="112">
        <f>SUM(R111)</f>
        <v>0</v>
      </c>
      <c r="S106" s="41">
        <f>R106*0.375</f>
        <v>0</v>
      </c>
      <c r="T106" s="5">
        <f>R106-S106</f>
        <v>0</v>
      </c>
      <c r="U106" s="19"/>
      <c r="V106" s="19"/>
    </row>
    <row r="107" spans="1:21" s="1" customFormat="1" ht="11.25">
      <c r="A107" s="394"/>
      <c r="B107" s="395"/>
      <c r="C107" s="35"/>
      <c r="D107" s="34"/>
      <c r="E107" s="34"/>
      <c r="F107" s="34"/>
      <c r="G107" s="34"/>
      <c r="H107" s="34"/>
      <c r="I107" s="34"/>
      <c r="J107" s="34"/>
      <c r="K107" s="36"/>
      <c r="L107" s="90" t="s">
        <v>222</v>
      </c>
      <c r="M107" s="4"/>
      <c r="N107" s="4"/>
      <c r="O107" s="103"/>
      <c r="P107" s="4"/>
      <c r="Q107" s="80"/>
      <c r="R107" s="108"/>
      <c r="S107" s="84"/>
      <c r="T107" s="84"/>
      <c r="U107" s="24"/>
    </row>
    <row r="108" spans="1:21" s="1" customFormat="1" ht="11.25">
      <c r="A108" s="394"/>
      <c r="B108" s="395"/>
      <c r="C108" s="35"/>
      <c r="D108" s="34"/>
      <c r="E108" s="34"/>
      <c r="F108" s="34"/>
      <c r="G108" s="34"/>
      <c r="H108" s="34"/>
      <c r="I108" s="34"/>
      <c r="J108" s="34"/>
      <c r="K108" s="36"/>
      <c r="L108" s="90" t="s">
        <v>322</v>
      </c>
      <c r="M108" s="4"/>
      <c r="N108" s="4"/>
      <c r="O108" s="103"/>
      <c r="P108" s="4"/>
      <c r="Q108" s="80"/>
      <c r="R108" s="108"/>
      <c r="S108" s="84"/>
      <c r="T108" s="84"/>
      <c r="U108" s="24"/>
    </row>
    <row r="109" spans="1:22" ht="11.25">
      <c r="A109" s="396"/>
      <c r="B109" s="397"/>
      <c r="C109" s="404"/>
      <c r="D109" s="405"/>
      <c r="E109" s="405"/>
      <c r="F109" s="405"/>
      <c r="G109" s="405"/>
      <c r="H109" s="405"/>
      <c r="I109" s="405"/>
      <c r="J109" s="405"/>
      <c r="K109" s="406"/>
      <c r="L109" s="91" t="s">
        <v>13</v>
      </c>
      <c r="M109" s="6">
        <f>M104-M105-M106</f>
        <v>0</v>
      </c>
      <c r="N109" s="6"/>
      <c r="O109" s="104"/>
      <c r="P109" s="14">
        <f>P104-P105</f>
        <v>0</v>
      </c>
      <c r="Q109" s="43"/>
      <c r="R109" s="113"/>
      <c r="S109" s="43"/>
      <c r="T109" s="1"/>
      <c r="U109" s="19"/>
      <c r="V109" s="19"/>
    </row>
    <row r="110" spans="1:21" ht="33" customHeight="1">
      <c r="A110" s="7" t="s">
        <v>14</v>
      </c>
      <c r="B110" s="7" t="s">
        <v>11</v>
      </c>
      <c r="C110" s="27" t="s">
        <v>24</v>
      </c>
      <c r="D110" s="27" t="s">
        <v>20</v>
      </c>
      <c r="E110" s="32" t="s">
        <v>2</v>
      </c>
      <c r="F110" s="27" t="s">
        <v>19</v>
      </c>
      <c r="G110" s="27" t="s">
        <v>18</v>
      </c>
      <c r="H110" s="32" t="s">
        <v>17</v>
      </c>
      <c r="I110" s="32" t="s">
        <v>16</v>
      </c>
      <c r="J110" s="27" t="s">
        <v>3</v>
      </c>
      <c r="K110" s="27" t="s">
        <v>4</v>
      </c>
      <c r="L110" s="92" t="s">
        <v>5</v>
      </c>
      <c r="M110" s="7" t="s">
        <v>21</v>
      </c>
      <c r="N110" s="7" t="s">
        <v>110</v>
      </c>
      <c r="O110" s="92" t="s">
        <v>111</v>
      </c>
      <c r="P110" s="7" t="s">
        <v>22</v>
      </c>
      <c r="Q110" s="7" t="s">
        <v>211</v>
      </c>
      <c r="R110" s="92" t="s">
        <v>212</v>
      </c>
      <c r="S110" s="389" t="s">
        <v>27</v>
      </c>
      <c r="T110" s="389"/>
      <c r="U110" s="19"/>
    </row>
    <row r="111" spans="1:20" ht="12.75" customHeight="1">
      <c r="A111" s="49"/>
      <c r="B111" s="8"/>
      <c r="C111" s="9"/>
      <c r="D111" s="15"/>
      <c r="E111" s="73"/>
      <c r="F111" s="73"/>
      <c r="G111" s="64"/>
      <c r="H111" s="63"/>
      <c r="I111" s="65"/>
      <c r="J111" s="72"/>
      <c r="K111" s="12"/>
      <c r="L111" s="93"/>
      <c r="M111" s="12"/>
      <c r="N111" s="12"/>
      <c r="O111" s="93"/>
      <c r="P111" s="12"/>
      <c r="Q111" s="66"/>
      <c r="R111" s="106"/>
      <c r="S111" s="451"/>
      <c r="T111" s="452"/>
    </row>
    <row r="112" spans="1:21" ht="11.25">
      <c r="A112" s="50"/>
      <c r="B112" s="8"/>
      <c r="C112" s="9"/>
      <c r="D112" s="9"/>
      <c r="E112" s="9"/>
      <c r="F112" s="9"/>
      <c r="G112" s="10"/>
      <c r="H112" s="11"/>
      <c r="I112" s="11"/>
      <c r="J112" s="12"/>
      <c r="K112" s="12"/>
      <c r="L112" s="93"/>
      <c r="M112" s="12"/>
      <c r="N112" s="12"/>
      <c r="O112" s="93"/>
      <c r="P112" s="12"/>
      <c r="Q112" s="12"/>
      <c r="R112" s="93"/>
      <c r="S112" s="440"/>
      <c r="T112" s="440"/>
      <c r="U112" s="19"/>
    </row>
    <row r="113" ht="11.25">
      <c r="U113" s="19"/>
    </row>
    <row r="114" spans="1:21" ht="11.25">
      <c r="A114" s="413" t="s">
        <v>8</v>
      </c>
      <c r="B114" s="416"/>
      <c r="C114" s="416"/>
      <c r="D114" s="416"/>
      <c r="E114" s="416"/>
      <c r="F114" s="416"/>
      <c r="G114" s="416"/>
      <c r="H114" s="416"/>
      <c r="I114" s="416"/>
      <c r="J114" s="416"/>
      <c r="K114" s="416"/>
      <c r="L114" s="417"/>
      <c r="M114" s="81" t="s">
        <v>214</v>
      </c>
      <c r="N114" s="81" t="s">
        <v>215</v>
      </c>
      <c r="O114" s="101" t="s">
        <v>216</v>
      </c>
      <c r="P114" s="81" t="s">
        <v>217</v>
      </c>
      <c r="Q114" s="81" t="s">
        <v>218</v>
      </c>
      <c r="R114" s="101" t="s">
        <v>219</v>
      </c>
      <c r="S114" s="25" t="s">
        <v>25</v>
      </c>
      <c r="T114" s="26" t="s">
        <v>26</v>
      </c>
      <c r="U114" s="19"/>
    </row>
    <row r="115" spans="1:22" ht="11.25">
      <c r="A115" s="394"/>
      <c r="B115" s="395"/>
      <c r="C115" s="410"/>
      <c r="D115" s="411"/>
      <c r="E115" s="411"/>
      <c r="F115" s="411"/>
      <c r="G115" s="411"/>
      <c r="H115" s="411"/>
      <c r="I115" s="411"/>
      <c r="J115" s="411"/>
      <c r="K115" s="412"/>
      <c r="L115" s="97" t="s">
        <v>12</v>
      </c>
      <c r="M115" s="3">
        <f>52.7*1000</f>
        <v>52700</v>
      </c>
      <c r="N115" s="3"/>
      <c r="O115" s="102"/>
      <c r="P115" s="3">
        <f>M115*0.65</f>
        <v>34255</v>
      </c>
      <c r="Q115" s="75"/>
      <c r="R115" s="107"/>
      <c r="S115" s="40"/>
      <c r="T115" s="40"/>
      <c r="U115" s="19"/>
      <c r="V115" s="19"/>
    </row>
    <row r="116" spans="1:22" ht="11.25">
      <c r="A116" s="394"/>
      <c r="B116" s="395"/>
      <c r="C116" s="401">
        <v>0</v>
      </c>
      <c r="D116" s="402"/>
      <c r="E116" s="402"/>
      <c r="F116" s="402"/>
      <c r="G116" s="402"/>
      <c r="H116" s="402"/>
      <c r="I116" s="402"/>
      <c r="J116" s="402"/>
      <c r="K116" s="403"/>
      <c r="L116" s="90" t="s">
        <v>28</v>
      </c>
      <c r="M116" s="4"/>
      <c r="N116" s="4"/>
      <c r="O116" s="103"/>
      <c r="P116" s="4"/>
      <c r="Q116" s="4"/>
      <c r="R116" s="103"/>
      <c r="S116" s="41">
        <f>R116*0.375</f>
        <v>0</v>
      </c>
      <c r="T116" s="5">
        <f>R116-S116</f>
        <v>0</v>
      </c>
      <c r="U116" s="19"/>
      <c r="V116" s="19"/>
    </row>
    <row r="117" spans="1:22" ht="11.25">
      <c r="A117" s="394"/>
      <c r="B117" s="395"/>
      <c r="C117" s="35"/>
      <c r="D117" s="34"/>
      <c r="E117" s="34"/>
      <c r="F117" s="34"/>
      <c r="G117" s="34"/>
      <c r="H117" s="34"/>
      <c r="I117" s="34"/>
      <c r="J117" s="34"/>
      <c r="K117" s="36"/>
      <c r="L117" s="89" t="s">
        <v>125</v>
      </c>
      <c r="M117" s="4">
        <f>SUM(M122:M123)</f>
        <v>6400.23</v>
      </c>
      <c r="N117" s="4">
        <f>SUM(N122:N123)</f>
        <v>0</v>
      </c>
      <c r="O117" s="103">
        <f>SUM(O122:O123)</f>
        <v>6400.23</v>
      </c>
      <c r="P117" s="4">
        <f>SUM(P122:P123)</f>
        <v>4160.1494999999995</v>
      </c>
      <c r="Q117" s="4">
        <f>SUM(Q122:Q123)</f>
        <v>0</v>
      </c>
      <c r="R117" s="103">
        <f>SUM(R122:R123)</f>
        <v>4160.1494999999995</v>
      </c>
      <c r="S117" s="41">
        <f>R117*0.375</f>
        <v>1560.0560624999998</v>
      </c>
      <c r="T117" s="5">
        <f>R117-S117</f>
        <v>2600.0934374999997</v>
      </c>
      <c r="U117" s="19"/>
      <c r="V117" s="19"/>
    </row>
    <row r="118" spans="1:21" s="1" customFormat="1" ht="11.25">
      <c r="A118" s="394"/>
      <c r="B118" s="395"/>
      <c r="C118" s="35"/>
      <c r="D118" s="34"/>
      <c r="E118" s="34"/>
      <c r="F118" s="34"/>
      <c r="G118" s="34"/>
      <c r="H118" s="34"/>
      <c r="I118" s="34"/>
      <c r="J118" s="34"/>
      <c r="K118" s="36"/>
      <c r="L118" s="90" t="s">
        <v>222</v>
      </c>
      <c r="M118" s="4"/>
      <c r="N118" s="4"/>
      <c r="O118" s="103"/>
      <c r="P118" s="4"/>
      <c r="Q118" s="4"/>
      <c r="R118" s="103"/>
      <c r="S118" s="41">
        <f>R118*0.375</f>
        <v>0</v>
      </c>
      <c r="T118" s="5">
        <f>R118-S118</f>
        <v>0</v>
      </c>
      <c r="U118" s="24"/>
    </row>
    <row r="119" spans="1:21" s="1" customFormat="1" ht="11.25">
      <c r="A119" s="394"/>
      <c r="B119" s="395"/>
      <c r="C119" s="35"/>
      <c r="D119" s="34"/>
      <c r="E119" s="34"/>
      <c r="F119" s="34"/>
      <c r="G119" s="34"/>
      <c r="H119" s="34"/>
      <c r="I119" s="34"/>
      <c r="J119" s="34"/>
      <c r="K119" s="36"/>
      <c r="L119" s="90" t="s">
        <v>322</v>
      </c>
      <c r="M119" s="4">
        <f>+M125</f>
        <v>6528</v>
      </c>
      <c r="N119" s="4">
        <f>+N125</f>
        <v>0</v>
      </c>
      <c r="O119" s="103">
        <f>+N119+M119</f>
        <v>6528</v>
      </c>
      <c r="P119" s="4">
        <f>+P125</f>
        <v>4243.2</v>
      </c>
      <c r="Q119" s="4">
        <f>+Q125</f>
        <v>0</v>
      </c>
      <c r="R119" s="103">
        <f>+Q119+P119</f>
        <v>4243.2</v>
      </c>
      <c r="S119" s="41">
        <f>R119*0.375</f>
        <v>1591.1999999999998</v>
      </c>
      <c r="T119" s="5">
        <f>R119-S119</f>
        <v>2652</v>
      </c>
      <c r="U119" s="24"/>
    </row>
    <row r="120" spans="1:22" ht="11.25">
      <c r="A120" s="396"/>
      <c r="B120" s="397"/>
      <c r="C120" s="404"/>
      <c r="D120" s="405"/>
      <c r="E120" s="405"/>
      <c r="F120" s="405"/>
      <c r="G120" s="405"/>
      <c r="H120" s="405"/>
      <c r="I120" s="405"/>
      <c r="J120" s="405"/>
      <c r="K120" s="406"/>
      <c r="L120" s="91" t="s">
        <v>13</v>
      </c>
      <c r="M120" s="6">
        <f>M115-M116-M117-M118-M119</f>
        <v>39771.770000000004</v>
      </c>
      <c r="N120" s="6"/>
      <c r="O120" s="104"/>
      <c r="P120" s="6">
        <f>P115-P116-P117-P118-P119</f>
        <v>25851.6505</v>
      </c>
      <c r="Q120" s="76"/>
      <c r="R120" s="109"/>
      <c r="S120" s="1"/>
      <c r="T120" s="1"/>
      <c r="U120" s="19"/>
      <c r="V120" s="19"/>
    </row>
    <row r="121" spans="1:21" ht="32.25" customHeight="1">
      <c r="A121" s="7" t="s">
        <v>14</v>
      </c>
      <c r="B121" s="7" t="s">
        <v>11</v>
      </c>
      <c r="C121" s="27" t="s">
        <v>24</v>
      </c>
      <c r="D121" s="27" t="s">
        <v>20</v>
      </c>
      <c r="E121" s="32" t="s">
        <v>2</v>
      </c>
      <c r="F121" s="27" t="s">
        <v>19</v>
      </c>
      <c r="G121" s="27" t="s">
        <v>18</v>
      </c>
      <c r="H121" s="32" t="s">
        <v>17</v>
      </c>
      <c r="I121" s="32" t="s">
        <v>16</v>
      </c>
      <c r="J121" s="27" t="s">
        <v>3</v>
      </c>
      <c r="K121" s="27" t="s">
        <v>4</v>
      </c>
      <c r="L121" s="92" t="s">
        <v>5</v>
      </c>
      <c r="M121" s="7" t="s">
        <v>21</v>
      </c>
      <c r="N121" s="7" t="s">
        <v>110</v>
      </c>
      <c r="O121" s="92" t="s">
        <v>111</v>
      </c>
      <c r="P121" s="7" t="s">
        <v>22</v>
      </c>
      <c r="Q121" s="7" t="s">
        <v>211</v>
      </c>
      <c r="R121" s="92" t="s">
        <v>212</v>
      </c>
      <c r="S121" s="389" t="s">
        <v>27</v>
      </c>
      <c r="T121" s="389"/>
      <c r="U121" s="19"/>
    </row>
    <row r="122" spans="1:21" s="126" customFormat="1" ht="12.75" customHeight="1">
      <c r="A122" s="200" t="s">
        <v>100</v>
      </c>
      <c r="B122" s="200"/>
      <c r="C122" s="192" t="s">
        <v>65</v>
      </c>
      <c r="D122" s="146" t="s">
        <v>192</v>
      </c>
      <c r="E122" s="143" t="s">
        <v>194</v>
      </c>
      <c r="F122" s="135" t="s">
        <v>195</v>
      </c>
      <c r="G122" s="163">
        <v>38541</v>
      </c>
      <c r="H122" s="163">
        <v>38537</v>
      </c>
      <c r="I122" s="158" t="s">
        <v>91</v>
      </c>
      <c r="J122" s="160">
        <f>789.9+10.33</f>
        <v>800.23</v>
      </c>
      <c r="K122" s="201">
        <f>J122*20/100</f>
        <v>160.046</v>
      </c>
      <c r="L122" s="202">
        <f>J122+K122</f>
        <v>960.2760000000001</v>
      </c>
      <c r="M122" s="203">
        <f>J122</f>
        <v>800.23</v>
      </c>
      <c r="N122" s="200">
        <v>0</v>
      </c>
      <c r="O122" s="204">
        <f>SUM(M122:N122)</f>
        <v>800.23</v>
      </c>
      <c r="P122" s="123">
        <f aca="true" t="shared" si="41" ref="P122:Q124">M122*0.65</f>
        <v>520.1495</v>
      </c>
      <c r="Q122" s="145">
        <f t="shared" si="41"/>
        <v>0</v>
      </c>
      <c r="R122" s="125">
        <f>SUM(P122:Q122)</f>
        <v>520.1495</v>
      </c>
      <c r="S122" s="387"/>
      <c r="T122" s="388"/>
      <c r="U122" s="170"/>
    </row>
    <row r="123" spans="1:21" s="126" customFormat="1" ht="12.75" customHeight="1">
      <c r="A123" s="200" t="s">
        <v>100</v>
      </c>
      <c r="B123" s="200"/>
      <c r="C123" s="192" t="s">
        <v>65</v>
      </c>
      <c r="D123" s="146" t="s">
        <v>193</v>
      </c>
      <c r="E123" s="143" t="s">
        <v>196</v>
      </c>
      <c r="F123" s="135">
        <v>5004165</v>
      </c>
      <c r="G123" s="163">
        <v>38552</v>
      </c>
      <c r="H123" s="163">
        <v>38632</v>
      </c>
      <c r="I123" s="158" t="s">
        <v>91</v>
      </c>
      <c r="J123" s="160">
        <v>5600</v>
      </c>
      <c r="K123" s="201">
        <v>0</v>
      </c>
      <c r="L123" s="161">
        <f>J123+K123</f>
        <v>5600</v>
      </c>
      <c r="M123" s="203">
        <v>5600</v>
      </c>
      <c r="N123" s="200"/>
      <c r="O123" s="205">
        <f>SUM(M123:N123)</f>
        <v>5600</v>
      </c>
      <c r="P123" s="123">
        <f t="shared" si="41"/>
        <v>3640</v>
      </c>
      <c r="Q123" s="145">
        <f t="shared" si="41"/>
        <v>0</v>
      </c>
      <c r="R123" s="125">
        <f>SUM(P123:Q123)</f>
        <v>3640</v>
      </c>
      <c r="S123" s="387"/>
      <c r="T123" s="388"/>
      <c r="U123" s="170"/>
    </row>
    <row r="124" spans="1:20" s="126" customFormat="1" ht="22.5" customHeight="1">
      <c r="A124" s="115" t="s">
        <v>100</v>
      </c>
      <c r="B124" s="116"/>
      <c r="C124" s="9" t="s">
        <v>122</v>
      </c>
      <c r="D124" s="117" t="s">
        <v>123</v>
      </c>
      <c r="E124" s="148" t="s">
        <v>124</v>
      </c>
      <c r="F124" s="148">
        <v>1251</v>
      </c>
      <c r="G124" s="137">
        <v>38495</v>
      </c>
      <c r="H124" s="137">
        <v>38502</v>
      </c>
      <c r="I124" s="138" t="s">
        <v>91</v>
      </c>
      <c r="J124" s="150">
        <v>6528</v>
      </c>
      <c r="K124" s="123">
        <f>+J124*0.2</f>
        <v>1305.6000000000001</v>
      </c>
      <c r="L124" s="121">
        <f>SUM(J124:K124)</f>
        <v>7833.6</v>
      </c>
      <c r="M124" s="123"/>
      <c r="N124" s="123"/>
      <c r="O124" s="121">
        <f>SUM(M124:N124)</f>
        <v>0</v>
      </c>
      <c r="P124" s="123">
        <f t="shared" si="41"/>
        <v>0</v>
      </c>
      <c r="Q124" s="145">
        <f t="shared" si="41"/>
        <v>0</v>
      </c>
      <c r="R124" s="125">
        <f>SUM(P124:Q124)</f>
        <v>0</v>
      </c>
      <c r="S124" s="367" t="s">
        <v>224</v>
      </c>
      <c r="T124" s="368"/>
    </row>
    <row r="125" spans="1:20" s="126" customFormat="1" ht="106.5" customHeight="1">
      <c r="A125" s="49" t="s">
        <v>318</v>
      </c>
      <c r="B125" s="116"/>
      <c r="C125" s="9" t="s">
        <v>122</v>
      </c>
      <c r="D125" s="134" t="s">
        <v>253</v>
      </c>
      <c r="E125" s="73" t="s">
        <v>124</v>
      </c>
      <c r="F125" s="73">
        <v>1251</v>
      </c>
      <c r="G125" s="64">
        <v>38495</v>
      </c>
      <c r="H125" s="63">
        <v>38502</v>
      </c>
      <c r="I125" s="65" t="s">
        <v>254</v>
      </c>
      <c r="J125" s="72">
        <v>6528</v>
      </c>
      <c r="K125" s="284">
        <f>+J125*0.2</f>
        <v>1305.6000000000001</v>
      </c>
      <c r="L125" s="285">
        <f>+J125+K125</f>
        <v>7833.6</v>
      </c>
      <c r="M125" s="123">
        <f>J125</f>
        <v>6528</v>
      </c>
      <c r="N125" s="123"/>
      <c r="O125" s="121">
        <f>SUM(M125:N125)</f>
        <v>6528</v>
      </c>
      <c r="P125" s="123">
        <f>M125*0.65</f>
        <v>4243.2</v>
      </c>
      <c r="Q125" s="145">
        <f>N125*0.65</f>
        <v>0</v>
      </c>
      <c r="R125" s="125">
        <f>SUM(P125:Q125)</f>
        <v>4243.2</v>
      </c>
      <c r="S125" s="449"/>
      <c r="T125" s="450"/>
    </row>
    <row r="126" spans="1:21" ht="11.25">
      <c r="A126" s="7"/>
      <c r="B126" s="7"/>
      <c r="C126" s="27"/>
      <c r="D126" s="27"/>
      <c r="E126" s="32"/>
      <c r="F126" s="27"/>
      <c r="G126" s="27"/>
      <c r="H126" s="32"/>
      <c r="I126" s="32"/>
      <c r="J126" s="27"/>
      <c r="K126" s="27"/>
      <c r="L126" s="92"/>
      <c r="M126" s="7"/>
      <c r="N126" s="7"/>
      <c r="O126" s="92"/>
      <c r="P126" s="7"/>
      <c r="Q126" s="7"/>
      <c r="R126" s="92"/>
      <c r="S126" s="7"/>
      <c r="T126" s="7"/>
      <c r="U126" s="19"/>
    </row>
    <row r="127" ht="11.25">
      <c r="U127" s="19"/>
    </row>
    <row r="128" spans="1:21" ht="11.25">
      <c r="A128" s="413" t="s">
        <v>23</v>
      </c>
      <c r="B128" s="416"/>
      <c r="C128" s="416"/>
      <c r="D128" s="416"/>
      <c r="E128" s="416"/>
      <c r="F128" s="416"/>
      <c r="G128" s="416"/>
      <c r="H128" s="416"/>
      <c r="I128" s="416"/>
      <c r="J128" s="416"/>
      <c r="K128" s="416"/>
      <c r="L128" s="417"/>
      <c r="M128" s="81" t="s">
        <v>214</v>
      </c>
      <c r="N128" s="81" t="s">
        <v>215</v>
      </c>
      <c r="O128" s="101" t="s">
        <v>216</v>
      </c>
      <c r="P128" s="81" t="s">
        <v>217</v>
      </c>
      <c r="Q128" s="81" t="s">
        <v>218</v>
      </c>
      <c r="R128" s="101" t="s">
        <v>219</v>
      </c>
      <c r="S128" s="25" t="s">
        <v>25</v>
      </c>
      <c r="T128" s="26" t="s">
        <v>26</v>
      </c>
      <c r="U128" s="19"/>
    </row>
    <row r="129" spans="1:22" ht="11.25">
      <c r="A129" s="394"/>
      <c r="B129" s="395"/>
      <c r="C129" s="398"/>
      <c r="D129" s="399"/>
      <c r="E129" s="399"/>
      <c r="F129" s="399"/>
      <c r="G129" s="399"/>
      <c r="H129" s="399"/>
      <c r="I129" s="399"/>
      <c r="J129" s="399"/>
      <c r="K129" s="400"/>
      <c r="L129" s="97" t="s">
        <v>12</v>
      </c>
      <c r="M129" s="3">
        <f>26*1000</f>
        <v>26000</v>
      </c>
      <c r="N129" s="3"/>
      <c r="O129" s="102"/>
      <c r="P129" s="42">
        <f>M129*0.65</f>
        <v>16900</v>
      </c>
      <c r="Q129" s="42"/>
      <c r="R129" s="114"/>
      <c r="S129" s="46"/>
      <c r="T129" s="46"/>
      <c r="U129" s="19"/>
      <c r="V129" s="19"/>
    </row>
    <row r="130" spans="1:22" ht="11.25">
      <c r="A130" s="394"/>
      <c r="B130" s="395"/>
      <c r="C130" s="401">
        <v>0</v>
      </c>
      <c r="D130" s="402"/>
      <c r="E130" s="402"/>
      <c r="F130" s="402"/>
      <c r="G130" s="402"/>
      <c r="H130" s="402"/>
      <c r="I130" s="402"/>
      <c r="J130" s="402"/>
      <c r="K130" s="403"/>
      <c r="L130" s="90" t="s">
        <v>28</v>
      </c>
      <c r="M130" s="66">
        <f aca="true" t="shared" si="42" ref="M130:R130">SUM(K130:L130)</f>
        <v>0</v>
      </c>
      <c r="N130" s="66">
        <f t="shared" si="42"/>
        <v>0</v>
      </c>
      <c r="O130" s="106">
        <f t="shared" si="42"/>
        <v>0</v>
      </c>
      <c r="P130" s="66">
        <f t="shared" si="42"/>
        <v>0</v>
      </c>
      <c r="Q130" s="66">
        <f t="shared" si="42"/>
        <v>0</v>
      </c>
      <c r="R130" s="106">
        <f t="shared" si="42"/>
        <v>0</v>
      </c>
      <c r="S130" s="41">
        <f>R130*0.375</f>
        <v>0</v>
      </c>
      <c r="T130" s="5">
        <f>R130-S130</f>
        <v>0</v>
      </c>
      <c r="U130" s="19"/>
      <c r="V130" s="19"/>
    </row>
    <row r="131" spans="1:22" ht="11.25">
      <c r="A131" s="394"/>
      <c r="B131" s="395"/>
      <c r="C131" s="35"/>
      <c r="D131" s="34"/>
      <c r="E131" s="34"/>
      <c r="F131" s="34"/>
      <c r="G131" s="34"/>
      <c r="H131" s="34"/>
      <c r="I131" s="34"/>
      <c r="J131" s="34"/>
      <c r="K131" s="36"/>
      <c r="L131" s="90" t="s">
        <v>125</v>
      </c>
      <c r="M131" s="4">
        <f>SUM(M136)</f>
        <v>3860</v>
      </c>
      <c r="N131" s="4"/>
      <c r="O131" s="103">
        <f>SUM(O136)</f>
        <v>3860</v>
      </c>
      <c r="P131" s="4">
        <f>SUM(P136)</f>
        <v>2509</v>
      </c>
      <c r="Q131" s="77"/>
      <c r="R131" s="112">
        <f>SUM(R136)</f>
        <v>2509</v>
      </c>
      <c r="S131" s="41">
        <f>R131*0.375</f>
        <v>940.875</v>
      </c>
      <c r="T131" s="5">
        <f>R131-S131</f>
        <v>1568.125</v>
      </c>
      <c r="U131" s="19"/>
      <c r="V131" s="19"/>
    </row>
    <row r="132" spans="1:21" s="1" customFormat="1" ht="11.25">
      <c r="A132" s="394"/>
      <c r="B132" s="395"/>
      <c r="C132" s="35"/>
      <c r="D132" s="34"/>
      <c r="E132" s="34"/>
      <c r="F132" s="34"/>
      <c r="G132" s="34"/>
      <c r="H132" s="34"/>
      <c r="I132" s="34"/>
      <c r="J132" s="34"/>
      <c r="K132" s="36"/>
      <c r="L132" s="90" t="s">
        <v>222</v>
      </c>
      <c r="M132" s="4"/>
      <c r="N132" s="4"/>
      <c r="O132" s="103"/>
      <c r="P132" s="4"/>
      <c r="Q132" s="4"/>
      <c r="R132" s="103"/>
      <c r="S132" s="41">
        <f>R132*0.375</f>
        <v>0</v>
      </c>
      <c r="T132" s="5">
        <f>R132-S132</f>
        <v>0</v>
      </c>
      <c r="U132" s="24"/>
    </row>
    <row r="133" spans="1:21" s="1" customFormat="1" ht="11.25">
      <c r="A133" s="394"/>
      <c r="B133" s="395"/>
      <c r="C133" s="35"/>
      <c r="D133" s="34"/>
      <c r="E133" s="34"/>
      <c r="F133" s="34"/>
      <c r="G133" s="34"/>
      <c r="H133" s="34"/>
      <c r="I133" s="34"/>
      <c r="J133" s="34"/>
      <c r="K133" s="36"/>
      <c r="L133" s="90" t="s">
        <v>322</v>
      </c>
      <c r="M133" s="4"/>
      <c r="N133" s="4"/>
      <c r="O133" s="103"/>
      <c r="P133" s="4"/>
      <c r="Q133" s="80"/>
      <c r="R133" s="108"/>
      <c r="S133" s="84"/>
      <c r="T133" s="84"/>
      <c r="U133" s="24"/>
    </row>
    <row r="134" spans="1:22" ht="11.25">
      <c r="A134" s="396"/>
      <c r="B134" s="397"/>
      <c r="C134" s="404"/>
      <c r="D134" s="405"/>
      <c r="E134" s="405"/>
      <c r="F134" s="405"/>
      <c r="G134" s="405"/>
      <c r="H134" s="405"/>
      <c r="I134" s="405"/>
      <c r="J134" s="405"/>
      <c r="K134" s="406"/>
      <c r="L134" s="91" t="s">
        <v>13</v>
      </c>
      <c r="M134" s="6">
        <f>M129-M130-M131-M132-M133</f>
        <v>22140</v>
      </c>
      <c r="N134" s="6"/>
      <c r="O134" s="104"/>
      <c r="P134" s="6">
        <f>P129-P130-P131-P132-P133</f>
        <v>14391</v>
      </c>
      <c r="Q134" s="43"/>
      <c r="R134" s="113"/>
      <c r="S134" s="1"/>
      <c r="T134" s="1"/>
      <c r="U134" s="19"/>
      <c r="V134" s="19"/>
    </row>
    <row r="135" spans="1:21" ht="36.75" customHeight="1">
      <c r="A135" s="7" t="s">
        <v>14</v>
      </c>
      <c r="B135" s="7" t="s">
        <v>11</v>
      </c>
      <c r="C135" s="27" t="s">
        <v>24</v>
      </c>
      <c r="D135" s="27" t="s">
        <v>20</v>
      </c>
      <c r="E135" s="32" t="s">
        <v>2</v>
      </c>
      <c r="F135" s="27" t="s">
        <v>19</v>
      </c>
      <c r="G135" s="27" t="s">
        <v>18</v>
      </c>
      <c r="H135" s="32" t="s">
        <v>17</v>
      </c>
      <c r="I135" s="32" t="s">
        <v>16</v>
      </c>
      <c r="J135" s="27" t="s">
        <v>3</v>
      </c>
      <c r="K135" s="27" t="s">
        <v>4</v>
      </c>
      <c r="L135" s="92" t="s">
        <v>5</v>
      </c>
      <c r="M135" s="7" t="s">
        <v>21</v>
      </c>
      <c r="N135" s="7" t="s">
        <v>110</v>
      </c>
      <c r="O135" s="92" t="s">
        <v>111</v>
      </c>
      <c r="P135" s="7" t="s">
        <v>22</v>
      </c>
      <c r="Q135" s="7" t="s">
        <v>211</v>
      </c>
      <c r="R135" s="92" t="s">
        <v>212</v>
      </c>
      <c r="S135" s="389" t="s">
        <v>27</v>
      </c>
      <c r="T135" s="389"/>
      <c r="U135" s="19"/>
    </row>
    <row r="136" spans="1:20" s="126" customFormat="1" ht="12.75" customHeight="1">
      <c r="A136" s="115" t="s">
        <v>100</v>
      </c>
      <c r="B136" s="116"/>
      <c r="C136" s="192" t="s">
        <v>65</v>
      </c>
      <c r="D136" s="193" t="s">
        <v>197</v>
      </c>
      <c r="E136" s="194" t="s">
        <v>198</v>
      </c>
      <c r="F136" s="195">
        <v>53</v>
      </c>
      <c r="G136" s="196" t="s">
        <v>199</v>
      </c>
      <c r="H136" s="197">
        <v>38621</v>
      </c>
      <c r="I136" s="194" t="s">
        <v>91</v>
      </c>
      <c r="J136" s="198">
        <v>3860</v>
      </c>
      <c r="K136" s="198">
        <f>J136*0.2</f>
        <v>772</v>
      </c>
      <c r="L136" s="199">
        <f>SUM(J136:K136)</f>
        <v>4632</v>
      </c>
      <c r="M136" s="198">
        <f>J136</f>
        <v>3860</v>
      </c>
      <c r="N136" s="123">
        <v>0</v>
      </c>
      <c r="O136" s="121">
        <f>SUM(M136:N136)</f>
        <v>3860</v>
      </c>
      <c r="P136" s="123">
        <f>M136*0.65</f>
        <v>2509</v>
      </c>
      <c r="Q136" s="145">
        <f>N136*0.65</f>
        <v>0</v>
      </c>
      <c r="R136" s="125">
        <f>SUM(P136:Q136)</f>
        <v>2509</v>
      </c>
      <c r="S136" s="387"/>
      <c r="T136" s="388"/>
    </row>
    <row r="137" spans="1:21" ht="11.25">
      <c r="A137" s="50"/>
      <c r="B137" s="8"/>
      <c r="C137" s="9"/>
      <c r="D137" s="9"/>
      <c r="E137" s="9"/>
      <c r="F137" s="9"/>
      <c r="G137" s="10"/>
      <c r="H137" s="11"/>
      <c r="I137" s="11"/>
      <c r="J137" s="12"/>
      <c r="K137" s="12"/>
      <c r="L137" s="93"/>
      <c r="M137" s="12"/>
      <c r="N137" s="12"/>
      <c r="O137" s="93"/>
      <c r="P137" s="12">
        <f>M137*0.5</f>
        <v>0</v>
      </c>
      <c r="Q137" s="12"/>
      <c r="R137" s="93"/>
      <c r="S137" s="440"/>
      <c r="T137" s="440"/>
      <c r="U137" s="19"/>
    </row>
    <row r="138" ht="11.25">
      <c r="U138" s="19"/>
    </row>
    <row r="139" spans="1:21" ht="11.25">
      <c r="A139" s="413" t="s">
        <v>9</v>
      </c>
      <c r="B139" s="416"/>
      <c r="C139" s="416"/>
      <c r="D139" s="416"/>
      <c r="E139" s="416"/>
      <c r="F139" s="416"/>
      <c r="G139" s="416"/>
      <c r="H139" s="416"/>
      <c r="I139" s="416"/>
      <c r="J139" s="416"/>
      <c r="K139" s="416"/>
      <c r="L139" s="417"/>
      <c r="M139" s="81" t="s">
        <v>214</v>
      </c>
      <c r="N139" s="81" t="s">
        <v>215</v>
      </c>
      <c r="O139" s="101" t="s">
        <v>216</v>
      </c>
      <c r="P139" s="81" t="s">
        <v>217</v>
      </c>
      <c r="Q139" s="81" t="s">
        <v>218</v>
      </c>
      <c r="R139" s="101" t="s">
        <v>219</v>
      </c>
      <c r="S139" s="25" t="s">
        <v>25</v>
      </c>
      <c r="T139" s="26" t="s">
        <v>26</v>
      </c>
      <c r="U139" s="19"/>
    </row>
    <row r="140" spans="1:22" ht="11.25">
      <c r="A140" s="394"/>
      <c r="B140" s="395"/>
      <c r="C140" s="398"/>
      <c r="D140" s="399"/>
      <c r="E140" s="399"/>
      <c r="F140" s="399"/>
      <c r="G140" s="399"/>
      <c r="H140" s="399"/>
      <c r="I140" s="399"/>
      <c r="J140" s="399"/>
      <c r="K140" s="400"/>
      <c r="L140" s="97" t="s">
        <v>12</v>
      </c>
      <c r="M140" s="3">
        <f>42*1000</f>
        <v>42000</v>
      </c>
      <c r="N140" s="3"/>
      <c r="O140" s="102"/>
      <c r="P140" s="42">
        <f>M140*0.65</f>
        <v>27300</v>
      </c>
      <c r="Q140" s="75"/>
      <c r="R140" s="107"/>
      <c r="S140" s="40"/>
      <c r="T140" s="40"/>
      <c r="U140" s="19"/>
      <c r="V140" s="19"/>
    </row>
    <row r="141" spans="1:22" ht="11.25">
      <c r="A141" s="394"/>
      <c r="B141" s="395"/>
      <c r="C141" s="401">
        <v>0</v>
      </c>
      <c r="D141" s="402"/>
      <c r="E141" s="402"/>
      <c r="F141" s="402"/>
      <c r="G141" s="402"/>
      <c r="H141" s="402"/>
      <c r="I141" s="402"/>
      <c r="J141" s="402"/>
      <c r="K141" s="403"/>
      <c r="L141" s="90" t="s">
        <v>28</v>
      </c>
      <c r="M141" s="4"/>
      <c r="N141" s="4"/>
      <c r="O141" s="103"/>
      <c r="P141" s="4"/>
      <c r="Q141" s="4"/>
      <c r="R141" s="103"/>
      <c r="S141" s="41">
        <f>R141*0.375</f>
        <v>0</v>
      </c>
      <c r="T141" s="5">
        <f>R141-S141</f>
        <v>0</v>
      </c>
      <c r="U141" s="19"/>
      <c r="V141" s="19"/>
    </row>
    <row r="142" spans="1:22" ht="11.25">
      <c r="A142" s="394"/>
      <c r="B142" s="395"/>
      <c r="C142" s="35"/>
      <c r="D142" s="34"/>
      <c r="E142" s="34"/>
      <c r="F142" s="34"/>
      <c r="G142" s="34"/>
      <c r="H142" s="34"/>
      <c r="I142" s="34"/>
      <c r="J142" s="34"/>
      <c r="K142" s="36"/>
      <c r="L142" s="90" t="s">
        <v>125</v>
      </c>
      <c r="M142" s="4">
        <f aca="true" t="shared" si="43" ref="M142:R142">M147</f>
        <v>19984.43</v>
      </c>
      <c r="N142" s="4">
        <f t="shared" si="43"/>
        <v>800</v>
      </c>
      <c r="O142" s="103">
        <f t="shared" si="43"/>
        <v>20784.43</v>
      </c>
      <c r="P142" s="4">
        <f t="shared" si="43"/>
        <v>12989.879500000001</v>
      </c>
      <c r="Q142" s="4">
        <f t="shared" si="43"/>
        <v>520</v>
      </c>
      <c r="R142" s="103">
        <f t="shared" si="43"/>
        <v>13509.879500000001</v>
      </c>
      <c r="S142" s="41">
        <f>R142*0.375</f>
        <v>5066.2048125</v>
      </c>
      <c r="T142" s="5">
        <f>R142-S142</f>
        <v>8443.6746875</v>
      </c>
      <c r="U142" s="19"/>
      <c r="V142" s="19"/>
    </row>
    <row r="143" spans="1:21" s="1" customFormat="1" ht="11.25">
      <c r="A143" s="394"/>
      <c r="B143" s="395"/>
      <c r="C143" s="35"/>
      <c r="D143" s="34"/>
      <c r="E143" s="34"/>
      <c r="F143" s="34"/>
      <c r="G143" s="34"/>
      <c r="H143" s="34"/>
      <c r="I143" s="34"/>
      <c r="J143" s="34"/>
      <c r="K143" s="36"/>
      <c r="L143" s="90" t="s">
        <v>222</v>
      </c>
      <c r="M143" s="4">
        <f>SUM(M158:M163)</f>
        <v>6498.45</v>
      </c>
      <c r="N143" s="4">
        <f>SUM(N158:N163)</f>
        <v>-764.1099999999999</v>
      </c>
      <c r="O143" s="103">
        <f>+N143+M143</f>
        <v>5734.34</v>
      </c>
      <c r="P143" s="4">
        <f>SUM(P158:P163)</f>
        <v>4223.9925</v>
      </c>
      <c r="Q143" s="4">
        <f>SUM(Q158:Q163)</f>
        <v>-496.67150000000004</v>
      </c>
      <c r="R143" s="103">
        <f>+Q143+P143</f>
        <v>3727.3210000000004</v>
      </c>
      <c r="S143" s="41">
        <f>R143*0.375</f>
        <v>1397.7453750000002</v>
      </c>
      <c r="T143" s="5">
        <f>R143-S143</f>
        <v>2329.5756250000004</v>
      </c>
      <c r="U143" s="24"/>
    </row>
    <row r="144" spans="1:21" s="1" customFormat="1" ht="11.25">
      <c r="A144" s="394"/>
      <c r="B144" s="395"/>
      <c r="C144" s="35"/>
      <c r="D144" s="34"/>
      <c r="E144" s="34"/>
      <c r="F144" s="34"/>
      <c r="G144" s="34"/>
      <c r="H144" s="34"/>
      <c r="I144" s="34"/>
      <c r="J144" s="34"/>
      <c r="K144" s="36"/>
      <c r="L144" s="90" t="s">
        <v>322</v>
      </c>
      <c r="M144" s="4">
        <f>SUM(M164:M167)</f>
        <v>240.42</v>
      </c>
      <c r="N144" s="4">
        <f>SUM(N164:N167)</f>
        <v>48.1</v>
      </c>
      <c r="O144" s="103">
        <f>+N144+M144</f>
        <v>288.52</v>
      </c>
      <c r="P144" s="4">
        <f>SUM(P164:P167)</f>
        <v>156.273</v>
      </c>
      <c r="Q144" s="4">
        <f>SUM(Q164:Q167)</f>
        <v>31.265</v>
      </c>
      <c r="R144" s="103">
        <f>+Q144+P144</f>
        <v>187.538</v>
      </c>
      <c r="S144" s="41">
        <f>R144*0.375</f>
        <v>70.32675</v>
      </c>
      <c r="T144" s="5">
        <f>R144-S144</f>
        <v>117.21125</v>
      </c>
      <c r="U144" s="24"/>
    </row>
    <row r="145" spans="1:22" ht="11.25">
      <c r="A145" s="396"/>
      <c r="B145" s="397"/>
      <c r="C145" s="404"/>
      <c r="D145" s="405"/>
      <c r="E145" s="405"/>
      <c r="F145" s="405"/>
      <c r="G145" s="405"/>
      <c r="H145" s="405"/>
      <c r="I145" s="405"/>
      <c r="J145" s="405"/>
      <c r="K145" s="406"/>
      <c r="L145" s="91" t="s">
        <v>13</v>
      </c>
      <c r="M145" s="6">
        <f>M140-M141-M142-M143-M144</f>
        <v>15276.699999999999</v>
      </c>
      <c r="N145" s="6"/>
      <c r="O145" s="104"/>
      <c r="P145" s="6">
        <f>P140-P141-P142-P143-P144</f>
        <v>9929.855</v>
      </c>
      <c r="Q145" s="76"/>
      <c r="R145" s="109"/>
      <c r="S145" s="1"/>
      <c r="T145" s="1"/>
      <c r="U145" s="19"/>
      <c r="V145" s="19"/>
    </row>
    <row r="146" spans="1:21" ht="36.75" customHeight="1">
      <c r="A146" s="7" t="s">
        <v>14</v>
      </c>
      <c r="B146" s="7" t="s">
        <v>11</v>
      </c>
      <c r="C146" s="27" t="s">
        <v>24</v>
      </c>
      <c r="D146" s="27" t="s">
        <v>20</v>
      </c>
      <c r="E146" s="32" t="s">
        <v>2</v>
      </c>
      <c r="F146" s="27" t="s">
        <v>19</v>
      </c>
      <c r="G146" s="27" t="s">
        <v>18</v>
      </c>
      <c r="H146" s="32" t="s">
        <v>17</v>
      </c>
      <c r="I146" s="32" t="s">
        <v>16</v>
      </c>
      <c r="J146" s="27" t="s">
        <v>3</v>
      </c>
      <c r="K146" s="27" t="s">
        <v>4</v>
      </c>
      <c r="L146" s="92" t="s">
        <v>5</v>
      </c>
      <c r="M146" s="7" t="s">
        <v>21</v>
      </c>
      <c r="N146" s="7" t="s">
        <v>110</v>
      </c>
      <c r="O146" s="92" t="s">
        <v>111</v>
      </c>
      <c r="P146" s="7" t="s">
        <v>22</v>
      </c>
      <c r="Q146" s="7" t="s">
        <v>211</v>
      </c>
      <c r="R146" s="92" t="s">
        <v>212</v>
      </c>
      <c r="S146" s="389" t="s">
        <v>27</v>
      </c>
      <c r="T146" s="389"/>
      <c r="U146" s="19"/>
    </row>
    <row r="147" spans="1:21" s="214" customFormat="1" ht="12.75" customHeight="1">
      <c r="A147" s="249" t="s">
        <v>100</v>
      </c>
      <c r="B147" s="249"/>
      <c r="C147" s="250" t="s">
        <v>242</v>
      </c>
      <c r="D147" s="250"/>
      <c r="E147" s="250"/>
      <c r="F147" s="250"/>
      <c r="G147" s="250"/>
      <c r="H147" s="250"/>
      <c r="I147" s="250"/>
      <c r="J147" s="250"/>
      <c r="K147" s="250"/>
      <c r="L147" s="262"/>
      <c r="M147" s="249">
        <v>19984.43</v>
      </c>
      <c r="N147" s="249">
        <v>800</v>
      </c>
      <c r="O147" s="262">
        <v>20784.43</v>
      </c>
      <c r="P147" s="249">
        <v>12989.879500000001</v>
      </c>
      <c r="Q147" s="251">
        <v>520</v>
      </c>
      <c r="R147" s="263">
        <v>13509.879500000001</v>
      </c>
      <c r="S147" s="251" t="s">
        <v>240</v>
      </c>
      <c r="T147" s="252"/>
      <c r="U147" s="253"/>
    </row>
    <row r="148" spans="1:21" s="126" customFormat="1" ht="11.25" customHeight="1">
      <c r="A148" s="115" t="s">
        <v>100</v>
      </c>
      <c r="B148" s="116"/>
      <c r="C148" s="168" t="s">
        <v>115</v>
      </c>
      <c r="D148" s="187" t="s">
        <v>126</v>
      </c>
      <c r="E148" s="134" t="s">
        <v>124</v>
      </c>
      <c r="F148" s="148">
        <v>1250</v>
      </c>
      <c r="G148" s="137">
        <v>38495</v>
      </c>
      <c r="H148" s="137">
        <v>38502</v>
      </c>
      <c r="I148" s="138" t="s">
        <v>118</v>
      </c>
      <c r="J148" s="150">
        <v>4120</v>
      </c>
      <c r="K148" s="188">
        <f aca="true" t="shared" si="44" ref="K148:K157">J148*0.2</f>
        <v>824</v>
      </c>
      <c r="L148" s="189">
        <f>J148+K148</f>
        <v>4944</v>
      </c>
      <c r="M148" s="123">
        <f>J148</f>
        <v>4120</v>
      </c>
      <c r="N148" s="123"/>
      <c r="O148" s="121">
        <f>SUM(M148:N148)</f>
        <v>4120</v>
      </c>
      <c r="P148" s="123">
        <f>M148*0.65</f>
        <v>2678</v>
      </c>
      <c r="Q148" s="145">
        <f>N148*0.65</f>
        <v>0</v>
      </c>
      <c r="R148" s="125">
        <f>SUM(P148:Q148)</f>
        <v>2678</v>
      </c>
      <c r="S148" s="367"/>
      <c r="T148" s="368"/>
      <c r="U148" s="170"/>
    </row>
    <row r="149" spans="1:21" s="126" customFormat="1" ht="25.5" customHeight="1">
      <c r="A149" s="115" t="s">
        <v>100</v>
      </c>
      <c r="B149" s="116"/>
      <c r="C149" s="168" t="s">
        <v>61</v>
      </c>
      <c r="D149" s="146" t="s">
        <v>143</v>
      </c>
      <c r="E149" s="148" t="s">
        <v>145</v>
      </c>
      <c r="F149" s="135" t="s">
        <v>146</v>
      </c>
      <c r="G149" s="137">
        <v>38496</v>
      </c>
      <c r="H149" s="149">
        <v>38618</v>
      </c>
      <c r="I149" s="137" t="s">
        <v>134</v>
      </c>
      <c r="J149" s="150">
        <v>700</v>
      </c>
      <c r="K149" s="188">
        <f t="shared" si="44"/>
        <v>140</v>
      </c>
      <c r="L149" s="189">
        <f aca="true" t="shared" si="45" ref="L149:L157">SUM(J149:K149)</f>
        <v>840</v>
      </c>
      <c r="M149" s="123">
        <f aca="true" t="shared" si="46" ref="M149:M157">J149</f>
        <v>700</v>
      </c>
      <c r="N149" s="188"/>
      <c r="O149" s="121">
        <f aca="true" t="shared" si="47" ref="O149:O157">SUM(M149:N149)</f>
        <v>700</v>
      </c>
      <c r="P149" s="123">
        <f aca="true" t="shared" si="48" ref="P149:P157">M149*0.65</f>
        <v>455</v>
      </c>
      <c r="Q149" s="145">
        <f aca="true" t="shared" si="49" ref="Q149:Q157">N149*0.65</f>
        <v>0</v>
      </c>
      <c r="R149" s="125">
        <f aca="true" t="shared" si="50" ref="R149:R157">SUM(P149:Q149)</f>
        <v>455</v>
      </c>
      <c r="S149" s="367" t="s">
        <v>293</v>
      </c>
      <c r="T149" s="368"/>
      <c r="U149" s="170"/>
    </row>
    <row r="150" spans="1:21" s="126" customFormat="1" ht="27.75" customHeight="1">
      <c r="A150" s="115" t="s">
        <v>100</v>
      </c>
      <c r="B150" s="116"/>
      <c r="C150" s="168" t="s">
        <v>61</v>
      </c>
      <c r="D150" s="190" t="s">
        <v>144</v>
      </c>
      <c r="E150" s="148" t="s">
        <v>147</v>
      </c>
      <c r="F150" s="148">
        <v>40</v>
      </c>
      <c r="G150" s="137">
        <v>38563</v>
      </c>
      <c r="H150" s="137">
        <v>38567</v>
      </c>
      <c r="I150" s="137" t="s">
        <v>134</v>
      </c>
      <c r="J150" s="150">
        <v>300</v>
      </c>
      <c r="K150" s="188">
        <f t="shared" si="44"/>
        <v>60</v>
      </c>
      <c r="L150" s="189">
        <f t="shared" si="45"/>
        <v>360</v>
      </c>
      <c r="M150" s="123">
        <f t="shared" si="46"/>
        <v>300</v>
      </c>
      <c r="N150" s="188"/>
      <c r="O150" s="121">
        <f t="shared" si="47"/>
        <v>300</v>
      </c>
      <c r="P150" s="123">
        <f t="shared" si="48"/>
        <v>195</v>
      </c>
      <c r="Q150" s="145">
        <f t="shared" si="49"/>
        <v>0</v>
      </c>
      <c r="R150" s="125">
        <f t="shared" si="50"/>
        <v>195</v>
      </c>
      <c r="S150" s="367" t="s">
        <v>294</v>
      </c>
      <c r="T150" s="368"/>
      <c r="U150" s="170"/>
    </row>
    <row r="151" spans="1:21" s="126" customFormat="1" ht="11.25" customHeight="1">
      <c r="A151" s="115" t="s">
        <v>100</v>
      </c>
      <c r="B151" s="116"/>
      <c r="C151" s="168" t="s">
        <v>61</v>
      </c>
      <c r="D151" s="190" t="s">
        <v>126</v>
      </c>
      <c r="E151" s="148" t="s">
        <v>148</v>
      </c>
      <c r="F151" s="148">
        <v>190350</v>
      </c>
      <c r="G151" s="137">
        <v>38571</v>
      </c>
      <c r="H151" s="137">
        <v>38566</v>
      </c>
      <c r="I151" s="138" t="s">
        <v>91</v>
      </c>
      <c r="J151" s="150">
        <v>3000</v>
      </c>
      <c r="K151" s="188">
        <f t="shared" si="44"/>
        <v>600</v>
      </c>
      <c r="L151" s="189">
        <f t="shared" si="45"/>
        <v>3600</v>
      </c>
      <c r="M151" s="123">
        <f t="shared" si="46"/>
        <v>3000</v>
      </c>
      <c r="N151" s="188"/>
      <c r="O151" s="121">
        <f t="shared" si="47"/>
        <v>3000</v>
      </c>
      <c r="P151" s="123">
        <f t="shared" si="48"/>
        <v>1950</v>
      </c>
      <c r="Q151" s="145">
        <f t="shared" si="49"/>
        <v>0</v>
      </c>
      <c r="R151" s="125">
        <f t="shared" si="50"/>
        <v>1950</v>
      </c>
      <c r="S151" s="387"/>
      <c r="T151" s="388"/>
      <c r="U151" s="170"/>
    </row>
    <row r="152" spans="1:21" s="126" customFormat="1" ht="11.25" customHeight="1">
      <c r="A152" s="115" t="s">
        <v>100</v>
      </c>
      <c r="B152" s="116"/>
      <c r="C152" s="117" t="s">
        <v>50</v>
      </c>
      <c r="D152" s="146" t="s">
        <v>179</v>
      </c>
      <c r="E152" s="148" t="s">
        <v>183</v>
      </c>
      <c r="F152" s="135">
        <v>29</v>
      </c>
      <c r="G152" s="137">
        <v>38496</v>
      </c>
      <c r="H152" s="191" t="s">
        <v>184</v>
      </c>
      <c r="I152" s="138" t="s">
        <v>91</v>
      </c>
      <c r="J152" s="150">
        <v>7425</v>
      </c>
      <c r="K152" s="188">
        <f t="shared" si="44"/>
        <v>1485</v>
      </c>
      <c r="L152" s="189">
        <f t="shared" si="45"/>
        <v>8910</v>
      </c>
      <c r="M152" s="123">
        <f t="shared" si="46"/>
        <v>7425</v>
      </c>
      <c r="N152" s="188"/>
      <c r="O152" s="121">
        <f t="shared" si="47"/>
        <v>7425</v>
      </c>
      <c r="P152" s="123">
        <f t="shared" si="48"/>
        <v>4826.25</v>
      </c>
      <c r="Q152" s="145">
        <f t="shared" si="49"/>
        <v>0</v>
      </c>
      <c r="R152" s="125">
        <f t="shared" si="50"/>
        <v>4826.25</v>
      </c>
      <c r="S152" s="387"/>
      <c r="T152" s="388"/>
      <c r="U152" s="170"/>
    </row>
    <row r="153" spans="1:21" s="126" customFormat="1" ht="11.25" customHeight="1">
      <c r="A153" s="115" t="s">
        <v>100</v>
      </c>
      <c r="B153" s="116"/>
      <c r="C153" s="117" t="s">
        <v>50</v>
      </c>
      <c r="D153" s="146" t="s">
        <v>180</v>
      </c>
      <c r="E153" s="148" t="s">
        <v>183</v>
      </c>
      <c r="F153" s="135">
        <v>44</v>
      </c>
      <c r="G153" s="137">
        <v>38551</v>
      </c>
      <c r="H153" s="191" t="s">
        <v>185</v>
      </c>
      <c r="I153" s="138" t="s">
        <v>91</v>
      </c>
      <c r="J153" s="150">
        <v>0</v>
      </c>
      <c r="K153" s="188">
        <f t="shared" si="44"/>
        <v>0</v>
      </c>
      <c r="L153" s="189">
        <f t="shared" si="45"/>
        <v>0</v>
      </c>
      <c r="M153" s="123">
        <f t="shared" si="46"/>
        <v>0</v>
      </c>
      <c r="N153" s="188"/>
      <c r="O153" s="121">
        <f t="shared" si="47"/>
        <v>0</v>
      </c>
      <c r="P153" s="123">
        <f t="shared" si="48"/>
        <v>0</v>
      </c>
      <c r="Q153" s="145">
        <f t="shared" si="49"/>
        <v>0</v>
      </c>
      <c r="R153" s="125">
        <f t="shared" si="50"/>
        <v>0</v>
      </c>
      <c r="S153" s="387"/>
      <c r="T153" s="388"/>
      <c r="U153" s="170"/>
    </row>
    <row r="154" spans="1:21" s="126" customFormat="1" ht="11.25" customHeight="1">
      <c r="A154" s="115" t="s">
        <v>100</v>
      </c>
      <c r="B154" s="116"/>
      <c r="C154" s="117" t="s">
        <v>50</v>
      </c>
      <c r="D154" s="146" t="s">
        <v>181</v>
      </c>
      <c r="E154" s="148" t="s">
        <v>186</v>
      </c>
      <c r="F154" s="135">
        <v>8400198447</v>
      </c>
      <c r="G154" s="137">
        <v>38618</v>
      </c>
      <c r="H154" s="137">
        <v>38615</v>
      </c>
      <c r="I154" s="138" t="s">
        <v>91</v>
      </c>
      <c r="J154" s="150">
        <f>1219+80</f>
        <v>1299</v>
      </c>
      <c r="K154" s="188">
        <f t="shared" si="44"/>
        <v>259.8</v>
      </c>
      <c r="L154" s="189">
        <f t="shared" si="45"/>
        <v>1558.8</v>
      </c>
      <c r="M154" s="123">
        <f t="shared" si="46"/>
        <v>1299</v>
      </c>
      <c r="N154" s="188"/>
      <c r="O154" s="121">
        <f t="shared" si="47"/>
        <v>1299</v>
      </c>
      <c r="P154" s="123">
        <f t="shared" si="48"/>
        <v>844.35</v>
      </c>
      <c r="Q154" s="145">
        <f t="shared" si="49"/>
        <v>0</v>
      </c>
      <c r="R154" s="125">
        <f t="shared" si="50"/>
        <v>844.35</v>
      </c>
      <c r="S154" s="387"/>
      <c r="T154" s="388"/>
      <c r="U154" s="170"/>
    </row>
    <row r="155" spans="1:21" s="126" customFormat="1" ht="11.25" customHeight="1">
      <c r="A155" s="115" t="s">
        <v>100</v>
      </c>
      <c r="B155" s="116"/>
      <c r="C155" s="117" t="s">
        <v>50</v>
      </c>
      <c r="D155" s="146" t="s">
        <v>181</v>
      </c>
      <c r="E155" s="148" t="s">
        <v>186</v>
      </c>
      <c r="F155" s="135">
        <v>8400198448</v>
      </c>
      <c r="G155" s="137">
        <v>38618</v>
      </c>
      <c r="H155" s="137">
        <v>38615</v>
      </c>
      <c r="I155" s="138" t="s">
        <v>91</v>
      </c>
      <c r="J155" s="150">
        <f>2841.54+80</f>
        <v>2921.54</v>
      </c>
      <c r="K155" s="188">
        <f t="shared" si="44"/>
        <v>584.308</v>
      </c>
      <c r="L155" s="189">
        <f t="shared" si="45"/>
        <v>3505.848</v>
      </c>
      <c r="M155" s="123">
        <f t="shared" si="46"/>
        <v>2921.54</v>
      </c>
      <c r="N155" s="188"/>
      <c r="O155" s="121">
        <f t="shared" si="47"/>
        <v>2921.54</v>
      </c>
      <c r="P155" s="123">
        <f t="shared" si="48"/>
        <v>1899.001</v>
      </c>
      <c r="Q155" s="145">
        <f t="shared" si="49"/>
        <v>0</v>
      </c>
      <c r="R155" s="125">
        <f t="shared" si="50"/>
        <v>1899.001</v>
      </c>
      <c r="S155" s="387"/>
      <c r="T155" s="388"/>
      <c r="U155" s="170"/>
    </row>
    <row r="156" spans="1:21" s="126" customFormat="1" ht="11.25" customHeight="1">
      <c r="A156" s="115" t="s">
        <v>100</v>
      </c>
      <c r="B156" s="116"/>
      <c r="C156" s="117" t="s">
        <v>50</v>
      </c>
      <c r="D156" s="146" t="s">
        <v>182</v>
      </c>
      <c r="E156" s="134" t="s">
        <v>187</v>
      </c>
      <c r="F156" s="185" t="s">
        <v>188</v>
      </c>
      <c r="G156" s="137">
        <v>38616</v>
      </c>
      <c r="H156" s="137">
        <v>38616</v>
      </c>
      <c r="I156" s="138" t="s">
        <v>189</v>
      </c>
      <c r="J156" s="150">
        <v>82.5</v>
      </c>
      <c r="K156" s="188">
        <f t="shared" si="44"/>
        <v>16.5</v>
      </c>
      <c r="L156" s="189">
        <f t="shared" si="45"/>
        <v>99</v>
      </c>
      <c r="M156" s="123">
        <f t="shared" si="46"/>
        <v>82.5</v>
      </c>
      <c r="N156" s="188"/>
      <c r="O156" s="121">
        <f t="shared" si="47"/>
        <v>82.5</v>
      </c>
      <c r="P156" s="123">
        <f t="shared" si="48"/>
        <v>53.625</v>
      </c>
      <c r="Q156" s="145">
        <f t="shared" si="49"/>
        <v>0</v>
      </c>
      <c r="R156" s="125">
        <f t="shared" si="50"/>
        <v>53.625</v>
      </c>
      <c r="S156" s="387"/>
      <c r="T156" s="388"/>
      <c r="U156" s="170"/>
    </row>
    <row r="157" spans="1:21" s="126" customFormat="1" ht="11.25" customHeight="1">
      <c r="A157" s="115" t="s">
        <v>100</v>
      </c>
      <c r="B157" s="116"/>
      <c r="C157" s="117" t="s">
        <v>50</v>
      </c>
      <c r="D157" s="146" t="s">
        <v>234</v>
      </c>
      <c r="E157" s="148" t="s">
        <v>190</v>
      </c>
      <c r="F157" s="135" t="s">
        <v>191</v>
      </c>
      <c r="G157" s="137">
        <v>38611</v>
      </c>
      <c r="H157" s="137">
        <v>38611</v>
      </c>
      <c r="I157" s="138" t="s">
        <v>189</v>
      </c>
      <c r="J157" s="150">
        <f>20.6*2+9.09+86.1</f>
        <v>136.39</v>
      </c>
      <c r="K157" s="188">
        <f t="shared" si="44"/>
        <v>27.278</v>
      </c>
      <c r="L157" s="189">
        <f t="shared" si="45"/>
        <v>163.66799999999998</v>
      </c>
      <c r="M157" s="123">
        <f t="shared" si="46"/>
        <v>136.39</v>
      </c>
      <c r="N157" s="188"/>
      <c r="O157" s="121">
        <f t="shared" si="47"/>
        <v>136.39</v>
      </c>
      <c r="P157" s="123">
        <f t="shared" si="48"/>
        <v>88.6535</v>
      </c>
      <c r="Q157" s="145">
        <f t="shared" si="49"/>
        <v>0</v>
      </c>
      <c r="R157" s="125">
        <f t="shared" si="50"/>
        <v>88.6535</v>
      </c>
      <c r="S157" s="387"/>
      <c r="T157" s="388"/>
      <c r="U157" s="170"/>
    </row>
    <row r="158" spans="1:21" s="247" customFormat="1" ht="11.25" customHeight="1">
      <c r="A158" s="238" t="s">
        <v>226</v>
      </c>
      <c r="B158" s="238"/>
      <c r="C158" s="248" t="s">
        <v>245</v>
      </c>
      <c r="D158" s="240"/>
      <c r="E158" s="254"/>
      <c r="F158" s="255"/>
      <c r="G158" s="256"/>
      <c r="H158" s="256"/>
      <c r="I158" s="257"/>
      <c r="J158" s="258"/>
      <c r="K158" s="259"/>
      <c r="L158" s="189"/>
      <c r="M158" s="246">
        <f aca="true" t="shared" si="51" ref="M158:R158">SUM(M148:M157)-M147</f>
        <v>0</v>
      </c>
      <c r="N158" s="246">
        <f t="shared" si="51"/>
        <v>-800</v>
      </c>
      <c r="O158" s="121">
        <f t="shared" si="51"/>
        <v>-800</v>
      </c>
      <c r="P158" s="246">
        <f t="shared" si="51"/>
        <v>0</v>
      </c>
      <c r="Q158" s="246">
        <f t="shared" si="51"/>
        <v>-520</v>
      </c>
      <c r="R158" s="121">
        <f t="shared" si="51"/>
        <v>-520</v>
      </c>
      <c r="S158" s="369" t="s">
        <v>241</v>
      </c>
      <c r="T158" s="370"/>
      <c r="U158" s="260"/>
    </row>
    <row r="159" spans="1:21" s="179" customFormat="1" ht="21.75" customHeight="1">
      <c r="A159" s="272" t="s">
        <v>226</v>
      </c>
      <c r="B159" s="172"/>
      <c r="C159" s="274" t="s">
        <v>115</v>
      </c>
      <c r="D159" s="62" t="s">
        <v>255</v>
      </c>
      <c r="E159" s="62" t="s">
        <v>124</v>
      </c>
      <c r="F159" s="279" t="s">
        <v>256</v>
      </c>
      <c r="G159" s="64">
        <v>38660</v>
      </c>
      <c r="H159" s="63">
        <v>38758</v>
      </c>
      <c r="I159" s="65" t="s">
        <v>118</v>
      </c>
      <c r="J159" s="72">
        <v>5456</v>
      </c>
      <c r="K159" s="284">
        <v>1091.2</v>
      </c>
      <c r="L159" s="285">
        <f>+J159+K159</f>
        <v>6547.2</v>
      </c>
      <c r="M159" s="284">
        <v>1250</v>
      </c>
      <c r="N159" s="284"/>
      <c r="O159" s="303">
        <f>+N159+M159</f>
        <v>1250</v>
      </c>
      <c r="P159" s="284">
        <f aca="true" t="shared" si="52" ref="P159:P167">+M159*0.65</f>
        <v>812.5</v>
      </c>
      <c r="Q159" s="284"/>
      <c r="R159" s="303">
        <f>+Q159+P159</f>
        <v>812.5</v>
      </c>
      <c r="S159" s="286"/>
      <c r="T159" s="287"/>
      <c r="U159" s="288"/>
    </row>
    <row r="160" spans="1:21" s="179" customFormat="1" ht="21.75" customHeight="1">
      <c r="A160" s="272" t="s">
        <v>226</v>
      </c>
      <c r="B160" s="172"/>
      <c r="C160" s="274" t="s">
        <v>61</v>
      </c>
      <c r="D160" s="73" t="s">
        <v>261</v>
      </c>
      <c r="E160" s="73" t="s">
        <v>262</v>
      </c>
      <c r="F160" s="279">
        <v>632948</v>
      </c>
      <c r="G160" s="64">
        <v>38610</v>
      </c>
      <c r="H160" s="299">
        <v>38691</v>
      </c>
      <c r="I160" s="65" t="s">
        <v>91</v>
      </c>
      <c r="J160" s="72">
        <v>120.47</v>
      </c>
      <c r="K160" s="72">
        <v>24.09</v>
      </c>
      <c r="L160" s="285">
        <f>SUM(J160:K160)</f>
        <v>144.56</v>
      </c>
      <c r="M160" s="284">
        <v>120.47</v>
      </c>
      <c r="N160" s="284">
        <f>+M160*0.2</f>
        <v>24.094</v>
      </c>
      <c r="O160" s="303">
        <f>+N160+M160</f>
        <v>144.564</v>
      </c>
      <c r="P160" s="284">
        <f t="shared" si="52"/>
        <v>78.3055</v>
      </c>
      <c r="Q160" s="284">
        <f>+N160*0.65</f>
        <v>15.661100000000001</v>
      </c>
      <c r="R160" s="303">
        <f>+Q160+P160</f>
        <v>93.9666</v>
      </c>
      <c r="S160" s="286"/>
      <c r="T160" s="287"/>
      <c r="U160" s="288"/>
    </row>
    <row r="161" spans="1:21" s="179" customFormat="1" ht="21.75" customHeight="1">
      <c r="A161" s="272" t="s">
        <v>226</v>
      </c>
      <c r="B161" s="172"/>
      <c r="C161" s="274" t="s">
        <v>61</v>
      </c>
      <c r="D161" s="73" t="s">
        <v>263</v>
      </c>
      <c r="E161" s="73" t="s">
        <v>262</v>
      </c>
      <c r="F161" s="279">
        <v>707587</v>
      </c>
      <c r="G161" s="64">
        <v>38640</v>
      </c>
      <c r="H161" s="299">
        <v>38695</v>
      </c>
      <c r="I161" s="65" t="s">
        <v>91</v>
      </c>
      <c r="J161" s="72">
        <v>58.98</v>
      </c>
      <c r="K161" s="72">
        <v>11.8</v>
      </c>
      <c r="L161" s="285">
        <f>SUM(J161:K161)</f>
        <v>70.78</v>
      </c>
      <c r="M161" s="284">
        <v>58.98</v>
      </c>
      <c r="N161" s="284">
        <f>+M161*0.2</f>
        <v>11.796</v>
      </c>
      <c r="O161" s="303">
        <f>+N161+M161</f>
        <v>70.776</v>
      </c>
      <c r="P161" s="284">
        <f t="shared" si="52"/>
        <v>38.336999999999996</v>
      </c>
      <c r="Q161" s="284">
        <f>+N161*0.65</f>
        <v>7.6674</v>
      </c>
      <c r="R161" s="303">
        <f>+Q161+P161</f>
        <v>46.0044</v>
      </c>
      <c r="S161" s="286"/>
      <c r="T161" s="287"/>
      <c r="U161" s="288"/>
    </row>
    <row r="162" spans="1:21" s="179" customFormat="1" ht="21.75" customHeight="1">
      <c r="A162" s="272" t="s">
        <v>226</v>
      </c>
      <c r="B162" s="172"/>
      <c r="C162" s="274" t="s">
        <v>50</v>
      </c>
      <c r="D162" s="73" t="s">
        <v>310</v>
      </c>
      <c r="E162" s="73" t="s">
        <v>186</v>
      </c>
      <c r="F162" s="279">
        <v>8400232316</v>
      </c>
      <c r="G162" s="64">
        <v>38742</v>
      </c>
      <c r="H162" s="63">
        <v>38735</v>
      </c>
      <c r="I162" s="63" t="s">
        <v>91</v>
      </c>
      <c r="J162" s="72">
        <v>4080</v>
      </c>
      <c r="K162" s="284">
        <v>816</v>
      </c>
      <c r="L162" s="303">
        <f>J162+K162</f>
        <v>4896</v>
      </c>
      <c r="M162" s="284">
        <v>4080</v>
      </c>
      <c r="N162" s="284"/>
      <c r="O162" s="303">
        <f>+M162+N162</f>
        <v>4080</v>
      </c>
      <c r="P162" s="284">
        <f t="shared" si="52"/>
        <v>2652</v>
      </c>
      <c r="Q162" s="284"/>
      <c r="R162" s="303">
        <f>+P162+Q162</f>
        <v>2652</v>
      </c>
      <c r="S162" s="286"/>
      <c r="T162" s="287"/>
      <c r="U162" s="288"/>
    </row>
    <row r="163" spans="1:21" s="179" customFormat="1" ht="11.25" customHeight="1">
      <c r="A163" s="272" t="s">
        <v>226</v>
      </c>
      <c r="B163" s="172"/>
      <c r="C163" s="274" t="s">
        <v>50</v>
      </c>
      <c r="D163" s="73" t="s">
        <v>311</v>
      </c>
      <c r="E163" s="62" t="s">
        <v>312</v>
      </c>
      <c r="F163" s="279" t="s">
        <v>313</v>
      </c>
      <c r="G163" s="64">
        <v>38659</v>
      </c>
      <c r="H163" s="63">
        <v>38659</v>
      </c>
      <c r="I163" s="63" t="s">
        <v>314</v>
      </c>
      <c r="J163" s="72">
        <v>979</v>
      </c>
      <c r="K163" s="284">
        <v>195.8</v>
      </c>
      <c r="L163" s="303">
        <f>J163+K163</f>
        <v>1174.8</v>
      </c>
      <c r="M163" s="133">
        <v>989</v>
      </c>
      <c r="N163" s="133"/>
      <c r="O163" s="121">
        <f>+M163+N163</f>
        <v>989</v>
      </c>
      <c r="P163" s="133">
        <f t="shared" si="52"/>
        <v>642.85</v>
      </c>
      <c r="Q163" s="133"/>
      <c r="R163" s="303">
        <f>+P163+Q163</f>
        <v>642.85</v>
      </c>
      <c r="S163" s="286"/>
      <c r="T163" s="287"/>
      <c r="U163" s="288"/>
    </row>
    <row r="164" spans="1:21" s="179" customFormat="1" ht="11.25" customHeight="1">
      <c r="A164" s="272" t="s">
        <v>318</v>
      </c>
      <c r="B164" s="172"/>
      <c r="C164" s="274" t="s">
        <v>61</v>
      </c>
      <c r="D164" s="62" t="s">
        <v>327</v>
      </c>
      <c r="E164" s="73" t="s">
        <v>262</v>
      </c>
      <c r="F164" s="73">
        <v>822904</v>
      </c>
      <c r="G164" s="64">
        <v>38671</v>
      </c>
      <c r="H164" s="352">
        <v>38818</v>
      </c>
      <c r="I164" s="63" t="s">
        <v>91</v>
      </c>
      <c r="J164" s="72">
        <v>58.98</v>
      </c>
      <c r="K164" s="72">
        <v>11.8</v>
      </c>
      <c r="L164" s="285">
        <f>SUM(J164:K164)</f>
        <v>70.78</v>
      </c>
      <c r="M164" s="72">
        <v>58.98</v>
      </c>
      <c r="N164" s="72">
        <v>11.8</v>
      </c>
      <c r="O164" s="121">
        <f>+N164+M164</f>
        <v>70.78</v>
      </c>
      <c r="P164" s="284">
        <f t="shared" si="52"/>
        <v>38.336999999999996</v>
      </c>
      <c r="Q164" s="284">
        <f>+N164*0.65</f>
        <v>7.670000000000001</v>
      </c>
      <c r="R164" s="303">
        <f>+Q164+P164</f>
        <v>46.007</v>
      </c>
      <c r="S164" s="286"/>
      <c r="T164" s="287"/>
      <c r="U164" s="288"/>
    </row>
    <row r="165" spans="1:21" s="179" customFormat="1" ht="11.25" customHeight="1">
      <c r="A165" s="272" t="s">
        <v>318</v>
      </c>
      <c r="B165" s="172"/>
      <c r="C165" s="274" t="s">
        <v>61</v>
      </c>
      <c r="D165" s="62" t="s">
        <v>328</v>
      </c>
      <c r="E165" s="73" t="s">
        <v>262</v>
      </c>
      <c r="F165" s="73">
        <v>853623</v>
      </c>
      <c r="G165" s="64">
        <v>38701</v>
      </c>
      <c r="H165" s="352">
        <v>38818</v>
      </c>
      <c r="I165" s="63" t="s">
        <v>91</v>
      </c>
      <c r="J165" s="72">
        <v>60.48</v>
      </c>
      <c r="K165" s="72">
        <v>12.1</v>
      </c>
      <c r="L165" s="285">
        <v>72.58</v>
      </c>
      <c r="M165" s="72">
        <v>60.48</v>
      </c>
      <c r="N165" s="72">
        <v>12.1</v>
      </c>
      <c r="O165" s="121">
        <f>+N165+M165</f>
        <v>72.58</v>
      </c>
      <c r="P165" s="284">
        <f t="shared" si="52"/>
        <v>39.312</v>
      </c>
      <c r="Q165" s="284">
        <f>+N165*0.65</f>
        <v>7.865</v>
      </c>
      <c r="R165" s="303">
        <f>+Q165+P165</f>
        <v>47.177</v>
      </c>
      <c r="S165" s="286"/>
      <c r="T165" s="287"/>
      <c r="U165" s="288"/>
    </row>
    <row r="166" spans="1:21" s="179" customFormat="1" ht="11.25" customHeight="1">
      <c r="A166" s="272" t="s">
        <v>318</v>
      </c>
      <c r="B166" s="172"/>
      <c r="C166" s="274" t="s">
        <v>61</v>
      </c>
      <c r="D166" s="62" t="s">
        <v>329</v>
      </c>
      <c r="E166" s="73" t="s">
        <v>262</v>
      </c>
      <c r="F166" s="73">
        <v>16340</v>
      </c>
      <c r="G166" s="64">
        <v>38732</v>
      </c>
      <c r="H166" s="352">
        <v>38818</v>
      </c>
      <c r="I166" s="63" t="s">
        <v>91</v>
      </c>
      <c r="J166" s="72">
        <v>60.48</v>
      </c>
      <c r="K166" s="72">
        <v>12.1</v>
      </c>
      <c r="L166" s="285">
        <v>72.58</v>
      </c>
      <c r="M166" s="72">
        <v>60.48</v>
      </c>
      <c r="N166" s="72">
        <v>12.1</v>
      </c>
      <c r="O166" s="121">
        <f>+N166+M166</f>
        <v>72.58</v>
      </c>
      <c r="P166" s="284">
        <f t="shared" si="52"/>
        <v>39.312</v>
      </c>
      <c r="Q166" s="284">
        <f>+N166*0.65</f>
        <v>7.865</v>
      </c>
      <c r="R166" s="303">
        <f>+Q166+P166</f>
        <v>47.177</v>
      </c>
      <c r="S166" s="286"/>
      <c r="T166" s="287"/>
      <c r="U166" s="288"/>
    </row>
    <row r="167" spans="1:21" s="179" customFormat="1" ht="11.25" customHeight="1">
      <c r="A167" s="272" t="s">
        <v>318</v>
      </c>
      <c r="B167" s="172"/>
      <c r="C167" s="274" t="s">
        <v>61</v>
      </c>
      <c r="D167" s="62" t="s">
        <v>330</v>
      </c>
      <c r="E167" s="73" t="s">
        <v>262</v>
      </c>
      <c r="F167" s="73">
        <v>89352</v>
      </c>
      <c r="G167" s="64">
        <v>38763</v>
      </c>
      <c r="H167" s="352">
        <v>38818</v>
      </c>
      <c r="I167" s="63" t="s">
        <v>91</v>
      </c>
      <c r="J167" s="72">
        <v>60.48</v>
      </c>
      <c r="K167" s="72">
        <v>12.1</v>
      </c>
      <c r="L167" s="285">
        <v>72.58</v>
      </c>
      <c r="M167" s="72">
        <v>60.48</v>
      </c>
      <c r="N167" s="72">
        <v>12.1</v>
      </c>
      <c r="O167" s="121">
        <f>+N167+M167</f>
        <v>72.58</v>
      </c>
      <c r="P167" s="284">
        <f t="shared" si="52"/>
        <v>39.312</v>
      </c>
      <c r="Q167" s="284">
        <f>+N167*0.65</f>
        <v>7.865</v>
      </c>
      <c r="R167" s="303">
        <f>+Q167+P167</f>
        <v>47.177</v>
      </c>
      <c r="S167" s="286"/>
      <c r="T167" s="287"/>
      <c r="U167" s="288"/>
    </row>
    <row r="168" spans="1:21" ht="11.25">
      <c r="A168" s="50"/>
      <c r="B168" s="8"/>
      <c r="C168" s="9"/>
      <c r="D168" s="9"/>
      <c r="E168" s="9"/>
      <c r="F168" s="9"/>
      <c r="G168" s="10"/>
      <c r="H168" s="11"/>
      <c r="I168" s="11"/>
      <c r="J168" s="12"/>
      <c r="K168" s="12"/>
      <c r="L168" s="93"/>
      <c r="M168" s="12"/>
      <c r="N168" s="12"/>
      <c r="O168" s="93"/>
      <c r="P168" s="12">
        <f>M168*0.5</f>
        <v>0</v>
      </c>
      <c r="Q168" s="12"/>
      <c r="R168" s="93"/>
      <c r="S168" s="440"/>
      <c r="T168" s="440"/>
      <c r="U168" s="19"/>
    </row>
    <row r="169" ht="11.25">
      <c r="U169" s="19"/>
    </row>
    <row r="170" spans="1:21" ht="11.25">
      <c r="A170" s="413" t="s">
        <v>10</v>
      </c>
      <c r="B170" s="416"/>
      <c r="C170" s="416"/>
      <c r="D170" s="416"/>
      <c r="E170" s="416"/>
      <c r="F170" s="416"/>
      <c r="G170" s="416"/>
      <c r="H170" s="416"/>
      <c r="I170" s="416"/>
      <c r="J170" s="416"/>
      <c r="K170" s="416"/>
      <c r="L170" s="417"/>
      <c r="M170" s="81" t="s">
        <v>214</v>
      </c>
      <c r="N170" s="81" t="s">
        <v>215</v>
      </c>
      <c r="O170" s="101" t="s">
        <v>216</v>
      </c>
      <c r="P170" s="81" t="s">
        <v>217</v>
      </c>
      <c r="Q170" s="81" t="s">
        <v>218</v>
      </c>
      <c r="R170" s="101" t="s">
        <v>219</v>
      </c>
      <c r="S170" s="25" t="s">
        <v>25</v>
      </c>
      <c r="T170" s="26" t="s">
        <v>26</v>
      </c>
      <c r="U170" s="19"/>
    </row>
    <row r="171" spans="1:22" ht="11.25">
      <c r="A171" s="394"/>
      <c r="B171" s="395"/>
      <c r="C171" s="398"/>
      <c r="D171" s="399"/>
      <c r="E171" s="399"/>
      <c r="F171" s="399"/>
      <c r="G171" s="399"/>
      <c r="H171" s="399"/>
      <c r="I171" s="399"/>
      <c r="J171" s="399"/>
      <c r="K171" s="400"/>
      <c r="L171" s="97" t="s">
        <v>12</v>
      </c>
      <c r="M171" s="3">
        <f>33.6*1000</f>
        <v>33600</v>
      </c>
      <c r="N171" s="3"/>
      <c r="O171" s="102"/>
      <c r="P171" s="3">
        <f>M171*0.65</f>
        <v>21840</v>
      </c>
      <c r="Q171" s="75"/>
      <c r="R171" s="107"/>
      <c r="S171" s="40"/>
      <c r="T171" s="40"/>
      <c r="U171" s="19"/>
      <c r="V171" s="19"/>
    </row>
    <row r="172" spans="1:22" ht="11.25">
      <c r="A172" s="394"/>
      <c r="B172" s="395"/>
      <c r="C172" s="401"/>
      <c r="D172" s="402"/>
      <c r="E172" s="402"/>
      <c r="F172" s="402"/>
      <c r="G172" s="402"/>
      <c r="H172" s="402"/>
      <c r="I172" s="402"/>
      <c r="J172" s="402"/>
      <c r="K172" s="403"/>
      <c r="L172" s="90" t="s">
        <v>28</v>
      </c>
      <c r="M172" s="4">
        <f aca="true" t="shared" si="53" ref="M172:R172">SUM(M178:M197)</f>
        <v>5210.85</v>
      </c>
      <c r="N172" s="4">
        <f t="shared" si="53"/>
        <v>68.576</v>
      </c>
      <c r="O172" s="103">
        <f t="shared" si="53"/>
        <v>5279.4259999999995</v>
      </c>
      <c r="P172" s="4">
        <f t="shared" si="53"/>
        <v>3387.0525000000007</v>
      </c>
      <c r="Q172" s="4">
        <f t="shared" si="53"/>
        <v>44.5744</v>
      </c>
      <c r="R172" s="103">
        <f t="shared" si="53"/>
        <v>3431.6269000000007</v>
      </c>
      <c r="S172" s="41">
        <f>R172*0.375</f>
        <v>1286.8600875000002</v>
      </c>
      <c r="T172" s="5">
        <f>R172-S172</f>
        <v>2144.7668125000005</v>
      </c>
      <c r="U172" s="19"/>
      <c r="V172" s="19"/>
    </row>
    <row r="173" spans="1:22" ht="11.25">
      <c r="A173" s="394"/>
      <c r="B173" s="395"/>
      <c r="C173" s="35"/>
      <c r="D173" s="34"/>
      <c r="E173" s="34"/>
      <c r="F173" s="34"/>
      <c r="G173" s="34"/>
      <c r="H173" s="34"/>
      <c r="I173" s="34"/>
      <c r="J173" s="34"/>
      <c r="K173" s="36"/>
      <c r="L173" s="90" t="s">
        <v>125</v>
      </c>
      <c r="M173" s="4">
        <f aca="true" t="shared" si="54" ref="M173:R173">M198</f>
        <v>15148.082000000002</v>
      </c>
      <c r="N173" s="4">
        <f t="shared" si="54"/>
        <v>742.2936</v>
      </c>
      <c r="O173" s="103">
        <f t="shared" si="54"/>
        <v>15890.375600000001</v>
      </c>
      <c r="P173" s="4">
        <f t="shared" si="54"/>
        <v>9846.2533</v>
      </c>
      <c r="Q173" s="4">
        <f t="shared" si="54"/>
        <v>482.49084000000005</v>
      </c>
      <c r="R173" s="103">
        <f t="shared" si="54"/>
        <v>10328.74414</v>
      </c>
      <c r="S173" s="41">
        <f>R173*0.375</f>
        <v>3873.2790525</v>
      </c>
      <c r="T173" s="5">
        <f>R173-S173</f>
        <v>6455.465087500001</v>
      </c>
      <c r="U173" s="19"/>
      <c r="V173" s="19"/>
    </row>
    <row r="174" spans="1:21" s="1" customFormat="1" ht="11.25">
      <c r="A174" s="394"/>
      <c r="B174" s="395"/>
      <c r="C174" s="35"/>
      <c r="D174" s="34"/>
      <c r="E174" s="34"/>
      <c r="F174" s="34"/>
      <c r="G174" s="34"/>
      <c r="H174" s="34"/>
      <c r="I174" s="34"/>
      <c r="J174" s="34"/>
      <c r="K174" s="36"/>
      <c r="L174" s="90" t="s">
        <v>222</v>
      </c>
      <c r="M174" s="4">
        <f>SUM(M212:M232)</f>
        <v>6103.745999999999</v>
      </c>
      <c r="N174" s="4">
        <f>SUM(N212:N232)</f>
        <v>-155.43959999999998</v>
      </c>
      <c r="O174" s="103">
        <f>+N174+M174</f>
        <v>5948.3063999999995</v>
      </c>
      <c r="P174" s="4">
        <f>SUM(P212:P232)</f>
        <v>3967.4349</v>
      </c>
      <c r="Q174" s="4">
        <f>SUM(Q212:Q232)</f>
        <v>-101.03574000000006</v>
      </c>
      <c r="R174" s="103">
        <f>+Q174+P174</f>
        <v>3866.39916</v>
      </c>
      <c r="S174" s="41">
        <f>R174*0.375</f>
        <v>1449.8996849999999</v>
      </c>
      <c r="T174" s="5">
        <f>R174-S174</f>
        <v>2416.499475</v>
      </c>
      <c r="U174" s="24"/>
    </row>
    <row r="175" spans="1:21" s="1" customFormat="1" ht="11.25">
      <c r="A175" s="394"/>
      <c r="B175" s="395"/>
      <c r="C175" s="35"/>
      <c r="D175" s="34"/>
      <c r="E175" s="34"/>
      <c r="F175" s="34"/>
      <c r="G175" s="34"/>
      <c r="H175" s="34"/>
      <c r="I175" s="34"/>
      <c r="J175" s="34"/>
      <c r="K175" s="36"/>
      <c r="L175" s="90" t="s">
        <v>322</v>
      </c>
      <c r="M175" s="4">
        <f>SUM(M233:M249)</f>
        <v>10167.973</v>
      </c>
      <c r="N175" s="4">
        <f>SUM(N233:N249)</f>
        <v>439.8450000000001</v>
      </c>
      <c r="O175" s="103">
        <f>+N175+M175</f>
        <v>10607.818</v>
      </c>
      <c r="P175" s="4">
        <f>SUM(P233:P249)</f>
        <v>6609.182449999999</v>
      </c>
      <c r="Q175" s="4">
        <f>SUM(Q233:Q249)</f>
        <v>285.89925</v>
      </c>
      <c r="R175" s="103">
        <f>+Q175+P175</f>
        <v>6895.0817</v>
      </c>
      <c r="S175" s="41">
        <f>R175*0.375</f>
        <v>2585.6556375</v>
      </c>
      <c r="T175" s="5">
        <f>R175-S175</f>
        <v>4309.4260625</v>
      </c>
      <c r="U175" s="24"/>
    </row>
    <row r="176" spans="1:22" ht="11.25">
      <c r="A176" s="396"/>
      <c r="B176" s="397"/>
      <c r="C176" s="404"/>
      <c r="D176" s="405"/>
      <c r="E176" s="405"/>
      <c r="F176" s="405"/>
      <c r="G176" s="405"/>
      <c r="H176" s="405"/>
      <c r="I176" s="405"/>
      <c r="J176" s="405"/>
      <c r="K176" s="406"/>
      <c r="L176" s="91" t="s">
        <v>13</v>
      </c>
      <c r="M176" s="6">
        <f>M171-M172-M173-M174-M175</f>
        <v>-3030.651</v>
      </c>
      <c r="N176" s="6"/>
      <c r="O176" s="104"/>
      <c r="P176" s="6">
        <f>P171-P172-P173-P174-P175</f>
        <v>-1969.9231500000014</v>
      </c>
      <c r="Q176" s="76"/>
      <c r="R176" s="109"/>
      <c r="S176" s="1"/>
      <c r="T176" s="1"/>
      <c r="U176" s="19"/>
      <c r="V176" s="19"/>
    </row>
    <row r="177" spans="1:21" ht="22.5">
      <c r="A177" s="17" t="s">
        <v>14</v>
      </c>
      <c r="B177" s="17" t="s">
        <v>11</v>
      </c>
      <c r="C177" s="47" t="s">
        <v>24</v>
      </c>
      <c r="D177" s="47" t="s">
        <v>20</v>
      </c>
      <c r="E177" s="48" t="s">
        <v>2</v>
      </c>
      <c r="F177" s="47" t="s">
        <v>19</v>
      </c>
      <c r="G177" s="47" t="s">
        <v>18</v>
      </c>
      <c r="H177" s="48" t="s">
        <v>17</v>
      </c>
      <c r="I177" s="48" t="s">
        <v>16</v>
      </c>
      <c r="J177" s="47" t="s">
        <v>3</v>
      </c>
      <c r="K177" s="47" t="s">
        <v>4</v>
      </c>
      <c r="L177" s="99" t="s">
        <v>5</v>
      </c>
      <c r="M177" s="17" t="s">
        <v>21</v>
      </c>
      <c r="N177" s="7" t="s">
        <v>110</v>
      </c>
      <c r="O177" s="92" t="s">
        <v>111</v>
      </c>
      <c r="P177" s="7" t="s">
        <v>22</v>
      </c>
      <c r="Q177" s="7" t="s">
        <v>211</v>
      </c>
      <c r="R177" s="92" t="s">
        <v>212</v>
      </c>
      <c r="S177" s="389" t="s">
        <v>27</v>
      </c>
      <c r="T177" s="389"/>
      <c r="U177" s="19"/>
    </row>
    <row r="178" spans="1:20" s="126" customFormat="1" ht="12" customHeight="1">
      <c r="A178" s="115" t="s">
        <v>15</v>
      </c>
      <c r="B178" s="116"/>
      <c r="C178" s="117" t="s">
        <v>36</v>
      </c>
      <c r="D178" s="117" t="s">
        <v>32</v>
      </c>
      <c r="E178" s="117" t="s">
        <v>39</v>
      </c>
      <c r="F178" s="118">
        <v>2015200625592</v>
      </c>
      <c r="G178" s="119">
        <v>38376</v>
      </c>
      <c r="H178" s="119">
        <v>38414</v>
      </c>
      <c r="I178" s="119" t="s">
        <v>53</v>
      </c>
      <c r="J178" s="120">
        <v>1408.88</v>
      </c>
      <c r="K178" s="120">
        <v>0</v>
      </c>
      <c r="L178" s="121">
        <f aca="true" t="shared" si="55" ref="L178:L183">SUM(J178:K178)</f>
        <v>1408.88</v>
      </c>
      <c r="M178" s="120">
        <f>J178</f>
        <v>1408.88</v>
      </c>
      <c r="N178" s="120"/>
      <c r="O178" s="122">
        <f>SUM(M178:N178)</f>
        <v>1408.88</v>
      </c>
      <c r="P178" s="123">
        <f aca="true" t="shared" si="56" ref="P178:P203">M178*0.65</f>
        <v>915.772</v>
      </c>
      <c r="Q178" s="124"/>
      <c r="R178" s="125">
        <f aca="true" t="shared" si="57" ref="R178:R204">SUM(P178:Q178)</f>
        <v>915.772</v>
      </c>
      <c r="S178" s="439"/>
      <c r="T178" s="439"/>
    </row>
    <row r="179" spans="1:21" s="126" customFormat="1" ht="12" customHeight="1">
      <c r="A179" s="115" t="s">
        <v>15</v>
      </c>
      <c r="B179" s="116"/>
      <c r="C179" s="117" t="s">
        <v>65</v>
      </c>
      <c r="D179" s="117" t="s">
        <v>54</v>
      </c>
      <c r="E179" s="117"/>
      <c r="F179" s="127"/>
      <c r="G179" s="128">
        <v>38493</v>
      </c>
      <c r="H179" s="128" t="s">
        <v>57</v>
      </c>
      <c r="I179" s="119" t="s">
        <v>59</v>
      </c>
      <c r="J179" s="120">
        <v>92.2</v>
      </c>
      <c r="K179" s="120">
        <v>0</v>
      </c>
      <c r="L179" s="121">
        <f t="shared" si="55"/>
        <v>92.2</v>
      </c>
      <c r="M179" s="120">
        <f aca="true" t="shared" si="58" ref="M179:M185">J179</f>
        <v>92.2</v>
      </c>
      <c r="N179" s="123"/>
      <c r="O179" s="121">
        <f>SUM(M179:N179)</f>
        <v>92.2</v>
      </c>
      <c r="P179" s="123">
        <f t="shared" si="56"/>
        <v>59.93000000000001</v>
      </c>
      <c r="Q179" s="123"/>
      <c r="R179" s="125">
        <f t="shared" si="57"/>
        <v>59.93000000000001</v>
      </c>
      <c r="S179" s="441"/>
      <c r="T179" s="441"/>
      <c r="U179" s="129"/>
    </row>
    <row r="180" spans="1:21" s="126" customFormat="1" ht="12" customHeight="1">
      <c r="A180" s="115" t="s">
        <v>15</v>
      </c>
      <c r="B180" s="116"/>
      <c r="C180" s="117" t="s">
        <v>65</v>
      </c>
      <c r="D180" s="117" t="s">
        <v>55</v>
      </c>
      <c r="F180" s="130"/>
      <c r="G180" s="128">
        <v>38433</v>
      </c>
      <c r="H180" s="128" t="s">
        <v>58</v>
      </c>
      <c r="I180" s="119" t="s">
        <v>59</v>
      </c>
      <c r="J180" s="120">
        <v>4</v>
      </c>
      <c r="K180" s="120"/>
      <c r="L180" s="121">
        <f t="shared" si="55"/>
        <v>4</v>
      </c>
      <c r="M180" s="120">
        <f t="shared" si="58"/>
        <v>4</v>
      </c>
      <c r="N180" s="123"/>
      <c r="O180" s="121">
        <f>SUM(M180:N180)</f>
        <v>4</v>
      </c>
      <c r="P180" s="123">
        <f t="shared" si="56"/>
        <v>2.6</v>
      </c>
      <c r="Q180" s="123"/>
      <c r="R180" s="125">
        <f t="shared" si="57"/>
        <v>2.6</v>
      </c>
      <c r="S180" s="355"/>
      <c r="T180" s="355"/>
      <c r="U180" s="132"/>
    </row>
    <row r="181" spans="1:21" s="126" customFormat="1" ht="12" customHeight="1">
      <c r="A181" s="115" t="s">
        <v>15</v>
      </c>
      <c r="B181" s="116"/>
      <c r="C181" s="117" t="s">
        <v>65</v>
      </c>
      <c r="D181" s="117" t="s">
        <v>56</v>
      </c>
      <c r="E181" s="117"/>
      <c r="F181" s="130"/>
      <c r="G181" s="128">
        <v>38442</v>
      </c>
      <c r="H181" s="128">
        <v>38441</v>
      </c>
      <c r="I181" s="128" t="s">
        <v>60</v>
      </c>
      <c r="J181" s="120">
        <v>27.88</v>
      </c>
      <c r="K181" s="120">
        <v>0</v>
      </c>
      <c r="L181" s="121">
        <f t="shared" si="55"/>
        <v>27.88</v>
      </c>
      <c r="M181" s="120">
        <f t="shared" si="58"/>
        <v>27.88</v>
      </c>
      <c r="N181" s="123"/>
      <c r="O181" s="121">
        <f>SUM(M181:N181)</f>
        <v>27.88</v>
      </c>
      <c r="P181" s="123">
        <f t="shared" si="56"/>
        <v>18.122</v>
      </c>
      <c r="Q181" s="123"/>
      <c r="R181" s="125">
        <f t="shared" si="57"/>
        <v>18.122</v>
      </c>
      <c r="S181" s="355"/>
      <c r="T181" s="355"/>
      <c r="U181" s="132"/>
    </row>
    <row r="182" spans="1:21" s="126" customFormat="1" ht="12" customHeight="1">
      <c r="A182" s="115" t="s">
        <v>15</v>
      </c>
      <c r="B182" s="116"/>
      <c r="C182" s="117" t="s">
        <v>65</v>
      </c>
      <c r="D182" s="117" t="s">
        <v>55</v>
      </c>
      <c r="E182" s="117"/>
      <c r="F182" s="130"/>
      <c r="G182" s="128">
        <v>38476</v>
      </c>
      <c r="H182" s="128" t="s">
        <v>57</v>
      </c>
      <c r="I182" s="119" t="s">
        <v>59</v>
      </c>
      <c r="J182" s="120">
        <v>66.14</v>
      </c>
      <c r="K182" s="120"/>
      <c r="L182" s="121">
        <f t="shared" si="55"/>
        <v>66.14</v>
      </c>
      <c r="M182" s="120">
        <f t="shared" si="58"/>
        <v>66.14</v>
      </c>
      <c r="N182" s="133"/>
      <c r="O182" s="121">
        <f>SUM(M182:N182)</f>
        <v>66.14</v>
      </c>
      <c r="P182" s="123">
        <f t="shared" si="56"/>
        <v>42.991</v>
      </c>
      <c r="Q182" s="123"/>
      <c r="R182" s="125">
        <f t="shared" si="57"/>
        <v>42.991</v>
      </c>
      <c r="S182" s="355"/>
      <c r="T182" s="355"/>
      <c r="U182" s="132"/>
    </row>
    <row r="183" spans="1:21" s="126" customFormat="1" ht="12" customHeight="1">
      <c r="A183" s="115" t="s">
        <v>15</v>
      </c>
      <c r="B183" s="116"/>
      <c r="C183" s="117" t="s">
        <v>61</v>
      </c>
      <c r="D183" s="134" t="s">
        <v>66</v>
      </c>
      <c r="E183" s="134" t="s">
        <v>78</v>
      </c>
      <c r="F183" s="135">
        <v>63451014061</v>
      </c>
      <c r="G183" s="136">
        <v>38400</v>
      </c>
      <c r="H183" s="137">
        <v>38434</v>
      </c>
      <c r="I183" s="138" t="s">
        <v>89</v>
      </c>
      <c r="J183" s="139">
        <v>105.59</v>
      </c>
      <c r="K183" s="139">
        <v>9.62</v>
      </c>
      <c r="L183" s="140">
        <f t="shared" si="55"/>
        <v>115.21000000000001</v>
      </c>
      <c r="M183" s="133"/>
      <c r="N183" s="133"/>
      <c r="O183" s="121"/>
      <c r="P183" s="123">
        <f t="shared" si="56"/>
        <v>0</v>
      </c>
      <c r="Q183" s="123"/>
      <c r="R183" s="125">
        <f t="shared" si="57"/>
        <v>0</v>
      </c>
      <c r="S183" s="355" t="s">
        <v>366</v>
      </c>
      <c r="T183" s="355"/>
      <c r="U183" s="132"/>
    </row>
    <row r="184" spans="1:21" s="126" customFormat="1" ht="12" customHeight="1">
      <c r="A184" s="115" t="s">
        <v>15</v>
      </c>
      <c r="B184" s="116"/>
      <c r="C184" s="117" t="s">
        <v>61</v>
      </c>
      <c r="D184" s="134" t="s">
        <v>67</v>
      </c>
      <c r="E184" s="134" t="s">
        <v>79</v>
      </c>
      <c r="F184" s="141">
        <v>1</v>
      </c>
      <c r="G184" s="136">
        <v>38406</v>
      </c>
      <c r="H184" s="137">
        <v>38406</v>
      </c>
      <c r="I184" s="138" t="s">
        <v>90</v>
      </c>
      <c r="J184" s="139">
        <v>201.3</v>
      </c>
      <c r="K184" s="139"/>
      <c r="L184" s="140">
        <v>201.3</v>
      </c>
      <c r="M184" s="120">
        <f t="shared" si="58"/>
        <v>201.3</v>
      </c>
      <c r="N184" s="133"/>
      <c r="O184" s="121">
        <f>SUM(M184:N184)</f>
        <v>201.3</v>
      </c>
      <c r="P184" s="123">
        <f t="shared" si="56"/>
        <v>130.845</v>
      </c>
      <c r="Q184" s="123"/>
      <c r="R184" s="125">
        <f t="shared" si="57"/>
        <v>130.845</v>
      </c>
      <c r="S184" s="355"/>
      <c r="T184" s="355"/>
      <c r="U184" s="142"/>
    </row>
    <row r="185" spans="1:21" s="126" customFormat="1" ht="36.75" customHeight="1">
      <c r="A185" s="115" t="s">
        <v>15</v>
      </c>
      <c r="B185" s="116"/>
      <c r="C185" s="117" t="s">
        <v>61</v>
      </c>
      <c r="D185" s="134" t="s">
        <v>68</v>
      </c>
      <c r="E185" s="134" t="s">
        <v>80</v>
      </c>
      <c r="F185" s="135">
        <v>392386</v>
      </c>
      <c r="G185" s="136">
        <v>38411</v>
      </c>
      <c r="H185" s="137">
        <v>38478</v>
      </c>
      <c r="I185" s="138" t="s">
        <v>91</v>
      </c>
      <c r="J185" s="139">
        <f>23.73+280*0.6+2.02</f>
        <v>193.75</v>
      </c>
      <c r="K185" s="139">
        <f>+J185*0.2</f>
        <v>38.75</v>
      </c>
      <c r="L185" s="140">
        <f aca="true" t="shared" si="59" ref="L185:L190">SUM(J185:K185)</f>
        <v>232.5</v>
      </c>
      <c r="M185" s="120">
        <f t="shared" si="58"/>
        <v>193.75</v>
      </c>
      <c r="N185" s="139">
        <f>+M185*0.2</f>
        <v>38.75</v>
      </c>
      <c r="O185" s="140">
        <f>SUM(M185:N185)</f>
        <v>232.5</v>
      </c>
      <c r="P185" s="123">
        <f t="shared" si="56"/>
        <v>125.9375</v>
      </c>
      <c r="Q185" s="139">
        <f>+P185*0.2</f>
        <v>25.1875</v>
      </c>
      <c r="R185" s="125">
        <f t="shared" si="57"/>
        <v>151.125</v>
      </c>
      <c r="S185" s="355" t="s">
        <v>243</v>
      </c>
      <c r="T185" s="355"/>
      <c r="U185" s="142"/>
    </row>
    <row r="186" spans="1:21" s="126" customFormat="1" ht="12" customHeight="1">
      <c r="A186" s="115" t="s">
        <v>15</v>
      </c>
      <c r="B186" s="116"/>
      <c r="C186" s="117" t="s">
        <v>61</v>
      </c>
      <c r="D186" s="143" t="s">
        <v>69</v>
      </c>
      <c r="E186" s="134" t="s">
        <v>81</v>
      </c>
      <c r="F186" s="135">
        <v>464</v>
      </c>
      <c r="G186" s="136">
        <v>38436</v>
      </c>
      <c r="H186" s="137">
        <v>38436</v>
      </c>
      <c r="I186" s="138" t="s">
        <v>92</v>
      </c>
      <c r="J186" s="139">
        <v>41</v>
      </c>
      <c r="K186" s="139">
        <v>8.2</v>
      </c>
      <c r="L186" s="140">
        <f t="shared" si="59"/>
        <v>49.2</v>
      </c>
      <c r="M186" s="133"/>
      <c r="N186" s="133"/>
      <c r="O186" s="121"/>
      <c r="P186" s="123">
        <f t="shared" si="56"/>
        <v>0</v>
      </c>
      <c r="Q186" s="144"/>
      <c r="R186" s="125">
        <f t="shared" si="57"/>
        <v>0</v>
      </c>
      <c r="S186" s="374" t="s">
        <v>93</v>
      </c>
      <c r="T186" s="375"/>
      <c r="U186" s="132"/>
    </row>
    <row r="187" spans="1:21" s="126" customFormat="1" ht="12" customHeight="1">
      <c r="A187" s="115" t="s">
        <v>15</v>
      </c>
      <c r="B187" s="116"/>
      <c r="C187" s="117" t="s">
        <v>61</v>
      </c>
      <c r="D187" s="143" t="s">
        <v>69</v>
      </c>
      <c r="E187" s="134" t="s">
        <v>82</v>
      </c>
      <c r="F187" s="135">
        <v>94</v>
      </c>
      <c r="G187" s="136">
        <v>38441</v>
      </c>
      <c r="H187" s="136">
        <v>38441</v>
      </c>
      <c r="I187" s="138" t="s">
        <v>92</v>
      </c>
      <c r="J187" s="139">
        <v>11.5</v>
      </c>
      <c r="K187" s="139">
        <v>2.3</v>
      </c>
      <c r="L187" s="140">
        <f t="shared" si="59"/>
        <v>13.8</v>
      </c>
      <c r="M187" s="133"/>
      <c r="N187" s="133"/>
      <c r="O187" s="121"/>
      <c r="P187" s="123">
        <f t="shared" si="56"/>
        <v>0</v>
      </c>
      <c r="Q187" s="145"/>
      <c r="R187" s="125">
        <f t="shared" si="57"/>
        <v>0</v>
      </c>
      <c r="S187" s="376"/>
      <c r="T187" s="377"/>
      <c r="U187" s="132"/>
    </row>
    <row r="188" spans="1:21" s="126" customFormat="1" ht="12" customHeight="1">
      <c r="A188" s="115" t="s">
        <v>15</v>
      </c>
      <c r="B188" s="116"/>
      <c r="C188" s="117" t="s">
        <v>61</v>
      </c>
      <c r="D188" s="143" t="s">
        <v>70</v>
      </c>
      <c r="E188" s="134" t="s">
        <v>83</v>
      </c>
      <c r="F188" s="135">
        <v>343</v>
      </c>
      <c r="G188" s="136">
        <v>38442</v>
      </c>
      <c r="H188" s="137">
        <v>38434</v>
      </c>
      <c r="I188" s="138" t="s">
        <v>91</v>
      </c>
      <c r="J188" s="139">
        <f>109.5+125.17</f>
        <v>234.67000000000002</v>
      </c>
      <c r="K188" s="139">
        <v>21.9</v>
      </c>
      <c r="L188" s="140">
        <f t="shared" si="59"/>
        <v>256.57</v>
      </c>
      <c r="M188" s="133">
        <v>0</v>
      </c>
      <c r="N188" s="133"/>
      <c r="O188" s="121"/>
      <c r="P188" s="123">
        <f t="shared" si="56"/>
        <v>0</v>
      </c>
      <c r="Q188" s="145"/>
      <c r="R188" s="125">
        <f t="shared" si="57"/>
        <v>0</v>
      </c>
      <c r="S188" s="376"/>
      <c r="T188" s="377"/>
      <c r="U188" s="132"/>
    </row>
    <row r="189" spans="1:21" s="126" customFormat="1" ht="12" customHeight="1">
      <c r="A189" s="115" t="s">
        <v>15</v>
      </c>
      <c r="B189" s="116"/>
      <c r="C189" s="117" t="s">
        <v>61</v>
      </c>
      <c r="D189" s="143" t="s">
        <v>69</v>
      </c>
      <c r="E189" s="134" t="s">
        <v>84</v>
      </c>
      <c r="F189" s="135">
        <v>29</v>
      </c>
      <c r="G189" s="136">
        <v>38448</v>
      </c>
      <c r="H189" s="137">
        <v>38448</v>
      </c>
      <c r="I189" s="138" t="s">
        <v>92</v>
      </c>
      <c r="J189" s="139">
        <v>12.55</v>
      </c>
      <c r="K189" s="139">
        <v>2.5</v>
      </c>
      <c r="L189" s="140">
        <f t="shared" si="59"/>
        <v>15.05</v>
      </c>
      <c r="M189" s="133"/>
      <c r="N189" s="133"/>
      <c r="O189" s="121"/>
      <c r="P189" s="123">
        <f t="shared" si="56"/>
        <v>0</v>
      </c>
      <c r="Q189" s="145"/>
      <c r="R189" s="125">
        <f t="shared" si="57"/>
        <v>0</v>
      </c>
      <c r="S189" s="378"/>
      <c r="T189" s="379"/>
      <c r="U189" s="132"/>
    </row>
    <row r="190" spans="1:20" s="126" customFormat="1" ht="44.25" customHeight="1">
      <c r="A190" s="115" t="s">
        <v>15</v>
      </c>
      <c r="B190" s="116"/>
      <c r="C190" s="117" t="s">
        <v>61</v>
      </c>
      <c r="D190" s="134" t="s">
        <v>66</v>
      </c>
      <c r="E190" s="134" t="s">
        <v>78</v>
      </c>
      <c r="F190" s="135">
        <v>63451014062</v>
      </c>
      <c r="G190" s="136">
        <v>38460</v>
      </c>
      <c r="H190" s="137">
        <v>38483</v>
      </c>
      <c r="I190" s="138" t="s">
        <v>89</v>
      </c>
      <c r="J190" s="139">
        <f>8.65+4.47+25.74+13.5+4.39+2.3+5.83+71.22-0.16+13.19</f>
        <v>149.13</v>
      </c>
      <c r="K190" s="139">
        <f>+J190*0.2</f>
        <v>29.826</v>
      </c>
      <c r="L190" s="140">
        <f t="shared" si="59"/>
        <v>178.956</v>
      </c>
      <c r="M190" s="371">
        <f>8.65+4.47+25.74+13.5+4.39+2.3+5.83+71.22-0.16+13.19</f>
        <v>149.13</v>
      </c>
      <c r="N190" s="139">
        <f>+M190*0.2</f>
        <v>29.826</v>
      </c>
      <c r="O190" s="140">
        <f>SUM(M190:N190)</f>
        <v>178.956</v>
      </c>
      <c r="P190" s="123">
        <f t="shared" si="56"/>
        <v>96.9345</v>
      </c>
      <c r="Q190" s="123">
        <f>N190*0.65</f>
        <v>19.3869</v>
      </c>
      <c r="R190" s="125">
        <f t="shared" si="57"/>
        <v>116.3214</v>
      </c>
      <c r="S190" s="367" t="s">
        <v>244</v>
      </c>
      <c r="T190" s="368"/>
    </row>
    <row r="191" spans="1:20" s="126" customFormat="1" ht="12" customHeight="1">
      <c r="A191" s="115" t="s">
        <v>15</v>
      </c>
      <c r="B191" s="116"/>
      <c r="C191" s="117" t="s">
        <v>61</v>
      </c>
      <c r="D191" s="134" t="s">
        <v>71</v>
      </c>
      <c r="E191" s="134" t="s">
        <v>79</v>
      </c>
      <c r="F191" s="135">
        <v>2</v>
      </c>
      <c r="G191" s="136">
        <v>38451</v>
      </c>
      <c r="H191" s="137">
        <v>38451</v>
      </c>
      <c r="I191" s="138" t="s">
        <v>90</v>
      </c>
      <c r="J191" s="139">
        <v>320</v>
      </c>
      <c r="K191" s="139"/>
      <c r="L191" s="140">
        <v>320</v>
      </c>
      <c r="M191" s="133">
        <f>90+90*0.6+180*0.6</f>
        <v>252</v>
      </c>
      <c r="N191" s="133"/>
      <c r="O191" s="121">
        <f>SUM(M191:N191)</f>
        <v>252</v>
      </c>
      <c r="P191" s="123">
        <f t="shared" si="56"/>
        <v>163.8</v>
      </c>
      <c r="Q191" s="145"/>
      <c r="R191" s="125">
        <f t="shared" si="57"/>
        <v>163.8</v>
      </c>
      <c r="S191" s="367" t="s">
        <v>98</v>
      </c>
      <c r="T191" s="368"/>
    </row>
    <row r="192" spans="1:20" s="126" customFormat="1" ht="12" customHeight="1">
      <c r="A192" s="115" t="s">
        <v>15</v>
      </c>
      <c r="B192" s="116"/>
      <c r="C192" s="117" t="s">
        <v>61</v>
      </c>
      <c r="D192" s="134" t="s">
        <v>72</v>
      </c>
      <c r="E192" s="134" t="s">
        <v>85</v>
      </c>
      <c r="F192" s="141" t="s">
        <v>87</v>
      </c>
      <c r="G192" s="136">
        <v>38477</v>
      </c>
      <c r="H192" s="137">
        <v>38477</v>
      </c>
      <c r="I192" s="138" t="s">
        <v>92</v>
      </c>
      <c r="J192" s="139">
        <v>11</v>
      </c>
      <c r="K192" s="139"/>
      <c r="L192" s="140">
        <v>11</v>
      </c>
      <c r="M192" s="133"/>
      <c r="N192" s="133"/>
      <c r="O192" s="121"/>
      <c r="P192" s="123">
        <f t="shared" si="56"/>
        <v>0</v>
      </c>
      <c r="Q192" s="145"/>
      <c r="R192" s="125">
        <f t="shared" si="57"/>
        <v>0</v>
      </c>
      <c r="S192" s="367" t="s">
        <v>93</v>
      </c>
      <c r="T192" s="368"/>
    </row>
    <row r="193" spans="1:20" s="126" customFormat="1" ht="12" customHeight="1">
      <c r="A193" s="115" t="s">
        <v>15</v>
      </c>
      <c r="B193" s="116"/>
      <c r="C193" s="117" t="s">
        <v>61</v>
      </c>
      <c r="D193" s="134" t="s">
        <v>73</v>
      </c>
      <c r="E193" s="134" t="s">
        <v>86</v>
      </c>
      <c r="F193" s="135"/>
      <c r="G193" s="136">
        <v>38496</v>
      </c>
      <c r="H193" s="137">
        <v>38496</v>
      </c>
      <c r="I193" s="138" t="s">
        <v>90</v>
      </c>
      <c r="J193" s="139">
        <v>1860</v>
      </c>
      <c r="K193" s="139"/>
      <c r="L193" s="140">
        <f>J193</f>
        <v>1860</v>
      </c>
      <c r="M193" s="133">
        <f>620+310+310*0.6+620*0.6</f>
        <v>1488</v>
      </c>
      <c r="N193" s="133"/>
      <c r="O193" s="121">
        <f>SUM(M193:N193)</f>
        <v>1488</v>
      </c>
      <c r="P193" s="123">
        <f t="shared" si="56"/>
        <v>967.2</v>
      </c>
      <c r="Q193" s="123"/>
      <c r="R193" s="125">
        <f t="shared" si="57"/>
        <v>967.2</v>
      </c>
      <c r="S193" s="356" t="s">
        <v>98</v>
      </c>
      <c r="T193" s="357"/>
    </row>
    <row r="194" spans="1:20" s="126" customFormat="1" ht="12" customHeight="1">
      <c r="A194" s="115" t="s">
        <v>15</v>
      </c>
      <c r="B194" s="116"/>
      <c r="C194" s="117" t="s">
        <v>61</v>
      </c>
      <c r="D194" s="134" t="s">
        <v>74</v>
      </c>
      <c r="E194" s="134" t="s">
        <v>86</v>
      </c>
      <c r="F194" s="135"/>
      <c r="G194" s="136">
        <v>38474</v>
      </c>
      <c r="H194" s="137">
        <v>38474</v>
      </c>
      <c r="I194" s="138" t="s">
        <v>90</v>
      </c>
      <c r="J194" s="139">
        <v>620</v>
      </c>
      <c r="K194" s="139"/>
      <c r="L194" s="140">
        <f>J194</f>
        <v>620</v>
      </c>
      <c r="M194" s="133">
        <f>L194*0.6</f>
        <v>372</v>
      </c>
      <c r="N194" s="133"/>
      <c r="O194" s="121">
        <f>SUM(M194:N194)</f>
        <v>372</v>
      </c>
      <c r="P194" s="123">
        <f t="shared" si="56"/>
        <v>241.8</v>
      </c>
      <c r="Q194" s="123"/>
      <c r="R194" s="125">
        <f t="shared" si="57"/>
        <v>241.8</v>
      </c>
      <c r="S194" s="358"/>
      <c r="T194" s="359"/>
    </row>
    <row r="195" spans="1:20" s="126" customFormat="1" ht="12" customHeight="1">
      <c r="A195" s="115" t="s">
        <v>15</v>
      </c>
      <c r="B195" s="116"/>
      <c r="C195" s="117" t="s">
        <v>61</v>
      </c>
      <c r="D195" s="134" t="s">
        <v>75</v>
      </c>
      <c r="E195" s="134" t="s">
        <v>86</v>
      </c>
      <c r="F195" s="135"/>
      <c r="G195" s="136">
        <v>38496</v>
      </c>
      <c r="H195" s="137">
        <v>38496</v>
      </c>
      <c r="I195" s="138" t="s">
        <v>90</v>
      </c>
      <c r="J195" s="139">
        <v>620</v>
      </c>
      <c r="K195" s="139"/>
      <c r="L195" s="140">
        <f>J195</f>
        <v>620</v>
      </c>
      <c r="M195" s="133">
        <f>L195*0.6</f>
        <v>372</v>
      </c>
      <c r="N195" s="133"/>
      <c r="O195" s="121">
        <f>SUM(M195:N195)</f>
        <v>372</v>
      </c>
      <c r="P195" s="123">
        <f t="shared" si="56"/>
        <v>241.8</v>
      </c>
      <c r="Q195" s="123"/>
      <c r="R195" s="125">
        <f t="shared" si="57"/>
        <v>241.8</v>
      </c>
      <c r="S195" s="358"/>
      <c r="T195" s="359"/>
    </row>
    <row r="196" spans="1:20" s="126" customFormat="1" ht="12" customHeight="1">
      <c r="A196" s="115" t="s">
        <v>15</v>
      </c>
      <c r="B196" s="116"/>
      <c r="C196" s="117" t="s">
        <v>61</v>
      </c>
      <c r="D196" s="134" t="s">
        <v>76</v>
      </c>
      <c r="E196" s="134" t="s">
        <v>79</v>
      </c>
      <c r="F196" s="135">
        <v>3</v>
      </c>
      <c r="G196" s="136">
        <v>38496</v>
      </c>
      <c r="H196" s="137">
        <v>38496</v>
      </c>
      <c r="I196" s="138" t="s">
        <v>90</v>
      </c>
      <c r="J196" s="139">
        <v>320</v>
      </c>
      <c r="K196" s="139"/>
      <c r="L196" s="140">
        <f>J196</f>
        <v>320</v>
      </c>
      <c r="M196" s="133">
        <f>L196*0.6</f>
        <v>192</v>
      </c>
      <c r="N196" s="133"/>
      <c r="O196" s="121">
        <f>SUM(M196:N196)</f>
        <v>192</v>
      </c>
      <c r="P196" s="123">
        <f t="shared" si="56"/>
        <v>124.80000000000001</v>
      </c>
      <c r="Q196" s="123"/>
      <c r="R196" s="125">
        <f t="shared" si="57"/>
        <v>124.80000000000001</v>
      </c>
      <c r="S196" s="360"/>
      <c r="T196" s="361"/>
    </row>
    <row r="197" spans="1:20" s="126" customFormat="1" ht="36" customHeight="1">
      <c r="A197" s="115" t="s">
        <v>15</v>
      </c>
      <c r="B197" s="116"/>
      <c r="C197" s="117" t="s">
        <v>61</v>
      </c>
      <c r="D197" s="146" t="s">
        <v>77</v>
      </c>
      <c r="E197" s="134" t="s">
        <v>62</v>
      </c>
      <c r="F197" s="136" t="s">
        <v>88</v>
      </c>
      <c r="G197" s="136">
        <v>38410</v>
      </c>
      <c r="H197" s="137">
        <v>38496</v>
      </c>
      <c r="I197" s="138" t="s">
        <v>90</v>
      </c>
      <c r="J197" s="139">
        <v>391.57</v>
      </c>
      <c r="K197" s="139"/>
      <c r="L197" s="140">
        <f>J197</f>
        <v>391.57</v>
      </c>
      <c r="M197" s="133">
        <f>L197</f>
        <v>391.57</v>
      </c>
      <c r="N197" s="147"/>
      <c r="O197" s="125">
        <f>SUM(M197:N197)</f>
        <v>391.57</v>
      </c>
      <c r="P197" s="145">
        <f t="shared" si="56"/>
        <v>254.5205</v>
      </c>
      <c r="Q197" s="145"/>
      <c r="R197" s="125">
        <f t="shared" si="57"/>
        <v>254.5205</v>
      </c>
      <c r="S197" s="365" t="s">
        <v>96</v>
      </c>
      <c r="T197" s="366"/>
    </row>
    <row r="198" spans="1:20" s="214" customFormat="1" ht="12" customHeight="1">
      <c r="A198" s="206" t="s">
        <v>100</v>
      </c>
      <c r="B198" s="207"/>
      <c r="C198" s="209" t="s">
        <v>237</v>
      </c>
      <c r="D198" s="228"/>
      <c r="E198" s="229"/>
      <c r="F198" s="230"/>
      <c r="G198" s="230"/>
      <c r="H198" s="231"/>
      <c r="I198" s="232"/>
      <c r="J198" s="233"/>
      <c r="K198" s="233"/>
      <c r="L198" s="140"/>
      <c r="M198" s="234">
        <v>15148.082000000002</v>
      </c>
      <c r="N198" s="235">
        <v>742.2936</v>
      </c>
      <c r="O198" s="227">
        <v>15890.375600000001</v>
      </c>
      <c r="P198" s="235">
        <v>9846.2533</v>
      </c>
      <c r="Q198" s="235">
        <v>482.49084000000005</v>
      </c>
      <c r="R198" s="227">
        <v>10328.74414</v>
      </c>
      <c r="S198" s="236" t="s">
        <v>240</v>
      </c>
      <c r="T198" s="237"/>
    </row>
    <row r="199" spans="1:20" s="126" customFormat="1" ht="11.25" customHeight="1">
      <c r="A199" s="115" t="s">
        <v>100</v>
      </c>
      <c r="B199" s="116"/>
      <c r="C199" s="117" t="s">
        <v>61</v>
      </c>
      <c r="D199" s="146" t="s">
        <v>149</v>
      </c>
      <c r="E199" s="134" t="s">
        <v>158</v>
      </c>
      <c r="F199" s="148">
        <v>1014064</v>
      </c>
      <c r="G199" s="137">
        <v>38582</v>
      </c>
      <c r="H199" s="149">
        <v>38602</v>
      </c>
      <c r="I199" s="137" t="s">
        <v>159</v>
      </c>
      <c r="J199" s="150">
        <v>155.03</v>
      </c>
      <c r="K199" s="150">
        <f>J199*0.2</f>
        <v>31.006</v>
      </c>
      <c r="L199" s="140">
        <f>SUM(J199:K199)</f>
        <v>186.036</v>
      </c>
      <c r="M199" s="133">
        <f>J199*0.6</f>
        <v>93.018</v>
      </c>
      <c r="N199" s="147"/>
      <c r="O199" s="125">
        <f aca="true" t="shared" si="60" ref="O199:O207">SUM(M199:N199)</f>
        <v>93.018</v>
      </c>
      <c r="P199" s="123">
        <f t="shared" si="56"/>
        <v>60.4617</v>
      </c>
      <c r="Q199" s="145">
        <f>N199*0.65</f>
        <v>0</v>
      </c>
      <c r="R199" s="125">
        <f t="shared" si="57"/>
        <v>60.4617</v>
      </c>
      <c r="S199" s="367"/>
      <c r="T199" s="368"/>
    </row>
    <row r="200" spans="1:20" s="126" customFormat="1" ht="62.25" customHeight="1">
      <c r="A200" s="115" t="s">
        <v>100</v>
      </c>
      <c r="B200" s="116"/>
      <c r="C200" s="117" t="s">
        <v>61</v>
      </c>
      <c r="D200" s="146" t="s">
        <v>150</v>
      </c>
      <c r="E200" s="134" t="s">
        <v>160</v>
      </c>
      <c r="F200" s="151">
        <v>556</v>
      </c>
      <c r="G200" s="137">
        <v>38538</v>
      </c>
      <c r="H200" s="137">
        <v>38567</v>
      </c>
      <c r="I200" s="137" t="s">
        <v>134</v>
      </c>
      <c r="J200" s="150">
        <v>320</v>
      </c>
      <c r="K200" s="150"/>
      <c r="L200" s="140">
        <f aca="true" t="shared" si="61" ref="L200:L207">SUM(J200:K200)</f>
        <v>320</v>
      </c>
      <c r="M200" s="133">
        <f>J200*0.6</f>
        <v>192</v>
      </c>
      <c r="N200" s="147"/>
      <c r="O200" s="125">
        <f t="shared" si="60"/>
        <v>192</v>
      </c>
      <c r="P200" s="123">
        <f t="shared" si="56"/>
        <v>124.80000000000001</v>
      </c>
      <c r="Q200" s="145">
        <f>N200*0.65</f>
        <v>0</v>
      </c>
      <c r="R200" s="125">
        <f t="shared" si="57"/>
        <v>124.80000000000001</v>
      </c>
      <c r="S200" s="367" t="s">
        <v>291</v>
      </c>
      <c r="T200" s="368"/>
    </row>
    <row r="201" spans="1:20" s="126" customFormat="1" ht="109.5" customHeight="1">
      <c r="A201" s="115" t="s">
        <v>100</v>
      </c>
      <c r="B201" s="116"/>
      <c r="C201" s="117" t="s">
        <v>61</v>
      </c>
      <c r="D201" s="146" t="s">
        <v>151</v>
      </c>
      <c r="E201" s="134" t="s">
        <v>133</v>
      </c>
      <c r="F201" s="152">
        <v>8</v>
      </c>
      <c r="G201" s="137">
        <v>38558</v>
      </c>
      <c r="H201" s="137">
        <v>38566</v>
      </c>
      <c r="I201" s="137" t="s">
        <v>134</v>
      </c>
      <c r="J201" s="150">
        <v>2100</v>
      </c>
      <c r="K201" s="150">
        <f>J201*0.2</f>
        <v>420</v>
      </c>
      <c r="L201" s="140">
        <f t="shared" si="61"/>
        <v>2520</v>
      </c>
      <c r="M201" s="150"/>
      <c r="N201" s="150">
        <f>M201*0.2</f>
        <v>0</v>
      </c>
      <c r="O201" s="140">
        <f t="shared" si="60"/>
        <v>0</v>
      </c>
      <c r="P201" s="123">
        <f t="shared" si="56"/>
        <v>0</v>
      </c>
      <c r="Q201" s="145">
        <f>N201*0.65</f>
        <v>0</v>
      </c>
      <c r="R201" s="125">
        <f t="shared" si="57"/>
        <v>0</v>
      </c>
      <c r="S201" s="367" t="s">
        <v>227</v>
      </c>
      <c r="T201" s="368"/>
    </row>
    <row r="202" spans="1:20" s="126" customFormat="1" ht="30" customHeight="1">
      <c r="A202" s="115" t="s">
        <v>100</v>
      </c>
      <c r="B202" s="116"/>
      <c r="C202" s="117" t="s">
        <v>61</v>
      </c>
      <c r="D202" s="146" t="s">
        <v>152</v>
      </c>
      <c r="E202" s="134" t="s">
        <v>161</v>
      </c>
      <c r="F202" s="148">
        <v>1379656</v>
      </c>
      <c r="G202" s="137">
        <v>38533</v>
      </c>
      <c r="H202" s="149">
        <v>38565</v>
      </c>
      <c r="I202" s="137" t="s">
        <v>159</v>
      </c>
      <c r="J202" s="150">
        <v>683.78</v>
      </c>
      <c r="K202" s="150">
        <f>J202*0.2</f>
        <v>136.756</v>
      </c>
      <c r="L202" s="140">
        <f t="shared" si="61"/>
        <v>820.536</v>
      </c>
      <c r="M202" s="150">
        <f>683.78*0.6</f>
        <v>410.268</v>
      </c>
      <c r="N202" s="150"/>
      <c r="O202" s="140">
        <f t="shared" si="60"/>
        <v>410.268</v>
      </c>
      <c r="P202" s="123">
        <f t="shared" si="56"/>
        <v>266.6742</v>
      </c>
      <c r="Q202" s="145">
        <f>N202*0.65</f>
        <v>0</v>
      </c>
      <c r="R202" s="125">
        <f t="shared" si="57"/>
        <v>266.6742</v>
      </c>
      <c r="S202" s="367" t="s">
        <v>228</v>
      </c>
      <c r="T202" s="368"/>
    </row>
    <row r="203" spans="1:20" s="126" customFormat="1" ht="30" customHeight="1">
      <c r="A203" s="115" t="s">
        <v>100</v>
      </c>
      <c r="B203" s="116"/>
      <c r="C203" s="117" t="s">
        <v>61</v>
      </c>
      <c r="D203" s="146" t="s">
        <v>153</v>
      </c>
      <c r="E203" s="134" t="s">
        <v>158</v>
      </c>
      <c r="F203" s="148">
        <v>1014063</v>
      </c>
      <c r="G203" s="137">
        <v>38523</v>
      </c>
      <c r="H203" s="149">
        <v>38544</v>
      </c>
      <c r="I203" s="137" t="s">
        <v>159</v>
      </c>
      <c r="J203" s="150">
        <v>138.4</v>
      </c>
      <c r="K203" s="150">
        <f>J203*0.2</f>
        <v>27.680000000000003</v>
      </c>
      <c r="L203" s="140">
        <f t="shared" si="61"/>
        <v>166.08</v>
      </c>
      <c r="M203" s="133">
        <f>J203*0.6</f>
        <v>83.04</v>
      </c>
      <c r="N203" s="147"/>
      <c r="O203" s="125">
        <f t="shared" si="60"/>
        <v>83.04</v>
      </c>
      <c r="P203" s="123">
        <f t="shared" si="56"/>
        <v>53.976000000000006</v>
      </c>
      <c r="Q203" s="145">
        <f>N203*0.65</f>
        <v>0</v>
      </c>
      <c r="R203" s="125">
        <f t="shared" si="57"/>
        <v>53.976000000000006</v>
      </c>
      <c r="S203" s="387"/>
      <c r="T203" s="388"/>
    </row>
    <row r="204" spans="1:20" s="126" customFormat="1" ht="30" customHeight="1">
      <c r="A204" s="115" t="s">
        <v>100</v>
      </c>
      <c r="B204" s="116"/>
      <c r="C204" s="117" t="s">
        <v>61</v>
      </c>
      <c r="D204" s="146" t="s">
        <v>154</v>
      </c>
      <c r="E204" s="134" t="s">
        <v>161</v>
      </c>
      <c r="F204" s="148">
        <v>869325</v>
      </c>
      <c r="G204" s="137">
        <v>38472</v>
      </c>
      <c r="H204" s="137">
        <v>38502</v>
      </c>
      <c r="I204" s="137" t="s">
        <v>159</v>
      </c>
      <c r="J204" s="150">
        <v>751.63</v>
      </c>
      <c r="K204" s="150">
        <f>J204*0.2</f>
        <v>150.326</v>
      </c>
      <c r="L204" s="140">
        <f t="shared" si="61"/>
        <v>901.956</v>
      </c>
      <c r="M204" s="150">
        <f>751.63*0.6</f>
        <v>450.978</v>
      </c>
      <c r="N204" s="150"/>
      <c r="O204" s="140">
        <f t="shared" si="60"/>
        <v>450.978</v>
      </c>
      <c r="P204" s="123">
        <f aca="true" t="shared" si="62" ref="P204:P210">M204*0.65</f>
        <v>293.13570000000004</v>
      </c>
      <c r="Q204" s="145">
        <f aca="true" t="shared" si="63" ref="Q204:Q210">N204*0.65</f>
        <v>0</v>
      </c>
      <c r="R204" s="125">
        <f t="shared" si="57"/>
        <v>293.13570000000004</v>
      </c>
      <c r="S204" s="367" t="s">
        <v>228</v>
      </c>
      <c r="T204" s="368"/>
    </row>
    <row r="205" spans="1:20" s="126" customFormat="1" ht="47.25" customHeight="1">
      <c r="A205" s="115" t="s">
        <v>100</v>
      </c>
      <c r="B205" s="116"/>
      <c r="C205" s="117" t="s">
        <v>61</v>
      </c>
      <c r="D205" s="146" t="s">
        <v>155</v>
      </c>
      <c r="E205" s="134" t="s">
        <v>162</v>
      </c>
      <c r="F205" s="148"/>
      <c r="G205" s="137">
        <v>38619</v>
      </c>
      <c r="H205" s="149">
        <v>38619</v>
      </c>
      <c r="I205" s="137" t="s">
        <v>134</v>
      </c>
      <c r="J205" s="150">
        <f>620*2</f>
        <v>1240</v>
      </c>
      <c r="K205" s="153"/>
      <c r="L205" s="140">
        <f t="shared" si="61"/>
        <v>1240</v>
      </c>
      <c r="M205" s="133">
        <f>J205*0.6</f>
        <v>744</v>
      </c>
      <c r="N205" s="147"/>
      <c r="O205" s="125">
        <f t="shared" si="60"/>
        <v>744</v>
      </c>
      <c r="P205" s="123">
        <f t="shared" si="62"/>
        <v>483.6</v>
      </c>
      <c r="Q205" s="145">
        <f t="shared" si="63"/>
        <v>0</v>
      </c>
      <c r="R205" s="125">
        <f>SUM(P205:Q205)</f>
        <v>483.6</v>
      </c>
      <c r="S205" s="367" t="s">
        <v>229</v>
      </c>
      <c r="T205" s="368"/>
    </row>
    <row r="206" spans="1:20" s="126" customFormat="1" ht="30" customHeight="1">
      <c r="A206" s="115" t="s">
        <v>100</v>
      </c>
      <c r="B206" s="116"/>
      <c r="C206" s="117" t="s">
        <v>61</v>
      </c>
      <c r="D206" s="146" t="s">
        <v>156</v>
      </c>
      <c r="E206" s="134" t="s">
        <v>62</v>
      </c>
      <c r="F206" s="137" t="s">
        <v>163</v>
      </c>
      <c r="G206" s="154"/>
      <c r="H206" s="149">
        <v>38617</v>
      </c>
      <c r="I206" s="137" t="s">
        <v>134</v>
      </c>
      <c r="J206" s="150">
        <v>753.48</v>
      </c>
      <c r="K206" s="153"/>
      <c r="L206" s="140">
        <f t="shared" si="61"/>
        <v>753.48</v>
      </c>
      <c r="M206" s="150">
        <v>753.48</v>
      </c>
      <c r="N206" s="147"/>
      <c r="O206" s="125">
        <f t="shared" si="60"/>
        <v>753.48</v>
      </c>
      <c r="P206" s="123">
        <f t="shared" si="62"/>
        <v>489.762</v>
      </c>
      <c r="Q206" s="145">
        <f t="shared" si="63"/>
        <v>0</v>
      </c>
      <c r="R206" s="125">
        <f aca="true" t="shared" si="64" ref="R206:R211">SUM(P206:Q206)</f>
        <v>489.762</v>
      </c>
      <c r="S206" s="367" t="s">
        <v>292</v>
      </c>
      <c r="T206" s="368"/>
    </row>
    <row r="207" spans="1:20" s="126" customFormat="1" ht="48.75" customHeight="1">
      <c r="A207" s="115" t="s">
        <v>100</v>
      </c>
      <c r="B207" s="116"/>
      <c r="C207" s="117" t="s">
        <v>61</v>
      </c>
      <c r="D207" s="146" t="s">
        <v>157</v>
      </c>
      <c r="E207" s="134" t="s">
        <v>160</v>
      </c>
      <c r="F207" s="148"/>
      <c r="G207" s="137"/>
      <c r="H207" s="149">
        <v>38619</v>
      </c>
      <c r="I207" s="137" t="s">
        <v>134</v>
      </c>
      <c r="J207" s="155">
        <v>320</v>
      </c>
      <c r="K207" s="156"/>
      <c r="L207" s="140">
        <f t="shared" si="61"/>
        <v>320</v>
      </c>
      <c r="M207" s="133">
        <f>J207*0.6</f>
        <v>192</v>
      </c>
      <c r="N207" s="147"/>
      <c r="O207" s="125">
        <f t="shared" si="60"/>
        <v>192</v>
      </c>
      <c r="P207" s="123">
        <f t="shared" si="62"/>
        <v>124.80000000000001</v>
      </c>
      <c r="Q207" s="145">
        <f t="shared" si="63"/>
        <v>0</v>
      </c>
      <c r="R207" s="125">
        <f t="shared" si="64"/>
        <v>124.80000000000001</v>
      </c>
      <c r="S207" s="367" t="s">
        <v>229</v>
      </c>
      <c r="T207" s="368"/>
    </row>
    <row r="208" spans="1:20" s="126" customFormat="1" ht="45">
      <c r="A208" s="115" t="s">
        <v>100</v>
      </c>
      <c r="B208" s="116"/>
      <c r="C208" s="117" t="s">
        <v>65</v>
      </c>
      <c r="D208" s="146" t="s">
        <v>200</v>
      </c>
      <c r="E208" s="148" t="s">
        <v>203</v>
      </c>
      <c r="F208" s="157" t="s">
        <v>204</v>
      </c>
      <c r="G208" s="158" t="s">
        <v>205</v>
      </c>
      <c r="H208" s="159" t="s">
        <v>206</v>
      </c>
      <c r="I208" s="138" t="s">
        <v>91</v>
      </c>
      <c r="J208" s="160">
        <v>6024.9</v>
      </c>
      <c r="K208" s="160"/>
      <c r="L208" s="161">
        <f>J208</f>
        <v>6024.9</v>
      </c>
      <c r="M208" s="133">
        <f>J208</f>
        <v>6024.9</v>
      </c>
      <c r="N208" s="147"/>
      <c r="O208" s="125">
        <f>SUM(M208:N208)</f>
        <v>6024.9</v>
      </c>
      <c r="P208" s="123">
        <f t="shared" si="62"/>
        <v>3916.185</v>
      </c>
      <c r="Q208" s="145">
        <f t="shared" si="63"/>
        <v>0</v>
      </c>
      <c r="R208" s="125">
        <f t="shared" si="64"/>
        <v>3916.185</v>
      </c>
      <c r="S208" s="387"/>
      <c r="T208" s="388"/>
    </row>
    <row r="209" spans="1:20" s="126" customFormat="1" ht="22.5">
      <c r="A209" s="115" t="s">
        <v>100</v>
      </c>
      <c r="B209" s="116"/>
      <c r="C209" s="117" t="s">
        <v>65</v>
      </c>
      <c r="D209" s="146" t="s">
        <v>235</v>
      </c>
      <c r="E209" s="148" t="s">
        <v>190</v>
      </c>
      <c r="F209" s="162" t="s">
        <v>191</v>
      </c>
      <c r="G209" s="163">
        <v>38611</v>
      </c>
      <c r="H209" s="163">
        <v>38611</v>
      </c>
      <c r="I209" s="158" t="s">
        <v>189</v>
      </c>
      <c r="J209" s="160">
        <f>7.79+9.58</f>
        <v>17.37</v>
      </c>
      <c r="K209" s="160">
        <f>J209*0.2</f>
        <v>3.474</v>
      </c>
      <c r="L209" s="161">
        <f>SUM(J209:K209)</f>
        <v>20.844</v>
      </c>
      <c r="M209" s="160">
        <v>7.79</v>
      </c>
      <c r="N209" s="147"/>
      <c r="O209" s="125">
        <f>SUM(M209:N209)</f>
        <v>7.79</v>
      </c>
      <c r="P209" s="123">
        <f t="shared" si="62"/>
        <v>5.0635</v>
      </c>
      <c r="Q209" s="145">
        <f t="shared" si="63"/>
        <v>0</v>
      </c>
      <c r="R209" s="125">
        <f t="shared" si="64"/>
        <v>5.0635</v>
      </c>
      <c r="S209" s="387"/>
      <c r="T209" s="388"/>
    </row>
    <row r="210" spans="1:20" s="126" customFormat="1" ht="45">
      <c r="A210" s="115" t="s">
        <v>100</v>
      </c>
      <c r="B210" s="116"/>
      <c r="C210" s="117" t="s">
        <v>65</v>
      </c>
      <c r="D210" s="164" t="s">
        <v>201</v>
      </c>
      <c r="E210" s="134" t="s">
        <v>207</v>
      </c>
      <c r="F210" s="165" t="s">
        <v>208</v>
      </c>
      <c r="G210" s="166" t="s">
        <v>209</v>
      </c>
      <c r="H210" s="167">
        <v>38490</v>
      </c>
      <c r="I210" s="158" t="s">
        <v>91</v>
      </c>
      <c r="J210" s="160">
        <v>4391.08</v>
      </c>
      <c r="K210" s="160">
        <f>J210*0.2</f>
        <v>878.216</v>
      </c>
      <c r="L210" s="161">
        <f>SUM(J210:K210)</f>
        <v>5269.296</v>
      </c>
      <c r="M210" s="133">
        <f>J210*0.4</f>
        <v>1756.432</v>
      </c>
      <c r="N210" s="147"/>
      <c r="O210" s="125">
        <f>SUM(M210:N210)</f>
        <v>1756.432</v>
      </c>
      <c r="P210" s="123">
        <f t="shared" si="62"/>
        <v>1141.6808</v>
      </c>
      <c r="Q210" s="145">
        <f t="shared" si="63"/>
        <v>0</v>
      </c>
      <c r="R210" s="125">
        <f t="shared" si="64"/>
        <v>1141.6808</v>
      </c>
      <c r="S210" s="356" t="s">
        <v>236</v>
      </c>
      <c r="T210" s="362"/>
    </row>
    <row r="211" spans="1:20" s="126" customFormat="1" ht="45">
      <c r="A211" s="115" t="s">
        <v>100</v>
      </c>
      <c r="B211" s="116"/>
      <c r="C211" s="117" t="s">
        <v>65</v>
      </c>
      <c r="D211" s="146" t="s">
        <v>202</v>
      </c>
      <c r="E211" s="134" t="s">
        <v>207</v>
      </c>
      <c r="F211" s="162" t="s">
        <v>210</v>
      </c>
      <c r="G211" s="163">
        <v>38503</v>
      </c>
      <c r="H211" s="167">
        <v>38608</v>
      </c>
      <c r="I211" s="158" t="s">
        <v>91</v>
      </c>
      <c r="J211" s="160">
        <v>4391.08</v>
      </c>
      <c r="K211" s="160">
        <f>J211*0.2</f>
        <v>878.216</v>
      </c>
      <c r="L211" s="161">
        <f>SUM(J211:K211)</f>
        <v>5269.296</v>
      </c>
      <c r="M211" s="133">
        <f>J211*0.4</f>
        <v>1756.432</v>
      </c>
      <c r="N211" s="147"/>
      <c r="O211" s="125">
        <f>SUM(M211:N211)</f>
        <v>1756.432</v>
      </c>
      <c r="P211" s="123">
        <f>M211*0.65</f>
        <v>1141.6808</v>
      </c>
      <c r="Q211" s="145">
        <f>N211*0.65</f>
        <v>0</v>
      </c>
      <c r="R211" s="125">
        <f t="shared" si="64"/>
        <v>1141.6808</v>
      </c>
      <c r="S211" s="363"/>
      <c r="T211" s="364"/>
    </row>
    <row r="212" spans="1:20" s="247" customFormat="1" ht="12.75" customHeight="1">
      <c r="A212" s="238" t="s">
        <v>226</v>
      </c>
      <c r="B212" s="239"/>
      <c r="C212" s="369" t="s">
        <v>241</v>
      </c>
      <c r="D212" s="370"/>
      <c r="E212" s="241"/>
      <c r="F212" s="242"/>
      <c r="G212" s="243"/>
      <c r="H212" s="243"/>
      <c r="I212" s="244"/>
      <c r="J212" s="245"/>
      <c r="K212" s="245"/>
      <c r="L212" s="161"/>
      <c r="M212" s="246">
        <f aca="true" t="shared" si="65" ref="M212:R212">SUM(M199:M211)-M198</f>
        <v>-2683.7440000000006</v>
      </c>
      <c r="N212" s="246">
        <f t="shared" si="65"/>
        <v>-742.2936</v>
      </c>
      <c r="O212" s="121">
        <f t="shared" si="65"/>
        <v>-3426.0375999999997</v>
      </c>
      <c r="P212" s="246">
        <f t="shared" si="65"/>
        <v>-1744.4336000000003</v>
      </c>
      <c r="Q212" s="246">
        <f t="shared" si="65"/>
        <v>-482.49084000000005</v>
      </c>
      <c r="R212" s="121">
        <f t="shared" si="65"/>
        <v>-2226.9244400000007</v>
      </c>
      <c r="S212" s="369" t="s">
        <v>241</v>
      </c>
      <c r="T212" s="370"/>
    </row>
    <row r="213" spans="1:20" s="179" customFormat="1" ht="12.75" customHeight="1">
      <c r="A213" s="172" t="s">
        <v>226</v>
      </c>
      <c r="B213" s="173"/>
      <c r="C213" s="175" t="s">
        <v>61</v>
      </c>
      <c r="D213" s="74" t="s">
        <v>264</v>
      </c>
      <c r="E213" s="62" t="s">
        <v>265</v>
      </c>
      <c r="F213" s="73">
        <v>70</v>
      </c>
      <c r="G213" s="64">
        <v>38485</v>
      </c>
      <c r="H213" s="299">
        <v>38684</v>
      </c>
      <c r="I213" s="63" t="s">
        <v>134</v>
      </c>
      <c r="J213" s="72">
        <v>60</v>
      </c>
      <c r="K213" s="72">
        <v>12</v>
      </c>
      <c r="L213" s="313">
        <f>SUM(J213:K213)</f>
        <v>72</v>
      </c>
      <c r="M213" s="133">
        <v>43.2</v>
      </c>
      <c r="N213" s="147"/>
      <c r="O213" s="125">
        <f aca="true" t="shared" si="66" ref="O213:O228">+N213+M213</f>
        <v>43.2</v>
      </c>
      <c r="P213" s="147">
        <f aca="true" t="shared" si="67" ref="P213:P228">+M213*0.65</f>
        <v>28.080000000000002</v>
      </c>
      <c r="Q213" s="147">
        <f aca="true" t="shared" si="68" ref="Q213:Q228">+N213*0.65</f>
        <v>0</v>
      </c>
      <c r="R213" s="125">
        <f aca="true" t="shared" si="69" ref="R213:R228">+P213+Q213</f>
        <v>28.080000000000002</v>
      </c>
      <c r="S213" s="286"/>
      <c r="T213" s="287"/>
    </row>
    <row r="214" spans="1:20" s="179" customFormat="1" ht="12.75" customHeight="1">
      <c r="A214" s="172" t="s">
        <v>226</v>
      </c>
      <c r="B214" s="173"/>
      <c r="C214" s="175" t="s">
        <v>61</v>
      </c>
      <c r="D214" s="74" t="s">
        <v>266</v>
      </c>
      <c r="E214" s="62" t="s">
        <v>265</v>
      </c>
      <c r="F214" s="73">
        <v>224</v>
      </c>
      <c r="G214" s="64">
        <v>38540</v>
      </c>
      <c r="H214" s="299">
        <v>38684</v>
      </c>
      <c r="I214" s="63" t="s">
        <v>134</v>
      </c>
      <c r="J214" s="72">
        <v>180</v>
      </c>
      <c r="K214" s="72">
        <v>36</v>
      </c>
      <c r="L214" s="313">
        <f>SUM(J214:K214)</f>
        <v>216</v>
      </c>
      <c r="M214" s="133">
        <v>129.6</v>
      </c>
      <c r="N214" s="147"/>
      <c r="O214" s="125">
        <f t="shared" si="66"/>
        <v>129.6</v>
      </c>
      <c r="P214" s="147">
        <f t="shared" si="67"/>
        <v>84.24</v>
      </c>
      <c r="Q214" s="147">
        <f t="shared" si="68"/>
        <v>0</v>
      </c>
      <c r="R214" s="125">
        <f t="shared" si="69"/>
        <v>84.24</v>
      </c>
      <c r="S214" s="286"/>
      <c r="T214" s="287"/>
    </row>
    <row r="215" spans="1:20" s="179" customFormat="1" ht="12.75" customHeight="1">
      <c r="A215" s="172" t="s">
        <v>226</v>
      </c>
      <c r="B215" s="173"/>
      <c r="C215" s="175" t="s">
        <v>61</v>
      </c>
      <c r="D215" s="74" t="s">
        <v>267</v>
      </c>
      <c r="E215" s="62" t="s">
        <v>265</v>
      </c>
      <c r="F215" s="73">
        <v>377</v>
      </c>
      <c r="G215" s="64">
        <v>38597</v>
      </c>
      <c r="H215" s="299">
        <v>38684</v>
      </c>
      <c r="I215" s="63" t="s">
        <v>134</v>
      </c>
      <c r="J215" s="72">
        <v>90</v>
      </c>
      <c r="K215" s="72">
        <v>18</v>
      </c>
      <c r="L215" s="313">
        <f>SUM(J215:K215)</f>
        <v>108</v>
      </c>
      <c r="M215" s="133">
        <v>64.8</v>
      </c>
      <c r="N215" s="147"/>
      <c r="O215" s="125">
        <f t="shared" si="66"/>
        <v>64.8</v>
      </c>
      <c r="P215" s="147">
        <f t="shared" si="67"/>
        <v>42.12</v>
      </c>
      <c r="Q215" s="147">
        <f t="shared" si="68"/>
        <v>0</v>
      </c>
      <c r="R215" s="125">
        <f t="shared" si="69"/>
        <v>42.12</v>
      </c>
      <c r="S215" s="286"/>
      <c r="T215" s="287"/>
    </row>
    <row r="216" spans="1:20" s="179" customFormat="1" ht="12.75" customHeight="1">
      <c r="A216" s="172" t="s">
        <v>226</v>
      </c>
      <c r="B216" s="173"/>
      <c r="C216" s="175" t="s">
        <v>61</v>
      </c>
      <c r="D216" s="74" t="s">
        <v>268</v>
      </c>
      <c r="E216" s="62" t="s">
        <v>265</v>
      </c>
      <c r="F216" s="73">
        <v>546</v>
      </c>
      <c r="G216" s="64">
        <v>38664</v>
      </c>
      <c r="H216" s="299">
        <v>38684</v>
      </c>
      <c r="I216" s="63" t="s">
        <v>134</v>
      </c>
      <c r="J216" s="72">
        <v>160</v>
      </c>
      <c r="K216" s="72">
        <v>32</v>
      </c>
      <c r="L216" s="313">
        <f>SUM(J216:K216)</f>
        <v>192</v>
      </c>
      <c r="M216" s="133">
        <v>115.2</v>
      </c>
      <c r="N216" s="147"/>
      <c r="O216" s="125">
        <f t="shared" si="66"/>
        <v>115.2</v>
      </c>
      <c r="P216" s="147">
        <f t="shared" si="67"/>
        <v>74.88000000000001</v>
      </c>
      <c r="Q216" s="147">
        <f t="shared" si="68"/>
        <v>0</v>
      </c>
      <c r="R216" s="125">
        <f t="shared" si="69"/>
        <v>74.88000000000001</v>
      </c>
      <c r="S216" s="286"/>
      <c r="T216" s="287"/>
    </row>
    <row r="217" spans="1:20" s="179" customFormat="1" ht="12.75" customHeight="1">
      <c r="A217" s="172" t="s">
        <v>226</v>
      </c>
      <c r="B217" s="173"/>
      <c r="C217" s="175" t="s">
        <v>61</v>
      </c>
      <c r="D217" s="74" t="s">
        <v>269</v>
      </c>
      <c r="E217" s="62" t="s">
        <v>160</v>
      </c>
      <c r="F217" s="304"/>
      <c r="G217" s="63">
        <v>38666</v>
      </c>
      <c r="H217" s="299">
        <v>38691</v>
      </c>
      <c r="I217" s="63" t="s">
        <v>134</v>
      </c>
      <c r="J217" s="72">
        <v>320</v>
      </c>
      <c r="K217" s="72"/>
      <c r="L217" s="313">
        <v>320</v>
      </c>
      <c r="M217" s="133">
        <v>192</v>
      </c>
      <c r="N217" s="147"/>
      <c r="O217" s="125">
        <f t="shared" si="66"/>
        <v>192</v>
      </c>
      <c r="P217" s="147">
        <f t="shared" si="67"/>
        <v>124.80000000000001</v>
      </c>
      <c r="Q217" s="147">
        <f t="shared" si="68"/>
        <v>0</v>
      </c>
      <c r="R217" s="125">
        <f t="shared" si="69"/>
        <v>124.80000000000001</v>
      </c>
      <c r="S217" s="286"/>
      <c r="T217" s="287"/>
    </row>
    <row r="218" spans="1:20" s="179" customFormat="1" ht="12.75" customHeight="1">
      <c r="A218" s="172" t="s">
        <v>226</v>
      </c>
      <c r="B218" s="173"/>
      <c r="C218" s="175" t="s">
        <v>61</v>
      </c>
      <c r="D218" s="305" t="s">
        <v>270</v>
      </c>
      <c r="E218" s="62" t="s">
        <v>271</v>
      </c>
      <c r="F218" s="306">
        <v>289</v>
      </c>
      <c r="G218" s="64">
        <v>38503</v>
      </c>
      <c r="H218" s="63">
        <v>38636</v>
      </c>
      <c r="I218" s="63" t="s">
        <v>134</v>
      </c>
      <c r="J218" s="72">
        <v>651.5</v>
      </c>
      <c r="K218" s="72">
        <v>130.3</v>
      </c>
      <c r="L218" s="313">
        <f aca="true" t="shared" si="70" ref="L218:L228">SUM(J218:K218)</f>
        <v>781.8</v>
      </c>
      <c r="M218" s="133">
        <v>651.5</v>
      </c>
      <c r="N218" s="147">
        <f>+M218*0.2</f>
        <v>130.3</v>
      </c>
      <c r="O218" s="125">
        <f t="shared" si="66"/>
        <v>781.8</v>
      </c>
      <c r="P218" s="147">
        <f t="shared" si="67"/>
        <v>423.475</v>
      </c>
      <c r="Q218" s="147">
        <f t="shared" si="68"/>
        <v>84.69500000000001</v>
      </c>
      <c r="R218" s="125">
        <f t="shared" si="69"/>
        <v>508.17</v>
      </c>
      <c r="S218" s="286"/>
      <c r="T218" s="287"/>
    </row>
    <row r="219" spans="1:20" s="179" customFormat="1" ht="12.75" customHeight="1">
      <c r="A219" s="172" t="s">
        <v>226</v>
      </c>
      <c r="B219" s="173"/>
      <c r="C219" s="175" t="s">
        <v>61</v>
      </c>
      <c r="D219" s="305" t="s">
        <v>270</v>
      </c>
      <c r="E219" s="62" t="s">
        <v>271</v>
      </c>
      <c r="F219" s="306">
        <v>387</v>
      </c>
      <c r="G219" s="64">
        <v>38560</v>
      </c>
      <c r="H219" s="307">
        <v>38692</v>
      </c>
      <c r="I219" s="63" t="s">
        <v>134</v>
      </c>
      <c r="J219" s="72">
        <v>441.62</v>
      </c>
      <c r="K219" s="72">
        <v>88.32</v>
      </c>
      <c r="L219" s="313">
        <f t="shared" si="70"/>
        <v>529.94</v>
      </c>
      <c r="M219" s="133">
        <v>441.62</v>
      </c>
      <c r="N219" s="147">
        <f>+M219*0.2</f>
        <v>88.32400000000001</v>
      </c>
      <c r="O219" s="125">
        <f t="shared" si="66"/>
        <v>529.944</v>
      </c>
      <c r="P219" s="147">
        <f t="shared" si="67"/>
        <v>287.053</v>
      </c>
      <c r="Q219" s="147">
        <f t="shared" si="68"/>
        <v>57.41060000000001</v>
      </c>
      <c r="R219" s="125">
        <f t="shared" si="69"/>
        <v>344.4636</v>
      </c>
      <c r="S219" s="286"/>
      <c r="T219" s="287"/>
    </row>
    <row r="220" spans="1:20" s="179" customFormat="1" ht="12.75" customHeight="1">
      <c r="A220" s="172" t="s">
        <v>226</v>
      </c>
      <c r="B220" s="173"/>
      <c r="C220" s="175" t="s">
        <v>61</v>
      </c>
      <c r="D220" s="305" t="s">
        <v>272</v>
      </c>
      <c r="E220" s="62" t="s">
        <v>273</v>
      </c>
      <c r="F220" s="306">
        <v>214</v>
      </c>
      <c r="G220" s="64">
        <v>38510</v>
      </c>
      <c r="H220" s="63">
        <v>38667</v>
      </c>
      <c r="I220" s="63" t="s">
        <v>134</v>
      </c>
      <c r="J220" s="72">
        <v>436.84</v>
      </c>
      <c r="K220" s="72">
        <v>87.37</v>
      </c>
      <c r="L220" s="313">
        <f t="shared" si="70"/>
        <v>524.21</v>
      </c>
      <c r="M220" s="133">
        <v>436.84</v>
      </c>
      <c r="N220" s="147">
        <v>87.37</v>
      </c>
      <c r="O220" s="125">
        <f t="shared" si="66"/>
        <v>524.21</v>
      </c>
      <c r="P220" s="147">
        <f t="shared" si="67"/>
        <v>283.94599999999997</v>
      </c>
      <c r="Q220" s="147">
        <f t="shared" si="68"/>
        <v>56.7905</v>
      </c>
      <c r="R220" s="125">
        <f t="shared" si="69"/>
        <v>340.7365</v>
      </c>
      <c r="S220" s="286"/>
      <c r="T220" s="287"/>
    </row>
    <row r="221" spans="1:20" s="179" customFormat="1" ht="12.75" customHeight="1">
      <c r="A221" s="172" t="s">
        <v>226</v>
      </c>
      <c r="B221" s="173"/>
      <c r="C221" s="175" t="s">
        <v>61</v>
      </c>
      <c r="D221" s="305" t="s">
        <v>274</v>
      </c>
      <c r="E221" s="73" t="s">
        <v>275</v>
      </c>
      <c r="F221" s="73">
        <v>919379</v>
      </c>
      <c r="G221" s="64">
        <v>38569</v>
      </c>
      <c r="H221" s="299">
        <v>38632</v>
      </c>
      <c r="I221" s="63" t="s">
        <v>276</v>
      </c>
      <c r="J221" s="72">
        <v>59.6</v>
      </c>
      <c r="K221" s="72">
        <v>12.4</v>
      </c>
      <c r="L221" s="313">
        <f t="shared" si="70"/>
        <v>72</v>
      </c>
      <c r="M221" s="133">
        <v>59.6</v>
      </c>
      <c r="N221" s="147">
        <v>12.4</v>
      </c>
      <c r="O221" s="125">
        <f t="shared" si="66"/>
        <v>72</v>
      </c>
      <c r="P221" s="147">
        <f t="shared" si="67"/>
        <v>38.74</v>
      </c>
      <c r="Q221" s="147">
        <f t="shared" si="68"/>
        <v>8.06</v>
      </c>
      <c r="R221" s="125">
        <f t="shared" si="69"/>
        <v>46.800000000000004</v>
      </c>
      <c r="S221" s="286"/>
      <c r="T221" s="287"/>
    </row>
    <row r="222" spans="1:20" s="179" customFormat="1" ht="12.75" customHeight="1">
      <c r="A222" s="172" t="s">
        <v>226</v>
      </c>
      <c r="B222" s="173"/>
      <c r="C222" s="175" t="s">
        <v>61</v>
      </c>
      <c r="D222" s="305" t="s">
        <v>277</v>
      </c>
      <c r="E222" s="73" t="s">
        <v>275</v>
      </c>
      <c r="F222" s="73">
        <v>1075528</v>
      </c>
      <c r="G222" s="64">
        <v>38631</v>
      </c>
      <c r="H222" s="299">
        <v>38695</v>
      </c>
      <c r="I222" s="63" t="s">
        <v>278</v>
      </c>
      <c r="J222" s="72">
        <v>43.35</v>
      </c>
      <c r="K222" s="72">
        <v>8.65</v>
      </c>
      <c r="L222" s="313">
        <f t="shared" si="70"/>
        <v>52</v>
      </c>
      <c r="M222" s="133">
        <v>43.35</v>
      </c>
      <c r="N222" s="147">
        <v>8.65</v>
      </c>
      <c r="O222" s="125">
        <f t="shared" si="66"/>
        <v>52</v>
      </c>
      <c r="P222" s="147">
        <f t="shared" si="67"/>
        <v>28.177500000000002</v>
      </c>
      <c r="Q222" s="147">
        <f t="shared" si="68"/>
        <v>5.6225000000000005</v>
      </c>
      <c r="R222" s="125">
        <f t="shared" si="69"/>
        <v>33.800000000000004</v>
      </c>
      <c r="S222" s="286"/>
      <c r="T222" s="287"/>
    </row>
    <row r="223" spans="1:20" s="179" customFormat="1" ht="12.75" customHeight="1">
      <c r="A223" s="172" t="s">
        <v>226</v>
      </c>
      <c r="B223" s="173"/>
      <c r="C223" s="175" t="s">
        <v>61</v>
      </c>
      <c r="D223" s="305" t="s">
        <v>279</v>
      </c>
      <c r="E223" s="73" t="s">
        <v>275</v>
      </c>
      <c r="F223" s="73">
        <v>51574</v>
      </c>
      <c r="G223" s="64">
        <v>38692</v>
      </c>
      <c r="H223" s="299">
        <v>38736</v>
      </c>
      <c r="I223" s="299" t="s">
        <v>159</v>
      </c>
      <c r="J223" s="300">
        <f>50.62-4.04</f>
        <v>46.58</v>
      </c>
      <c r="K223" s="300">
        <f>10.12-0.81+0.11</f>
        <v>9.419999999999998</v>
      </c>
      <c r="L223" s="313">
        <f t="shared" si="70"/>
        <v>56</v>
      </c>
      <c r="M223" s="133">
        <v>46.58</v>
      </c>
      <c r="N223" s="147">
        <v>9.42</v>
      </c>
      <c r="O223" s="125">
        <f t="shared" si="66"/>
        <v>56</v>
      </c>
      <c r="P223" s="147">
        <f t="shared" si="67"/>
        <v>30.277</v>
      </c>
      <c r="Q223" s="147">
        <f t="shared" si="68"/>
        <v>6.123</v>
      </c>
      <c r="R223" s="125">
        <f t="shared" si="69"/>
        <v>36.4</v>
      </c>
      <c r="S223" s="286"/>
      <c r="T223" s="287"/>
    </row>
    <row r="224" spans="1:20" s="179" customFormat="1" ht="37.5" customHeight="1">
      <c r="A224" s="172" t="s">
        <v>226</v>
      </c>
      <c r="B224" s="173"/>
      <c r="C224" s="175" t="s">
        <v>61</v>
      </c>
      <c r="D224" s="305" t="s">
        <v>280</v>
      </c>
      <c r="E224" s="73" t="s">
        <v>275</v>
      </c>
      <c r="F224" s="308"/>
      <c r="G224" s="64"/>
      <c r="H224" s="299">
        <v>38702</v>
      </c>
      <c r="I224" s="299" t="s">
        <v>281</v>
      </c>
      <c r="J224" s="300"/>
      <c r="K224" s="300"/>
      <c r="L224" s="313">
        <v>61.5</v>
      </c>
      <c r="M224" s="133"/>
      <c r="N224" s="147"/>
      <c r="O224" s="125">
        <f t="shared" si="66"/>
        <v>0</v>
      </c>
      <c r="P224" s="147">
        <f t="shared" si="67"/>
        <v>0</v>
      </c>
      <c r="Q224" s="147">
        <f t="shared" si="68"/>
        <v>0</v>
      </c>
      <c r="R224" s="125">
        <f t="shared" si="69"/>
        <v>0</v>
      </c>
      <c r="S224" s="353" t="s">
        <v>365</v>
      </c>
      <c r="T224" s="354"/>
    </row>
    <row r="225" spans="1:20" s="179" customFormat="1" ht="12.75" customHeight="1">
      <c r="A225" s="172" t="s">
        <v>226</v>
      </c>
      <c r="B225" s="173"/>
      <c r="C225" s="175" t="s">
        <v>61</v>
      </c>
      <c r="D225" s="309" t="s">
        <v>282</v>
      </c>
      <c r="E225" s="73" t="s">
        <v>158</v>
      </c>
      <c r="F225" s="73">
        <v>1014065</v>
      </c>
      <c r="G225" s="64">
        <v>38643</v>
      </c>
      <c r="H225" s="299">
        <v>38663</v>
      </c>
      <c r="I225" s="299" t="s">
        <v>159</v>
      </c>
      <c r="J225" s="300">
        <v>140.41</v>
      </c>
      <c r="K225" s="300">
        <v>28.08</v>
      </c>
      <c r="L225" s="313">
        <f t="shared" si="70"/>
        <v>168.49</v>
      </c>
      <c r="M225" s="133">
        <v>101.09</v>
      </c>
      <c r="N225" s="147"/>
      <c r="O225" s="125">
        <f t="shared" si="66"/>
        <v>101.09</v>
      </c>
      <c r="P225" s="147">
        <f t="shared" si="67"/>
        <v>65.7085</v>
      </c>
      <c r="Q225" s="147">
        <f t="shared" si="68"/>
        <v>0</v>
      </c>
      <c r="R225" s="125">
        <f t="shared" si="69"/>
        <v>65.7085</v>
      </c>
      <c r="S225" s="286"/>
      <c r="T225" s="287"/>
    </row>
    <row r="226" spans="1:20" s="179" customFormat="1" ht="12.75" customHeight="1">
      <c r="A226" s="172" t="s">
        <v>226</v>
      </c>
      <c r="B226" s="173"/>
      <c r="C226" s="175" t="s">
        <v>61</v>
      </c>
      <c r="D226" s="309" t="s">
        <v>283</v>
      </c>
      <c r="E226" s="73" t="s">
        <v>158</v>
      </c>
      <c r="F226" s="73">
        <v>1014066</v>
      </c>
      <c r="G226" s="64">
        <v>38702</v>
      </c>
      <c r="H226" s="299">
        <v>38722</v>
      </c>
      <c r="I226" s="299" t="s">
        <v>159</v>
      </c>
      <c r="J226" s="300">
        <v>424.9</v>
      </c>
      <c r="K226" s="300">
        <v>84.98</v>
      </c>
      <c r="L226" s="313">
        <f t="shared" si="70"/>
        <v>509.88</v>
      </c>
      <c r="M226" s="133">
        <v>305.93</v>
      </c>
      <c r="N226" s="147"/>
      <c r="O226" s="125">
        <f t="shared" si="66"/>
        <v>305.93</v>
      </c>
      <c r="P226" s="147">
        <f t="shared" si="67"/>
        <v>198.8545</v>
      </c>
      <c r="Q226" s="147">
        <f t="shared" si="68"/>
        <v>0</v>
      </c>
      <c r="R226" s="125">
        <f t="shared" si="69"/>
        <v>198.8545</v>
      </c>
      <c r="S226" s="286"/>
      <c r="T226" s="287"/>
    </row>
    <row r="227" spans="1:20" s="179" customFormat="1" ht="12.75" customHeight="1">
      <c r="A227" s="172" t="s">
        <v>226</v>
      </c>
      <c r="B227" s="173"/>
      <c r="C227" s="175" t="s">
        <v>61</v>
      </c>
      <c r="D227" s="305" t="s">
        <v>284</v>
      </c>
      <c r="E227" s="73" t="s">
        <v>161</v>
      </c>
      <c r="F227" s="73">
        <v>1919911</v>
      </c>
      <c r="G227" s="64">
        <v>38595</v>
      </c>
      <c r="H227" s="299">
        <v>38625</v>
      </c>
      <c r="I227" s="299" t="s">
        <v>159</v>
      </c>
      <c r="J227" s="300">
        <v>607.84</v>
      </c>
      <c r="K227" s="300">
        <v>121.57</v>
      </c>
      <c r="L227" s="313">
        <f t="shared" si="70"/>
        <v>729.4100000000001</v>
      </c>
      <c r="M227" s="133">
        <v>607.84</v>
      </c>
      <c r="N227" s="147">
        <v>121.57</v>
      </c>
      <c r="O227" s="125">
        <f t="shared" si="66"/>
        <v>729.4100000000001</v>
      </c>
      <c r="P227" s="147">
        <f t="shared" si="67"/>
        <v>395.09600000000006</v>
      </c>
      <c r="Q227" s="147">
        <f t="shared" si="68"/>
        <v>79.0205</v>
      </c>
      <c r="R227" s="125">
        <f t="shared" si="69"/>
        <v>474.1165000000001</v>
      </c>
      <c r="S227" s="286"/>
      <c r="T227" s="287"/>
    </row>
    <row r="228" spans="1:20" s="179" customFormat="1" ht="12.75" customHeight="1">
      <c r="A228" s="172" t="s">
        <v>226</v>
      </c>
      <c r="B228" s="173"/>
      <c r="C228" s="175" t="s">
        <v>61</v>
      </c>
      <c r="D228" s="305" t="s">
        <v>285</v>
      </c>
      <c r="E228" s="73" t="s">
        <v>161</v>
      </c>
      <c r="F228" s="73">
        <v>2487142</v>
      </c>
      <c r="G228" s="64">
        <v>38656</v>
      </c>
      <c r="H228" s="299">
        <v>38686</v>
      </c>
      <c r="I228" s="299" t="s">
        <v>159</v>
      </c>
      <c r="J228" s="300">
        <v>644.09</v>
      </c>
      <c r="K228" s="300">
        <v>128.82</v>
      </c>
      <c r="L228" s="313">
        <f t="shared" si="70"/>
        <v>772.9100000000001</v>
      </c>
      <c r="M228" s="133">
        <v>644.09</v>
      </c>
      <c r="N228" s="147">
        <v>128.82</v>
      </c>
      <c r="O228" s="125">
        <f t="shared" si="66"/>
        <v>772.9100000000001</v>
      </c>
      <c r="P228" s="147">
        <f t="shared" si="67"/>
        <v>418.65850000000006</v>
      </c>
      <c r="Q228" s="147">
        <f t="shared" si="68"/>
        <v>83.733</v>
      </c>
      <c r="R228" s="125">
        <f t="shared" si="69"/>
        <v>502.39150000000006</v>
      </c>
      <c r="S228" s="286"/>
      <c r="T228" s="287"/>
    </row>
    <row r="229" spans="1:20" s="179" customFormat="1" ht="12.75" customHeight="1">
      <c r="A229" s="172" t="s">
        <v>226</v>
      </c>
      <c r="B229" s="173"/>
      <c r="C229" s="175" t="s">
        <v>61</v>
      </c>
      <c r="D229" s="309" t="s">
        <v>286</v>
      </c>
      <c r="E229" s="73" t="s">
        <v>162</v>
      </c>
      <c r="F229" s="73"/>
      <c r="G229" s="64">
        <v>38672</v>
      </c>
      <c r="H229" s="299">
        <v>38672</v>
      </c>
      <c r="I229" s="299" t="s">
        <v>134</v>
      </c>
      <c r="J229" s="300">
        <f>620*2</f>
        <v>1240</v>
      </c>
      <c r="K229" s="300"/>
      <c r="L229" s="313">
        <v>1240</v>
      </c>
      <c r="M229" s="133">
        <v>744</v>
      </c>
      <c r="N229" s="147"/>
      <c r="O229" s="125">
        <f>+N229+M229</f>
        <v>744</v>
      </c>
      <c r="P229" s="147">
        <f aca="true" t="shared" si="71" ref="P229:P237">+M229*0.65</f>
        <v>483.6</v>
      </c>
      <c r="Q229" s="147"/>
      <c r="R229" s="125">
        <f>+Q229+P229</f>
        <v>483.6</v>
      </c>
      <c r="S229" s="286"/>
      <c r="T229" s="287"/>
    </row>
    <row r="230" spans="1:20" s="179" customFormat="1" ht="12.75" customHeight="1">
      <c r="A230" s="172" t="s">
        <v>226</v>
      </c>
      <c r="B230" s="173"/>
      <c r="C230" s="175" t="s">
        <v>61</v>
      </c>
      <c r="D230" s="309" t="s">
        <v>287</v>
      </c>
      <c r="E230" s="73" t="s">
        <v>162</v>
      </c>
      <c r="F230" s="73"/>
      <c r="G230" s="310">
        <v>38728</v>
      </c>
      <c r="H230" s="299">
        <v>38728</v>
      </c>
      <c r="I230" s="299" t="s">
        <v>134</v>
      </c>
      <c r="J230" s="300">
        <v>1240</v>
      </c>
      <c r="K230" s="300"/>
      <c r="L230" s="313">
        <v>1240</v>
      </c>
      <c r="M230" s="133">
        <v>744</v>
      </c>
      <c r="N230" s="147"/>
      <c r="O230" s="125">
        <f>+N230+M230</f>
        <v>744</v>
      </c>
      <c r="P230" s="147">
        <f t="shared" si="71"/>
        <v>483.6</v>
      </c>
      <c r="Q230" s="147"/>
      <c r="R230" s="125">
        <f>+P230+Q230</f>
        <v>483.6</v>
      </c>
      <c r="S230" s="286"/>
      <c r="T230" s="287"/>
    </row>
    <row r="231" spans="1:20" s="179" customFormat="1" ht="22.5">
      <c r="A231" s="172" t="s">
        <v>226</v>
      </c>
      <c r="B231" s="173"/>
      <c r="C231" s="175" t="s">
        <v>61</v>
      </c>
      <c r="D231" s="311" t="s">
        <v>288</v>
      </c>
      <c r="E231" s="296" t="s">
        <v>289</v>
      </c>
      <c r="F231" s="64" t="s">
        <v>163</v>
      </c>
      <c r="G231" s="312"/>
      <c r="H231" s="299">
        <v>38741</v>
      </c>
      <c r="I231" s="299" t="s">
        <v>134</v>
      </c>
      <c r="J231" s="300">
        <f>SUM(102*15.98)</f>
        <v>1629.96</v>
      </c>
      <c r="K231" s="300"/>
      <c r="L231" s="285">
        <f>SUM(102*15.98)</f>
        <v>1629.96</v>
      </c>
      <c r="M231" s="133">
        <v>1629.96</v>
      </c>
      <c r="N231" s="147"/>
      <c r="O231" s="125">
        <f>+N231+M231</f>
        <v>1629.96</v>
      </c>
      <c r="P231" s="147">
        <f t="shared" si="71"/>
        <v>1059.4740000000002</v>
      </c>
      <c r="Q231" s="147">
        <f>+N231*0.65</f>
        <v>0</v>
      </c>
      <c r="R231" s="125">
        <f>+P231+Q231</f>
        <v>1059.4740000000002</v>
      </c>
      <c r="S231" s="286"/>
      <c r="T231" s="287"/>
    </row>
    <row r="232" spans="1:20" s="179" customFormat="1" ht="45">
      <c r="A232" s="272" t="s">
        <v>226</v>
      </c>
      <c r="B232" s="273"/>
      <c r="C232" s="274" t="s">
        <v>65</v>
      </c>
      <c r="D232" s="62" t="s">
        <v>315</v>
      </c>
      <c r="E232" s="62" t="s">
        <v>207</v>
      </c>
      <c r="F232" s="279" t="s">
        <v>316</v>
      </c>
      <c r="G232" s="331">
        <v>38586</v>
      </c>
      <c r="H232" s="332">
        <v>38674</v>
      </c>
      <c r="I232" s="65" t="s">
        <v>91</v>
      </c>
      <c r="J232" s="71">
        <v>4465.73</v>
      </c>
      <c r="K232" s="327">
        <v>893.15</v>
      </c>
      <c r="L232" s="98">
        <v>5358.88</v>
      </c>
      <c r="M232" s="330">
        <v>1786.29</v>
      </c>
      <c r="N232" s="333"/>
      <c r="O232" s="334">
        <f>+M232+N232</f>
        <v>1786.29</v>
      </c>
      <c r="P232" s="333">
        <f t="shared" si="71"/>
        <v>1161.0885</v>
      </c>
      <c r="Q232" s="333"/>
      <c r="R232" s="334">
        <f aca="true" t="shared" si="72" ref="R232:R249">+Q232+P232</f>
        <v>1161.0885</v>
      </c>
      <c r="S232" s="372" t="s">
        <v>317</v>
      </c>
      <c r="T232" s="373"/>
    </row>
    <row r="233" spans="1:20" s="179" customFormat="1" ht="22.5">
      <c r="A233" s="272" t="s">
        <v>318</v>
      </c>
      <c r="B233" s="273"/>
      <c r="C233" s="274" t="s">
        <v>61</v>
      </c>
      <c r="D233" s="302" t="s">
        <v>331</v>
      </c>
      <c r="E233" s="62" t="s">
        <v>160</v>
      </c>
      <c r="F233" s="279"/>
      <c r="G233" s="331">
        <v>38727</v>
      </c>
      <c r="H233" s="332">
        <v>38756</v>
      </c>
      <c r="I233" s="65" t="s">
        <v>134</v>
      </c>
      <c r="J233" s="71">
        <v>443.08</v>
      </c>
      <c r="K233" s="327"/>
      <c r="L233" s="98">
        <v>443.08</v>
      </c>
      <c r="M233" s="330">
        <v>265.85</v>
      </c>
      <c r="N233" s="333"/>
      <c r="O233" s="334">
        <f>+M233+N233</f>
        <v>265.85</v>
      </c>
      <c r="P233" s="333">
        <f t="shared" si="71"/>
        <v>172.8025</v>
      </c>
      <c r="Q233" s="333"/>
      <c r="R233" s="334">
        <f t="shared" si="72"/>
        <v>172.8025</v>
      </c>
      <c r="S233" s="282"/>
      <c r="T233" s="283"/>
    </row>
    <row r="234" spans="1:20" s="179" customFormat="1" ht="22.5">
      <c r="A234" s="272" t="s">
        <v>318</v>
      </c>
      <c r="B234" s="273"/>
      <c r="C234" s="274" t="s">
        <v>61</v>
      </c>
      <c r="D234" s="302" t="s">
        <v>332</v>
      </c>
      <c r="E234" s="62" t="s">
        <v>160</v>
      </c>
      <c r="F234" s="279"/>
      <c r="G234" s="331">
        <v>38782</v>
      </c>
      <c r="H234" s="332">
        <v>38814</v>
      </c>
      <c r="I234" s="65" t="s">
        <v>134</v>
      </c>
      <c r="J234" s="71">
        <v>330</v>
      </c>
      <c r="K234" s="327"/>
      <c r="L234" s="98">
        <v>330</v>
      </c>
      <c r="M234" s="330">
        <v>198</v>
      </c>
      <c r="N234" s="333"/>
      <c r="O234" s="334">
        <f>+M234+N234</f>
        <v>198</v>
      </c>
      <c r="P234" s="333">
        <f t="shared" si="71"/>
        <v>128.70000000000002</v>
      </c>
      <c r="Q234" s="333"/>
      <c r="R234" s="334">
        <f t="shared" si="72"/>
        <v>128.70000000000002</v>
      </c>
      <c r="S234" s="282"/>
      <c r="T234" s="283"/>
    </row>
    <row r="235" spans="1:20" s="179" customFormat="1" ht="22.5">
      <c r="A235" s="272" t="s">
        <v>318</v>
      </c>
      <c r="B235" s="273"/>
      <c r="C235" s="274" t="s">
        <v>61</v>
      </c>
      <c r="D235" s="302" t="s">
        <v>333</v>
      </c>
      <c r="E235" s="62" t="s">
        <v>160</v>
      </c>
      <c r="F235" s="279"/>
      <c r="G235" s="331">
        <v>38843</v>
      </c>
      <c r="H235" s="332">
        <v>38856</v>
      </c>
      <c r="I235" s="65" t="s">
        <v>134</v>
      </c>
      <c r="J235" s="71">
        <v>330</v>
      </c>
      <c r="K235" s="327"/>
      <c r="L235" s="98">
        <v>330</v>
      </c>
      <c r="M235" s="330">
        <v>198</v>
      </c>
      <c r="N235" s="333"/>
      <c r="O235" s="334">
        <f>+M235+N235</f>
        <v>198</v>
      </c>
      <c r="P235" s="333">
        <f t="shared" si="71"/>
        <v>128.70000000000002</v>
      </c>
      <c r="Q235" s="333"/>
      <c r="R235" s="334">
        <f t="shared" si="72"/>
        <v>128.70000000000002</v>
      </c>
      <c r="S235" s="282"/>
      <c r="T235" s="283"/>
    </row>
    <row r="236" spans="1:20" s="179" customFormat="1" ht="22.5">
      <c r="A236" s="272" t="s">
        <v>318</v>
      </c>
      <c r="B236" s="273"/>
      <c r="C236" s="274" t="s">
        <v>61</v>
      </c>
      <c r="D236" s="302" t="s">
        <v>334</v>
      </c>
      <c r="E236" s="62" t="s">
        <v>271</v>
      </c>
      <c r="F236" s="279">
        <v>617</v>
      </c>
      <c r="G236" s="331">
        <v>38686</v>
      </c>
      <c r="H236" s="332">
        <v>38834</v>
      </c>
      <c r="I236" s="65" t="s">
        <v>134</v>
      </c>
      <c r="J236" s="71">
        <v>587.9</v>
      </c>
      <c r="K236" s="327">
        <v>117.58</v>
      </c>
      <c r="L236" s="98">
        <v>705.48</v>
      </c>
      <c r="M236" s="330">
        <v>587.9</v>
      </c>
      <c r="N236" s="327">
        <v>117.58</v>
      </c>
      <c r="O236" s="334">
        <f aca="true" t="shared" si="73" ref="O236:O249">+N236+M236</f>
        <v>705.48</v>
      </c>
      <c r="P236" s="333">
        <f t="shared" si="71"/>
        <v>382.135</v>
      </c>
      <c r="Q236" s="333">
        <f>+N236*0.65</f>
        <v>76.427</v>
      </c>
      <c r="R236" s="334">
        <f t="shared" si="72"/>
        <v>458.562</v>
      </c>
      <c r="S236" s="282"/>
      <c r="T236" s="283"/>
    </row>
    <row r="237" spans="1:20" s="179" customFormat="1" ht="11.25">
      <c r="A237" s="272" t="s">
        <v>318</v>
      </c>
      <c r="B237" s="273"/>
      <c r="C237" s="274" t="s">
        <v>61</v>
      </c>
      <c r="D237" s="302" t="s">
        <v>335</v>
      </c>
      <c r="E237" s="62" t="s">
        <v>273</v>
      </c>
      <c r="F237" s="279">
        <v>825</v>
      </c>
      <c r="G237" s="331">
        <v>38705</v>
      </c>
      <c r="H237" s="332">
        <v>38841</v>
      </c>
      <c r="I237" s="65" t="s">
        <v>134</v>
      </c>
      <c r="J237" s="71">
        <v>190.47</v>
      </c>
      <c r="K237" s="327">
        <v>38.09</v>
      </c>
      <c r="L237" s="98">
        <v>228.56</v>
      </c>
      <c r="M237" s="330">
        <v>190.47</v>
      </c>
      <c r="N237" s="327">
        <v>38.09</v>
      </c>
      <c r="O237" s="334">
        <f t="shared" si="73"/>
        <v>228.56</v>
      </c>
      <c r="P237" s="333">
        <f t="shared" si="71"/>
        <v>123.80550000000001</v>
      </c>
      <c r="Q237" s="333">
        <f>+N237*0.65</f>
        <v>24.7585</v>
      </c>
      <c r="R237" s="334">
        <f t="shared" si="72"/>
        <v>148.56400000000002</v>
      </c>
      <c r="S237" s="282"/>
      <c r="T237" s="283"/>
    </row>
    <row r="238" spans="1:20" s="179" customFormat="1" ht="22.5">
      <c r="A238" s="272" t="s">
        <v>318</v>
      </c>
      <c r="B238" s="273"/>
      <c r="C238" s="274" t="s">
        <v>61</v>
      </c>
      <c r="D238" s="302" t="s">
        <v>336</v>
      </c>
      <c r="E238" s="62" t="s">
        <v>161</v>
      </c>
      <c r="F238" s="279">
        <v>3100664</v>
      </c>
      <c r="G238" s="331">
        <v>38717</v>
      </c>
      <c r="H238" s="332">
        <v>38747</v>
      </c>
      <c r="I238" s="65" t="s">
        <v>159</v>
      </c>
      <c r="J238" s="71">
        <v>544.79</v>
      </c>
      <c r="K238" s="327">
        <v>108.96</v>
      </c>
      <c r="L238" s="98">
        <v>653.75</v>
      </c>
      <c r="M238" s="330">
        <f>392.25/1.2</f>
        <v>326.875</v>
      </c>
      <c r="N238" s="333">
        <f>+M238*0.2</f>
        <v>65.375</v>
      </c>
      <c r="O238" s="334">
        <f t="shared" si="73"/>
        <v>392.25</v>
      </c>
      <c r="P238" s="333">
        <f aca="true" t="shared" si="74" ref="P238:Q240">+M238*0.65</f>
        <v>212.46875</v>
      </c>
      <c r="Q238" s="333">
        <f t="shared" si="74"/>
        <v>42.49375</v>
      </c>
      <c r="R238" s="334">
        <f t="shared" si="72"/>
        <v>254.9625</v>
      </c>
      <c r="S238" s="282"/>
      <c r="T238" s="283"/>
    </row>
    <row r="239" spans="1:20" s="179" customFormat="1" ht="22.5">
      <c r="A239" s="272" t="s">
        <v>318</v>
      </c>
      <c r="B239" s="273"/>
      <c r="C239" s="274" t="s">
        <v>61</v>
      </c>
      <c r="D239" s="302" t="s">
        <v>337</v>
      </c>
      <c r="E239" s="62" t="s">
        <v>161</v>
      </c>
      <c r="F239" s="279">
        <v>583619</v>
      </c>
      <c r="G239" s="331">
        <v>38775</v>
      </c>
      <c r="H239" s="332">
        <v>38806</v>
      </c>
      <c r="I239" s="65" t="s">
        <v>159</v>
      </c>
      <c r="J239" s="71">
        <v>485.4</v>
      </c>
      <c r="K239" s="327">
        <v>97.08</v>
      </c>
      <c r="L239" s="98">
        <v>582.48</v>
      </c>
      <c r="M239" s="330">
        <f>349.49/1.2</f>
        <v>291.2416666666667</v>
      </c>
      <c r="N239" s="333">
        <f>+M239*0.2</f>
        <v>58.248333333333335</v>
      </c>
      <c r="O239" s="334">
        <f t="shared" si="73"/>
        <v>349.49</v>
      </c>
      <c r="P239" s="333">
        <f t="shared" si="74"/>
        <v>189.30708333333334</v>
      </c>
      <c r="Q239" s="333">
        <f t="shared" si="74"/>
        <v>37.86141666666667</v>
      </c>
      <c r="R239" s="334">
        <f t="shared" si="72"/>
        <v>227.1685</v>
      </c>
      <c r="S239" s="282"/>
      <c r="T239" s="283"/>
    </row>
    <row r="240" spans="1:20" s="179" customFormat="1" ht="22.5">
      <c r="A240" s="272" t="s">
        <v>318</v>
      </c>
      <c r="B240" s="273"/>
      <c r="C240" s="274" t="s">
        <v>61</v>
      </c>
      <c r="D240" s="302" t="s">
        <v>338</v>
      </c>
      <c r="E240" s="62" t="s">
        <v>161</v>
      </c>
      <c r="F240" s="279">
        <v>1283799</v>
      </c>
      <c r="G240" s="331">
        <v>38837</v>
      </c>
      <c r="H240" s="332">
        <v>38867</v>
      </c>
      <c r="I240" s="65" t="s">
        <v>159</v>
      </c>
      <c r="J240" s="71">
        <v>501.89</v>
      </c>
      <c r="K240" s="327">
        <v>100.38</v>
      </c>
      <c r="L240" s="98">
        <v>602.27</v>
      </c>
      <c r="M240" s="330">
        <f>361.36/1.2</f>
        <v>301.1333333333334</v>
      </c>
      <c r="N240" s="333">
        <f>+M240*0.2</f>
        <v>60.22666666666668</v>
      </c>
      <c r="O240" s="334">
        <f t="shared" si="73"/>
        <v>361.36000000000007</v>
      </c>
      <c r="P240" s="333">
        <f t="shared" si="74"/>
        <v>195.7366666666667</v>
      </c>
      <c r="Q240" s="333">
        <f t="shared" si="74"/>
        <v>39.14733333333334</v>
      </c>
      <c r="R240" s="334">
        <f t="shared" si="72"/>
        <v>234.88400000000004</v>
      </c>
      <c r="S240" s="282"/>
      <c r="T240" s="283"/>
    </row>
    <row r="241" spans="1:20" s="179" customFormat="1" ht="22.5">
      <c r="A241" s="272" t="s">
        <v>318</v>
      </c>
      <c r="B241" s="273"/>
      <c r="C241" s="274" t="s">
        <v>61</v>
      </c>
      <c r="D241" s="302" t="s">
        <v>339</v>
      </c>
      <c r="E241" s="62" t="s">
        <v>340</v>
      </c>
      <c r="F241" s="279" t="s">
        <v>341</v>
      </c>
      <c r="G241" s="331">
        <v>38754</v>
      </c>
      <c r="H241" s="332">
        <v>38789</v>
      </c>
      <c r="I241" s="65" t="s">
        <v>159</v>
      </c>
      <c r="J241" s="71">
        <v>60.59</v>
      </c>
      <c r="K241" s="327">
        <v>12.118</v>
      </c>
      <c r="L241" s="98">
        <v>64</v>
      </c>
      <c r="M241" s="71">
        <v>60.59</v>
      </c>
      <c r="N241" s="327">
        <v>12.118</v>
      </c>
      <c r="O241" s="334">
        <f t="shared" si="73"/>
        <v>72.708</v>
      </c>
      <c r="P241" s="333">
        <f aca="true" t="shared" si="75" ref="P241:Q244">+M241*0.65</f>
        <v>39.383500000000005</v>
      </c>
      <c r="Q241" s="333">
        <f t="shared" si="75"/>
        <v>7.8767000000000005</v>
      </c>
      <c r="R241" s="334">
        <f t="shared" si="72"/>
        <v>47.260200000000005</v>
      </c>
      <c r="S241" s="282"/>
      <c r="T241" s="283"/>
    </row>
    <row r="242" spans="1:20" s="179" customFormat="1" ht="22.5">
      <c r="A242" s="272" t="s">
        <v>318</v>
      </c>
      <c r="B242" s="273"/>
      <c r="C242" s="274" t="s">
        <v>61</v>
      </c>
      <c r="D242" s="302" t="s">
        <v>342</v>
      </c>
      <c r="E242" s="62" t="s">
        <v>340</v>
      </c>
      <c r="F242" s="279" t="s">
        <v>343</v>
      </c>
      <c r="G242" s="331">
        <v>38813</v>
      </c>
      <c r="H242" s="332">
        <v>38852</v>
      </c>
      <c r="I242" s="65" t="s">
        <v>159</v>
      </c>
      <c r="J242" s="71">
        <v>43.78</v>
      </c>
      <c r="K242" s="327">
        <v>8.72</v>
      </c>
      <c r="L242" s="98">
        <v>52.5</v>
      </c>
      <c r="M242" s="71">
        <v>43.78</v>
      </c>
      <c r="N242" s="327">
        <v>8.72</v>
      </c>
      <c r="O242" s="334">
        <f t="shared" si="73"/>
        <v>52.5</v>
      </c>
      <c r="P242" s="333">
        <f t="shared" si="75"/>
        <v>28.457</v>
      </c>
      <c r="Q242" s="333">
        <f t="shared" si="75"/>
        <v>5.668000000000001</v>
      </c>
      <c r="R242" s="334">
        <f t="shared" si="72"/>
        <v>34.125</v>
      </c>
      <c r="S242" s="282"/>
      <c r="T242" s="283"/>
    </row>
    <row r="243" spans="1:20" s="179" customFormat="1" ht="22.5">
      <c r="A243" s="272" t="s">
        <v>318</v>
      </c>
      <c r="B243" s="273"/>
      <c r="C243" s="274" t="s">
        <v>61</v>
      </c>
      <c r="D243" s="302" t="s">
        <v>344</v>
      </c>
      <c r="E243" s="62" t="s">
        <v>345</v>
      </c>
      <c r="F243" s="279" t="s">
        <v>359</v>
      </c>
      <c r="G243" s="331">
        <v>38758</v>
      </c>
      <c r="H243" s="332">
        <v>38778</v>
      </c>
      <c r="I243" s="65" t="s">
        <v>159</v>
      </c>
      <c r="J243" s="71">
        <v>260.47</v>
      </c>
      <c r="K243" s="327">
        <v>52.09400000000001</v>
      </c>
      <c r="L243" s="98">
        <v>312.564</v>
      </c>
      <c r="M243" s="330">
        <f>187.54/1.2</f>
        <v>156.28333333333333</v>
      </c>
      <c r="N243" s="333">
        <f>+M243*0.2</f>
        <v>31.256666666666668</v>
      </c>
      <c r="O243" s="334">
        <f t="shared" si="73"/>
        <v>187.54</v>
      </c>
      <c r="P243" s="333">
        <f aca="true" t="shared" si="76" ref="P243:P249">+M243*0.65</f>
        <v>101.58416666666668</v>
      </c>
      <c r="Q243" s="333">
        <f t="shared" si="75"/>
        <v>20.316833333333335</v>
      </c>
      <c r="R243" s="334">
        <f t="shared" si="72"/>
        <v>121.90100000000001</v>
      </c>
      <c r="S243" s="282"/>
      <c r="T243" s="283"/>
    </row>
    <row r="244" spans="1:20" s="179" customFormat="1" ht="22.5">
      <c r="A244" s="272" t="s">
        <v>318</v>
      </c>
      <c r="B244" s="273"/>
      <c r="C244" s="274" t="s">
        <v>61</v>
      </c>
      <c r="D244" s="302" t="s">
        <v>346</v>
      </c>
      <c r="E244" s="62" t="s">
        <v>345</v>
      </c>
      <c r="F244" s="279" t="s">
        <v>360</v>
      </c>
      <c r="G244" s="331">
        <v>38826</v>
      </c>
      <c r="H244" s="332">
        <v>38846</v>
      </c>
      <c r="I244" s="65" t="s">
        <v>159</v>
      </c>
      <c r="J244" s="71">
        <v>247.32</v>
      </c>
      <c r="K244" s="327">
        <v>49.464</v>
      </c>
      <c r="L244" s="98">
        <v>296.784</v>
      </c>
      <c r="M244" s="330">
        <f>178.07/1.2</f>
        <v>148.39166666666668</v>
      </c>
      <c r="N244" s="333">
        <f>+M244*0.2</f>
        <v>29.678333333333338</v>
      </c>
      <c r="O244" s="334">
        <f t="shared" si="73"/>
        <v>178.07000000000002</v>
      </c>
      <c r="P244" s="333">
        <f t="shared" si="76"/>
        <v>96.45458333333335</v>
      </c>
      <c r="Q244" s="333">
        <f t="shared" si="75"/>
        <v>19.29091666666667</v>
      </c>
      <c r="R244" s="334">
        <f t="shared" si="72"/>
        <v>115.74550000000002</v>
      </c>
      <c r="S244" s="282"/>
      <c r="T244" s="283"/>
    </row>
    <row r="245" spans="1:20" s="179" customFormat="1" ht="11.25">
      <c r="A245" s="272" t="s">
        <v>318</v>
      </c>
      <c r="B245" s="273"/>
      <c r="C245" s="274" t="s">
        <v>61</v>
      </c>
      <c r="D245" s="302" t="s">
        <v>347</v>
      </c>
      <c r="E245" s="62" t="s">
        <v>86</v>
      </c>
      <c r="F245" s="279"/>
      <c r="G245" s="331">
        <v>38789</v>
      </c>
      <c r="H245" s="332">
        <v>38789</v>
      </c>
      <c r="I245" s="65" t="s">
        <v>134</v>
      </c>
      <c r="J245" s="71">
        <v>1240</v>
      </c>
      <c r="K245" s="327"/>
      <c r="L245" s="98">
        <v>1240</v>
      </c>
      <c r="M245" s="330">
        <v>744</v>
      </c>
      <c r="N245" s="333"/>
      <c r="O245" s="334">
        <f t="shared" si="73"/>
        <v>744</v>
      </c>
      <c r="P245" s="333">
        <f t="shared" si="76"/>
        <v>483.6</v>
      </c>
      <c r="Q245" s="333"/>
      <c r="R245" s="334">
        <f t="shared" si="72"/>
        <v>483.6</v>
      </c>
      <c r="S245" s="282"/>
      <c r="T245" s="283"/>
    </row>
    <row r="246" spans="1:20" s="179" customFormat="1" ht="11.25">
      <c r="A246" s="272" t="s">
        <v>318</v>
      </c>
      <c r="B246" s="273"/>
      <c r="C246" s="274" t="s">
        <v>61</v>
      </c>
      <c r="D246" s="302" t="s">
        <v>348</v>
      </c>
      <c r="E246" s="62" t="s">
        <v>86</v>
      </c>
      <c r="F246" s="279"/>
      <c r="G246" s="331">
        <v>38856</v>
      </c>
      <c r="H246" s="332">
        <v>38856</v>
      </c>
      <c r="I246" s="65" t="s">
        <v>134</v>
      </c>
      <c r="J246" s="71">
        <v>1240</v>
      </c>
      <c r="K246" s="327"/>
      <c r="L246" s="98">
        <v>1240</v>
      </c>
      <c r="M246" s="330">
        <v>744</v>
      </c>
      <c r="N246" s="333"/>
      <c r="O246" s="334">
        <f t="shared" si="73"/>
        <v>744</v>
      </c>
      <c r="P246" s="333">
        <f t="shared" si="76"/>
        <v>483.6</v>
      </c>
      <c r="Q246" s="333"/>
      <c r="R246" s="334">
        <f t="shared" si="72"/>
        <v>483.6</v>
      </c>
      <c r="S246" s="282"/>
      <c r="T246" s="283"/>
    </row>
    <row r="247" spans="1:20" s="179" customFormat="1" ht="33.75">
      <c r="A247" s="272" t="s">
        <v>318</v>
      </c>
      <c r="B247" s="273"/>
      <c r="C247" s="274" t="s">
        <v>61</v>
      </c>
      <c r="D247" s="302" t="s">
        <v>349</v>
      </c>
      <c r="E247" s="62" t="s">
        <v>138</v>
      </c>
      <c r="F247" s="279" t="s">
        <v>303</v>
      </c>
      <c r="G247" s="331">
        <v>38810</v>
      </c>
      <c r="H247" s="332">
        <v>38820</v>
      </c>
      <c r="I247" s="65" t="s">
        <v>134</v>
      </c>
      <c r="J247" s="71">
        <v>4200.55</v>
      </c>
      <c r="K247" s="327"/>
      <c r="L247" s="98">
        <v>4200.55</v>
      </c>
      <c r="M247" s="330">
        <v>4200.55</v>
      </c>
      <c r="N247" s="333"/>
      <c r="O247" s="334">
        <f t="shared" si="73"/>
        <v>4200.55</v>
      </c>
      <c r="P247" s="333">
        <f t="shared" si="76"/>
        <v>2730.3575</v>
      </c>
      <c r="Q247" s="333"/>
      <c r="R247" s="334">
        <f t="shared" si="72"/>
        <v>2730.3575</v>
      </c>
      <c r="S247" s="282"/>
      <c r="T247" s="283"/>
    </row>
    <row r="248" spans="1:20" s="179" customFormat="1" ht="33.75">
      <c r="A248" s="272" t="s">
        <v>318</v>
      </c>
      <c r="B248" s="273"/>
      <c r="C248" s="274" t="s">
        <v>61</v>
      </c>
      <c r="D248" s="302" t="s">
        <v>350</v>
      </c>
      <c r="E248" s="62"/>
      <c r="F248" s="279"/>
      <c r="G248" s="331"/>
      <c r="H248" s="332">
        <v>38861</v>
      </c>
      <c r="I248" s="65" t="s">
        <v>351</v>
      </c>
      <c r="J248" s="71">
        <v>1550.06</v>
      </c>
      <c r="K248" s="327"/>
      <c r="L248" s="98">
        <v>1550.06</v>
      </c>
      <c r="M248" s="330">
        <f>15.98*97</f>
        <v>1550.06</v>
      </c>
      <c r="N248" s="333"/>
      <c r="O248" s="334">
        <f t="shared" si="73"/>
        <v>1550.06</v>
      </c>
      <c r="P248" s="333">
        <f t="shared" si="76"/>
        <v>1007.539</v>
      </c>
      <c r="Q248" s="333"/>
      <c r="R248" s="334">
        <f t="shared" si="72"/>
        <v>1007.539</v>
      </c>
      <c r="S248" s="282"/>
      <c r="T248" s="283"/>
    </row>
    <row r="249" spans="1:20" s="179" customFormat="1" ht="45">
      <c r="A249" s="272" t="s">
        <v>318</v>
      </c>
      <c r="B249" s="273"/>
      <c r="C249" s="15" t="s">
        <v>36</v>
      </c>
      <c r="D249" s="302" t="s">
        <v>68</v>
      </c>
      <c r="E249" s="62" t="s">
        <v>361</v>
      </c>
      <c r="F249" s="279" t="s">
        <v>362</v>
      </c>
      <c r="G249" s="331">
        <v>38754</v>
      </c>
      <c r="H249" s="332">
        <v>38839</v>
      </c>
      <c r="I249" s="65" t="s">
        <v>363</v>
      </c>
      <c r="J249" s="71">
        <v>268.08</v>
      </c>
      <c r="K249" s="327">
        <v>30.92</v>
      </c>
      <c r="L249" s="98">
        <v>299</v>
      </c>
      <c r="M249" s="330">
        <f>+J249*0.6</f>
        <v>160.84799999999998</v>
      </c>
      <c r="N249" s="330">
        <f>+K249*0.6</f>
        <v>18.552</v>
      </c>
      <c r="O249" s="334">
        <f t="shared" si="73"/>
        <v>179.39999999999998</v>
      </c>
      <c r="P249" s="333">
        <f t="shared" si="76"/>
        <v>104.5512</v>
      </c>
      <c r="Q249" s="333">
        <f>+N249*0.65</f>
        <v>12.0588</v>
      </c>
      <c r="R249" s="334">
        <f t="shared" si="72"/>
        <v>116.61</v>
      </c>
      <c r="S249" s="372" t="s">
        <v>364</v>
      </c>
      <c r="T249" s="373"/>
    </row>
    <row r="250" spans="1:20" s="179" customFormat="1" ht="11.25">
      <c r="A250" s="272"/>
      <c r="B250" s="273"/>
      <c r="C250" s="274"/>
      <c r="D250" s="302"/>
      <c r="E250" s="62"/>
      <c r="F250" s="279"/>
      <c r="G250" s="331"/>
      <c r="H250" s="332"/>
      <c r="I250" s="65"/>
      <c r="J250" s="71"/>
      <c r="K250" s="327"/>
      <c r="L250" s="98"/>
      <c r="M250" s="330"/>
      <c r="N250" s="333"/>
      <c r="O250" s="334"/>
      <c r="P250" s="333"/>
      <c r="Q250" s="333"/>
      <c r="R250" s="334"/>
      <c r="S250" s="282"/>
      <c r="T250" s="283"/>
    </row>
    <row r="251" spans="10:20" ht="15" customHeight="1">
      <c r="J251" s="55"/>
      <c r="K251" s="58"/>
      <c r="S251" s="67"/>
      <c r="T251" s="67"/>
    </row>
  </sheetData>
  <autoFilter ref="A7:T250"/>
  <mergeCells count="134">
    <mergeCell ref="S15:T15"/>
    <mergeCell ref="S125:T125"/>
    <mergeCell ref="S110:T110"/>
    <mergeCell ref="S111:T111"/>
    <mergeCell ref="S112:T112"/>
    <mergeCell ref="S121:T121"/>
    <mergeCell ref="S122:T122"/>
    <mergeCell ref="S123:T123"/>
    <mergeCell ref="S191:T191"/>
    <mergeCell ref="S190:T190"/>
    <mergeCell ref="S183:T183"/>
    <mergeCell ref="F4:G4"/>
    <mergeCell ref="F5:G5"/>
    <mergeCell ref="S61:T64"/>
    <mergeCell ref="S65:T68"/>
    <mergeCell ref="S48:T48"/>
    <mergeCell ref="C45:K45"/>
    <mergeCell ref="S22:T23"/>
    <mergeCell ref="A170:L170"/>
    <mergeCell ref="A128:L128"/>
    <mergeCell ref="A139:L139"/>
    <mergeCell ref="S155:T155"/>
    <mergeCell ref="S137:T137"/>
    <mergeCell ref="S136:T136"/>
    <mergeCell ref="S135:T135"/>
    <mergeCell ref="A140:B145"/>
    <mergeCell ref="S153:T153"/>
    <mergeCell ref="S158:T158"/>
    <mergeCell ref="S178:T178"/>
    <mergeCell ref="S168:T168"/>
    <mergeCell ref="S180:T180"/>
    <mergeCell ref="S177:T177"/>
    <mergeCell ref="S179:T179"/>
    <mergeCell ref="S205:T205"/>
    <mergeCell ref="S208:T208"/>
    <mergeCell ref="S209:T209"/>
    <mergeCell ref="S181:T181"/>
    <mergeCell ref="S202:T202"/>
    <mergeCell ref="S203:T203"/>
    <mergeCell ref="S204:T204"/>
    <mergeCell ref="S182:T182"/>
    <mergeCell ref="S192:T192"/>
    <mergeCell ref="S184:T184"/>
    <mergeCell ref="C41:K41"/>
    <mergeCell ref="C109:K109"/>
    <mergeCell ref="A104:B109"/>
    <mergeCell ref="C104:K104"/>
    <mergeCell ref="C105:K105"/>
    <mergeCell ref="A1:T1"/>
    <mergeCell ref="S37:T37"/>
    <mergeCell ref="S21:T21"/>
    <mergeCell ref="S17:T17"/>
    <mergeCell ref="S18:T18"/>
    <mergeCell ref="S19:T19"/>
    <mergeCell ref="A2:B5"/>
    <mergeCell ref="S20:T20"/>
    <mergeCell ref="F2:G2"/>
    <mergeCell ref="F3:G3"/>
    <mergeCell ref="C116:K116"/>
    <mergeCell ref="C120:K120"/>
    <mergeCell ref="A8:L8"/>
    <mergeCell ref="S24:T24"/>
    <mergeCell ref="S26:T26"/>
    <mergeCell ref="S25:T25"/>
    <mergeCell ref="A103:L103"/>
    <mergeCell ref="A114:L114"/>
    <mergeCell ref="A40:B45"/>
    <mergeCell ref="C40:K40"/>
    <mergeCell ref="A39:L39"/>
    <mergeCell ref="C140:K140"/>
    <mergeCell ref="C141:K141"/>
    <mergeCell ref="C145:K145"/>
    <mergeCell ref="A129:B134"/>
    <mergeCell ref="C129:K129"/>
    <mergeCell ref="C130:K130"/>
    <mergeCell ref="C134:K134"/>
    <mergeCell ref="A115:B120"/>
    <mergeCell ref="C115:K115"/>
    <mergeCell ref="A171:B176"/>
    <mergeCell ref="C171:K171"/>
    <mergeCell ref="C172:K172"/>
    <mergeCell ref="C176:K176"/>
    <mergeCell ref="S54:T55"/>
    <mergeCell ref="S46:T46"/>
    <mergeCell ref="S47:T47"/>
    <mergeCell ref="S50:T50"/>
    <mergeCell ref="S51:T51"/>
    <mergeCell ref="S49:T49"/>
    <mergeCell ref="S52:T52"/>
    <mergeCell ref="S53:T53"/>
    <mergeCell ref="S124:T124"/>
    <mergeCell ref="S156:T156"/>
    <mergeCell ref="S157:T157"/>
    <mergeCell ref="S146:T146"/>
    <mergeCell ref="S148:T148"/>
    <mergeCell ref="S149:T149"/>
    <mergeCell ref="S150:T150"/>
    <mergeCell ref="S151:T151"/>
    <mergeCell ref="S152:T152"/>
    <mergeCell ref="S154:T154"/>
    <mergeCell ref="S76:T76"/>
    <mergeCell ref="S75:T75"/>
    <mergeCell ref="S60:T60"/>
    <mergeCell ref="S56:T57"/>
    <mergeCell ref="S69:T69"/>
    <mergeCell ref="S59:T59"/>
    <mergeCell ref="S58:T58"/>
    <mergeCell ref="S73:T73"/>
    <mergeCell ref="S71:T71"/>
    <mergeCell ref="S72:T72"/>
    <mergeCell ref="S185:T185"/>
    <mergeCell ref="S193:T196"/>
    <mergeCell ref="S212:T212"/>
    <mergeCell ref="S210:T211"/>
    <mergeCell ref="S197:T197"/>
    <mergeCell ref="S199:T199"/>
    <mergeCell ref="S200:T200"/>
    <mergeCell ref="S201:T201"/>
    <mergeCell ref="S207:T207"/>
    <mergeCell ref="S206:T206"/>
    <mergeCell ref="S95:T95"/>
    <mergeCell ref="S186:T189"/>
    <mergeCell ref="C212:D212"/>
    <mergeCell ref="S249:T249"/>
    <mergeCell ref="S97:T97"/>
    <mergeCell ref="S96:T96"/>
    <mergeCell ref="S98:T98"/>
    <mergeCell ref="S99:T99"/>
    <mergeCell ref="S224:T224"/>
    <mergeCell ref="S232:T232"/>
    <mergeCell ref="S88:T88"/>
    <mergeCell ref="S91:T91"/>
    <mergeCell ref="S93:T93"/>
    <mergeCell ref="S94:T94"/>
  </mergeCells>
  <printOptions horizontalCentered="1"/>
  <pageMargins left="0.2" right="0.46" top="0.33" bottom="0.27" header="0.22" footer="0.17"/>
  <pageSetup horizontalDpi="300" verticalDpi="300" orientation="landscape"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sciacovelli</dc:creator>
  <cp:keywords/>
  <dc:description/>
  <cp:lastModifiedBy>sciacovelli</cp:lastModifiedBy>
  <cp:lastPrinted>2006-05-05T08:49:54Z</cp:lastPrinted>
  <dcterms:created xsi:type="dcterms:W3CDTF">2005-04-28T08:10:49Z</dcterms:created>
  <dcterms:modified xsi:type="dcterms:W3CDTF">2006-10-23T10:12:05Z</dcterms:modified>
  <cp:category/>
  <cp:version/>
  <cp:contentType/>
  <cp:contentStatus/>
</cp:coreProperties>
</file>