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Complessivo" sheetId="1" r:id="rId1"/>
  </sheets>
  <definedNames>
    <definedName name="_xlnm.Print_Area" localSheetId="0">'Complessivo'!$A$1:$T$154</definedName>
    <definedName name="_xlnm.Print_Titles" localSheetId="0">'Complessivo'!$1:$5</definedName>
  </definedNames>
  <calcPr fullCalcOnLoad="1"/>
</workbook>
</file>

<file path=xl/sharedStrings.xml><?xml version="1.0" encoding="utf-8"?>
<sst xmlns="http://schemas.openxmlformats.org/spreadsheetml/2006/main" count="716" uniqueCount="255">
  <si>
    <t>PROGETTO</t>
  </si>
  <si>
    <t>LICENZE</t>
  </si>
  <si>
    <t>Fornitore</t>
  </si>
  <si>
    <t>Imponibile</t>
  </si>
  <si>
    <t>Iva</t>
  </si>
  <si>
    <t>Totale fattura</t>
  </si>
  <si>
    <t>PERSONALE</t>
  </si>
  <si>
    <t>CONSULENZE</t>
  </si>
  <si>
    <t>SOFTWARE</t>
  </si>
  <si>
    <t>INFRASTRUTTURE</t>
  </si>
  <si>
    <t>SPESE GENERALI</t>
  </si>
  <si>
    <t>Att.</t>
  </si>
  <si>
    <t>Previsto</t>
  </si>
  <si>
    <t>Residuo</t>
  </si>
  <si>
    <t>SAL</t>
  </si>
  <si>
    <t>I</t>
  </si>
  <si>
    <t>Modalità</t>
  </si>
  <si>
    <t>Data Pag</t>
  </si>
  <si>
    <t>Data fatt</t>
  </si>
  <si>
    <t>N. fattura</t>
  </si>
  <si>
    <t>Descr.</t>
  </si>
  <si>
    <t>Costi ammessi</t>
  </si>
  <si>
    <t>Contributo</t>
  </si>
  <si>
    <t>NOLO LEASING AMM</t>
  </si>
  <si>
    <t>Partner</t>
  </si>
  <si>
    <t>Ant.</t>
  </si>
  <si>
    <t>Erogare</t>
  </si>
  <si>
    <t>Note</t>
  </si>
  <si>
    <t>SAL 1</t>
  </si>
  <si>
    <t>TOT GEN</t>
  </si>
  <si>
    <t>TOT SAL 1</t>
  </si>
  <si>
    <t>Avvio PR</t>
  </si>
  <si>
    <t>Polizza fideiussoria</t>
  </si>
  <si>
    <t>IVA=</t>
  </si>
  <si>
    <t>Res IVA=</t>
  </si>
  <si>
    <t>Farmacisti Network</t>
  </si>
  <si>
    <t>Ordine Bari</t>
  </si>
  <si>
    <t>Consiglio Pasquale</t>
  </si>
  <si>
    <t>Attività 1</t>
  </si>
  <si>
    <t>Milano Assicurazioni La Previdente</t>
  </si>
  <si>
    <t>Ordine Lecce</t>
  </si>
  <si>
    <t>Quarta Lucia</t>
  </si>
  <si>
    <t>Ordine Foggia</t>
  </si>
  <si>
    <t>Calabrese Rosanna</t>
  </si>
  <si>
    <t>Ordine Brindisi</t>
  </si>
  <si>
    <t>D'Elia Antonio</t>
  </si>
  <si>
    <t>Medea srl</t>
  </si>
  <si>
    <t>Univ. Pop. Apulie</t>
  </si>
  <si>
    <t>B. B.</t>
  </si>
  <si>
    <t>01/05</t>
  </si>
  <si>
    <t xml:space="preserve">Grifo Multimedia </t>
  </si>
  <si>
    <t>1,2,7</t>
  </si>
  <si>
    <t>Attività 1,2,7</t>
  </si>
  <si>
    <t>AB 20821</t>
  </si>
  <si>
    <t>Missione Antonio Ulloa Severino</t>
  </si>
  <si>
    <t>Missione Francesca Vitucci</t>
  </si>
  <si>
    <t>Missione Francesca Vitucci Aerei</t>
  </si>
  <si>
    <t>Busta Paga Maggio</t>
  </si>
  <si>
    <t>Busta Paga Marzo</t>
  </si>
  <si>
    <t>B.B.</t>
  </si>
  <si>
    <t xml:space="preserve">Carta di Credito </t>
  </si>
  <si>
    <t>Mediterranea</t>
  </si>
  <si>
    <t>Diella Maria</t>
  </si>
  <si>
    <t>Grasso Rossella</t>
  </si>
  <si>
    <t>Attività 7</t>
  </si>
  <si>
    <t>Grifo Multimedia</t>
  </si>
  <si>
    <t>Spese per energia elettrica</t>
  </si>
  <si>
    <t>Spese condominio gennaio-febbraio</t>
  </si>
  <si>
    <t>Spese telefoniche</t>
  </si>
  <si>
    <t>Spese di cancelleria</t>
  </si>
  <si>
    <t>Spese notarili per costituzione ATS</t>
  </si>
  <si>
    <t>Spese condominio marzo-aprile</t>
  </si>
  <si>
    <t>Spese postali</t>
  </si>
  <si>
    <t>Spese affitto febbraio-marzo-aprile</t>
  </si>
  <si>
    <t>Spese affitto maggio</t>
  </si>
  <si>
    <t>Spese affitto giugno</t>
  </si>
  <si>
    <t>Spese condominio maggio-giugno</t>
  </si>
  <si>
    <t>Personale Indiretto per attività amministrativa (25 ore)</t>
  </si>
  <si>
    <t>Enel Distribuzione Spa</t>
  </si>
  <si>
    <t>Condominio Via Putignani n. 178</t>
  </si>
  <si>
    <t>FASTWEB Spa</t>
  </si>
  <si>
    <t>ADITEK Srl</t>
  </si>
  <si>
    <t>Flash Centro Stampa</t>
  </si>
  <si>
    <t>Notai Castellaneta - Ladisa</t>
  </si>
  <si>
    <t>Drogheria Di Cosmo</t>
  </si>
  <si>
    <t>Tabaccheria n. 25</t>
  </si>
  <si>
    <t>Ancona Giuseppe</t>
  </si>
  <si>
    <t>304/05</t>
  </si>
  <si>
    <t xml:space="preserve">busta paga </t>
  </si>
  <si>
    <t>Addebito su c/c/b</t>
  </si>
  <si>
    <t>Assegno bancario NT</t>
  </si>
  <si>
    <t>Bonifico bancario</t>
  </si>
  <si>
    <t>Contanti</t>
  </si>
  <si>
    <t>Non sono ammesse spese notarili</t>
  </si>
  <si>
    <t>Non sono ammesse spese in contanti</t>
  </si>
  <si>
    <t>Consulenza per Attività 1 e 7</t>
  </si>
  <si>
    <t>FARMACISTI NETWORK  cod. 26 - RIEPILOGO SPESE</t>
  </si>
  <si>
    <t>Costi di allacciamento Non ammessa</t>
  </si>
  <si>
    <t>Anche se il calcolo del costo orario presentato non è secondo le linee guida i costi ammessi</t>
  </si>
  <si>
    <t>Anche se il calcolo del costo orario presentato non è secondo le linee guida i costi sono ammessi</t>
  </si>
  <si>
    <t>Utilizzo al 60% a partire dal 15/3/2005</t>
  </si>
  <si>
    <t>Togliere questa IVA su prossimo sal</t>
  </si>
  <si>
    <t>II</t>
  </si>
  <si>
    <t>Ordine Framacisti Provincia di Bari</t>
  </si>
  <si>
    <t>Unità operativa di monitoraggio</t>
  </si>
  <si>
    <t>Dr. Pasquale Intranò</t>
  </si>
  <si>
    <t>39/2005</t>
  </si>
  <si>
    <t>Assegno bancario</t>
  </si>
  <si>
    <t>Dr. Ferdinando Boccia</t>
  </si>
  <si>
    <t xml:space="preserve">Dr. Tommaso di Gioia </t>
  </si>
  <si>
    <t>115/2005</t>
  </si>
  <si>
    <t>Dr.ssa Caterina Luisa Appio</t>
  </si>
  <si>
    <t>Iva Ammessa</t>
  </si>
  <si>
    <t>Totale ammesso</t>
  </si>
  <si>
    <t>Ordine Taranto</t>
  </si>
  <si>
    <t>Attività1</t>
  </si>
  <si>
    <t>Polignano Antonio</t>
  </si>
  <si>
    <t>Medea s.r.l.</t>
  </si>
  <si>
    <t>Università Pop. APULIAE</t>
  </si>
  <si>
    <t>05/05</t>
  </si>
  <si>
    <t>Bonifico Bancario</t>
  </si>
  <si>
    <t>06/05</t>
  </si>
  <si>
    <t>04/10/2005 11/10/2005 17/10/2005</t>
  </si>
  <si>
    <t>Attività A4-A7</t>
  </si>
  <si>
    <t>Medea srl.</t>
  </si>
  <si>
    <t>Licenza Software</t>
  </si>
  <si>
    <t>Flaminia Computer</t>
  </si>
  <si>
    <t>SAL 2</t>
  </si>
  <si>
    <t>Acquisto Server</t>
  </si>
  <si>
    <t>Bellante Maria Teresa, Bianco Francesco, Civitella Elisa, Diella Maria, Grasso Rossella</t>
  </si>
  <si>
    <t>Progettazione infrastruttura funzionale del Call Center (sottoattività 1.4)</t>
  </si>
  <si>
    <t>Piattaforma internet per attività 1 "Analisi dei requisiti"</t>
  </si>
  <si>
    <t>Progettazione questionari per attività 1 "Analisi dei requisiti"</t>
  </si>
  <si>
    <t>Ideazione e coordinamento attività di comunicazione e diffusione (att. 6)</t>
  </si>
  <si>
    <t>Progettazione e realizzazione grafica (attività 6)</t>
  </si>
  <si>
    <t>Puglia Lavora in Rete soc. coop. a r.l.</t>
  </si>
  <si>
    <t>A/B</t>
  </si>
  <si>
    <t>09/05</t>
  </si>
  <si>
    <t>Consorzio per le Valutazioni Biologiche e Farmacologiche</t>
  </si>
  <si>
    <t>19/05</t>
  </si>
  <si>
    <t>Puglia Lavoro e Comunicazione soc. cons. a r.l.</t>
  </si>
  <si>
    <t>3/2005</t>
  </si>
  <si>
    <t>Kibrit &amp; Calce s.r.l.</t>
  </si>
  <si>
    <t>43</t>
  </si>
  <si>
    <t>10/05</t>
  </si>
  <si>
    <t>Ampliamento telefoni interni</t>
  </si>
  <si>
    <t>Installazione interruttore</t>
  </si>
  <si>
    <t>Marzocca s.r.l.</t>
  </si>
  <si>
    <t>3117/10</t>
  </si>
  <si>
    <t>T&amp;G Costruzioni</t>
  </si>
  <si>
    <t>DELL SA</t>
  </si>
  <si>
    <t>Energia elettrica 07-08/05</t>
  </si>
  <si>
    <t>Spese condominiali 07-08/05</t>
  </si>
  <si>
    <t>Locazione beni mobili 1^ semestre</t>
  </si>
  <si>
    <t>Spese telefoniche 05-06/05</t>
  </si>
  <si>
    <t>Energia elettrica 05-06/05</t>
  </si>
  <si>
    <t>Spese telefoniche 03-04/05</t>
  </si>
  <si>
    <t xml:space="preserve">Spese affitto luglio-agosto </t>
  </si>
  <si>
    <t>Personale indiretto per attività amministrativa (n.46 ore)</t>
  </si>
  <si>
    <t>Spese condominiali 09-10/05</t>
  </si>
  <si>
    <t>ENEL S.p.A.</t>
  </si>
  <si>
    <t>Addebito c/c/b</t>
  </si>
  <si>
    <t>Amm. Condominio Sig. Mutasci</t>
  </si>
  <si>
    <t>Fastweb S.p.A.</t>
  </si>
  <si>
    <t>Sig. Ancona Giuseppe</t>
  </si>
  <si>
    <t>busta paga</t>
  </si>
  <si>
    <t>Ulloa Severino Antonio, De Girolamo Antonio, Melfi Livio, Vitucci Francesca, Rizzuti Luca</t>
  </si>
  <si>
    <t>Ulloa Severino Antonio, De Girolamo Antonio, Melfi Livio, Vitucci Francesca, Rizzuti Luca,Francesca Spada</t>
  </si>
  <si>
    <t xml:space="preserve">Realizzazione dell'infrastruttura FAD </t>
  </si>
  <si>
    <t>Progettazione e sviluppo software per applicazioni di formazione a distanza (FAD)</t>
  </si>
  <si>
    <t>Michele Emanuele Digioia</t>
  </si>
  <si>
    <t>12/05</t>
  </si>
  <si>
    <t>13/05</t>
  </si>
  <si>
    <t>14/05</t>
  </si>
  <si>
    <t>15/05</t>
  </si>
  <si>
    <t>03/10/2005</t>
  </si>
  <si>
    <t>Fabio Mozzillo</t>
  </si>
  <si>
    <t>7/2005</t>
  </si>
  <si>
    <t>10/2005</t>
  </si>
  <si>
    <t>11/2005</t>
  </si>
  <si>
    <t>12/2005</t>
  </si>
  <si>
    <t xml:space="preserve">Acconto su 1 server Dell + 1 switch </t>
  </si>
  <si>
    <t xml:space="preserve">1 server Dell + 1 switch </t>
  </si>
  <si>
    <t>1 work station</t>
  </si>
  <si>
    <t>1 masterizzatore</t>
  </si>
  <si>
    <t>SalpaLAN</t>
  </si>
  <si>
    <t>30/05/2005</t>
  </si>
  <si>
    <t>30/05/2006</t>
  </si>
  <si>
    <t>Dell S.A.</t>
  </si>
  <si>
    <t>Media World - Mediamarket S.p.A.</t>
  </si>
  <si>
    <t>04211150</t>
  </si>
  <si>
    <t>Pagobancomat</t>
  </si>
  <si>
    <t>Datamatic S.p.A.</t>
  </si>
  <si>
    <t>K050862</t>
  </si>
  <si>
    <t>N. 3 Windows XP Professional Italian CD</t>
  </si>
  <si>
    <t>Piattaforma e-learning</t>
  </si>
  <si>
    <t>J. Soft Distribuzione S.p.A.</t>
  </si>
  <si>
    <t>FT016603</t>
  </si>
  <si>
    <t>Docent Germany GmbH Trading as SumTotal Systems</t>
  </si>
  <si>
    <t>Connettività internet e hosting web server</t>
  </si>
  <si>
    <t xml:space="preserve">Tecnopolis CSATA </t>
  </si>
  <si>
    <t>26/04/2005</t>
  </si>
  <si>
    <t>Personale indiretto per attività amministrativa dal 01/04/2005 al 23/09/2005 (570 ore)</t>
  </si>
  <si>
    <t>Servizi di Global Facility Management fornitoVi presso il PST Tecnopolis di Valenzano (BA) Periodo Gennaio - Marzo 2005</t>
  </si>
  <si>
    <t>Servizi di Global Facility Management fornitoVi presso il PST Tecnopolis di Valenzano (BA) Periodo Aprile - Giugno 2005</t>
  </si>
  <si>
    <t>Nicoletta Furio</t>
  </si>
  <si>
    <t>Buste paga  aprile, maggio, giugno, settembre 2005</t>
  </si>
  <si>
    <t>31/05/2005; 30/06/2005; 30/09/2005</t>
  </si>
  <si>
    <t>04/05/2005; 01/06/2005; 04/07/2005; 03/10/2005</t>
  </si>
  <si>
    <t>Emmegiesse S.p.A.</t>
  </si>
  <si>
    <t>18/05</t>
  </si>
  <si>
    <t>22/02/2005</t>
  </si>
  <si>
    <t>100/05</t>
  </si>
  <si>
    <t>ContributoIVA</t>
  </si>
  <si>
    <t>Contributo totale</t>
  </si>
  <si>
    <t>TOT SAL 2</t>
  </si>
  <si>
    <t>Spesa ammessa</t>
  </si>
  <si>
    <t>Iva ammessa</t>
  </si>
  <si>
    <t>TOT ammes</t>
  </si>
  <si>
    <t>Contrib. Costi</t>
  </si>
  <si>
    <t>Contrib. Iva</t>
  </si>
  <si>
    <t>TOT CONTR</t>
  </si>
  <si>
    <t>Sotratta IVA non ammissibile su fattura e concesa sul SAL I</t>
  </si>
  <si>
    <t>TOT SAL 3</t>
  </si>
  <si>
    <t>SAL 3</t>
  </si>
  <si>
    <t>CONTRIBUTO</t>
  </si>
  <si>
    <t>Inserite dal beneficiario in licenze, è stata spostata in software.</t>
  </si>
  <si>
    <t>Fago, Mongelli, Ripa, Di Ronzo, Bartoloni sommano dai riepilogativi 45gg in fascia II e 53gg in fascia III, per un totale di 45+240+53+160=19.280 mentre sono fatturate 58gg in fascia II e 39gg in fascia III per un tot di 19040 ma pagate solo 19.000 che si ritengono ammissibili. Mancano i curriculum di tutti tranne Mongelli e in assenza di questi il contributo verrà stralciato nel prossimo SAL.</t>
  </si>
  <si>
    <t>Contratto tra Mediterranea e PLANET i cui legali rappresentanti sono la stessa persona Anna Maria Caputo. Allega dichiarazione di specificità della prestazione per incarico diretto, dichiarando invece di aver contattato altri 5 possibili fornitori di cui non allega i preventivi, come richiesto dalle Linee Guida Operative della Misura. Il consulente Chieppa Nicola si dichiara in III fascia e quindi il suo costo massimo sarebbe di 180x6=1080euro invece dei 1850 portati in fattura. Il consulente PierPaolo Ronzino espone 16gg di consulenza a 125 euro/g. Tali costi saranno riconosciuti solo dietro presentazione dei citati preventivi e del verbale di selezione del miglior offerente. Manca dimostrazione di pagamento: fotocopia assegno e estratto conto bancario con estremi di incasso. Fornire copia del Libro matricola di Puglia Lavoro in rete da cui si evincano quali dipendenti i consulenti citati, o equivalente dichiarazione autocertificata. Manca liberatoria del fornitore.</t>
  </si>
  <si>
    <t>Mostrare i preventivi ottenuti per assegnazione dell'incarico. 19gg per 300euro= 5700euro riconoscibili. Manca dimostrazione di incasso dell'assegno bancario mediante esibizione di estratto conto.</t>
  </si>
  <si>
    <t>Mostrare i preventivi ottenuti per l'assegnazione dell'incarico.Manca estratto conto per dimostrazione incasso A.B.</t>
  </si>
  <si>
    <t xml:space="preserve">Il contratto di consulenza va perfezionato direttamente con Anastasia Peragine e con la Kibrit nel caso la stessa ne fosse dipendente. In questo caso fornire dichiarazione attestante la posizione di lavoratore subordinato della consulente alla Kibrit. </t>
  </si>
  <si>
    <t>dimostrazione dell'incasso assegno</t>
  </si>
  <si>
    <t>III</t>
  </si>
  <si>
    <t>Locazione da effettuare con società commerciali di hw e sw che assicurino la manutenzione delle apparecchiature. Esibire copia delle fatture di acquisto delle apparechiaure che non devono aver superato il periodo di ammortamento. Il costo del nolo appare comunque troppo elevato in relazione al valore ammortizzabile dei bani. Non ammesse.</t>
  </si>
  <si>
    <t>Applicata l'aliquota indicata del 60% per le spese generali imputabili al progetto</t>
  </si>
  <si>
    <t>Esibire copia del contratto di locazione dell'immobile in via putignani 178 bari. Dimostrazione incasso A.B. con estratto conto.</t>
  </si>
  <si>
    <t>Esibire copia del contratto di collaborazione</t>
  </si>
  <si>
    <t>SAL 1 - 24/01/2005 - 24/05/2005</t>
  </si>
  <si>
    <t>SAL 2 - 24/05/2005 - 24/09/2005</t>
  </si>
  <si>
    <t>CONTRIB IVA</t>
  </si>
  <si>
    <t>Eliminati costi Ulloa amministratore unico</t>
  </si>
  <si>
    <t>Manca firma e annullamento fattura.</t>
  </si>
  <si>
    <t>2 Creative Webcam Instant, Sitecom USB 2.0 pocket HUB, Logitech Dinovo Cless Desktop Notebook</t>
  </si>
  <si>
    <t>BCI-6Y Serbatoio giallo, BCI3E-BK Serbatoio Nero</t>
  </si>
  <si>
    <t>Le fatture portano errato indirizzo del destinatario.</t>
  </si>
  <si>
    <t>Provvisorio</t>
  </si>
  <si>
    <t>Concesso in via provvisoria</t>
  </si>
  <si>
    <t>Conguaglio su II sal</t>
  </si>
  <si>
    <t>Ammessi provvisoriamente</t>
  </si>
  <si>
    <t>Conguaglio su II SAL</t>
  </si>
  <si>
    <t>provvisorio</t>
  </si>
  <si>
    <r>
      <t xml:space="preserve">Non ammesse spese di attivazione </t>
    </r>
    <r>
      <rPr>
        <b/>
        <sz val="8"/>
        <rFont val="Arial"/>
        <family val="2"/>
      </rPr>
      <t>invece Le abbiamo ammesse OK</t>
    </r>
  </si>
  <si>
    <r>
      <t xml:space="preserve">Eliminate imposte e morosità </t>
    </r>
    <r>
      <rPr>
        <b/>
        <sz val="8"/>
        <rFont val="Arial"/>
        <family val="2"/>
      </rPr>
      <t>Invece non le abbiamo eliminate. Saranno eliminate nel prossimo Sal</t>
    </r>
  </si>
  <si>
    <t>Congluaglio II SAL</t>
  </si>
</sst>
</file>

<file path=xl/styles.xml><?xml version="1.0" encoding="utf-8"?>
<styleSheet xmlns="http://schemas.openxmlformats.org/spreadsheetml/2006/main">
  <numFmts count="2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_-* #,##0.00_-;\-* #,##0.00_-;_-* &quot;-&quot;_-;_-@_-"/>
    <numFmt numFmtId="172" formatCode="#,##0.00_ ;\-#,##0.00\ "/>
    <numFmt numFmtId="173" formatCode="mmm\-yyyy"/>
    <numFmt numFmtId="174" formatCode="&quot;Sì&quot;;&quot;Sì&quot;;&quot;No&quot;"/>
    <numFmt numFmtId="175" formatCode="&quot;Vero&quot;;&quot;Vero&quot;;&quot;Falso&quot;"/>
    <numFmt numFmtId="176" formatCode="&quot;Attivo&quot;;&quot;Attivo&quot;;&quot;Disattivo&quot;"/>
    <numFmt numFmtId="177" formatCode="0.0"/>
    <numFmt numFmtId="178" formatCode="[$-410]dddd\ d\ mmmm\ yyyy"/>
    <numFmt numFmtId="179" formatCode="dd/mm/yy;@"/>
    <numFmt numFmtId="180" formatCode="h\.mm\.ss"/>
    <numFmt numFmtId="181" formatCode="d/m;@"/>
    <numFmt numFmtId="182" formatCode="#,##0.000"/>
    <numFmt numFmtId="183" formatCode="#,##0.0000"/>
  </numFmts>
  <fonts count="15">
    <font>
      <sz val="10"/>
      <name val="Arial"/>
      <family val="0"/>
    </font>
    <font>
      <b/>
      <sz val="8"/>
      <name val="Arial"/>
      <family val="2"/>
    </font>
    <font>
      <sz val="8"/>
      <color indexed="10"/>
      <name val="Arial"/>
      <family val="2"/>
    </font>
    <font>
      <sz val="8"/>
      <name val="Arial"/>
      <family val="2"/>
    </font>
    <font>
      <b/>
      <sz val="8"/>
      <color indexed="10"/>
      <name val="Arial"/>
      <family val="2"/>
    </font>
    <font>
      <b/>
      <sz val="8"/>
      <color indexed="12"/>
      <name val="Arial"/>
      <family val="2"/>
    </font>
    <font>
      <b/>
      <sz val="8"/>
      <color indexed="16"/>
      <name val="Arial"/>
      <family val="2"/>
    </font>
    <font>
      <b/>
      <sz val="8"/>
      <color indexed="17"/>
      <name val="Arial"/>
      <family val="2"/>
    </font>
    <font>
      <b/>
      <sz val="8"/>
      <color indexed="8"/>
      <name val="Arial"/>
      <family val="2"/>
    </font>
    <font>
      <b/>
      <sz val="8"/>
      <color indexed="20"/>
      <name val="Arial"/>
      <family val="2"/>
    </font>
    <font>
      <u val="single"/>
      <sz val="10"/>
      <color indexed="12"/>
      <name val="Arial"/>
      <family val="0"/>
    </font>
    <font>
      <u val="single"/>
      <sz val="10"/>
      <color indexed="36"/>
      <name val="Arial"/>
      <family val="0"/>
    </font>
    <font>
      <sz val="8"/>
      <name val="Times New Roman"/>
      <family val="1"/>
    </font>
    <font>
      <sz val="11"/>
      <name val="Times New Roman"/>
      <family val="1"/>
    </font>
    <font>
      <sz val="8"/>
      <color indexed="8"/>
      <name val="Arial"/>
      <family val="2"/>
    </font>
  </fonts>
  <fills count="8">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9">
    <xf numFmtId="0" fontId="0" fillId="0" borderId="0" xfId="0" applyAlignment="1">
      <alignment/>
    </xf>
    <xf numFmtId="0" fontId="1" fillId="0" borderId="0" xfId="0" applyFont="1" applyBorder="1" applyAlignment="1">
      <alignment/>
    </xf>
    <xf numFmtId="0" fontId="3" fillId="0" borderId="0" xfId="0" applyFont="1" applyBorder="1" applyAlignment="1">
      <alignment/>
    </xf>
    <xf numFmtId="4" fontId="4" fillId="0" borderId="1" xfId="0" applyNumberFormat="1" applyFont="1" applyBorder="1" applyAlignment="1">
      <alignment/>
    </xf>
    <xf numFmtId="4" fontId="5" fillId="0" borderId="2" xfId="0" applyNumberFormat="1" applyFont="1" applyBorder="1" applyAlignment="1">
      <alignment/>
    </xf>
    <xf numFmtId="4" fontId="6" fillId="0" borderId="2" xfId="0" applyNumberFormat="1" applyFont="1" applyBorder="1" applyAlignment="1">
      <alignment/>
    </xf>
    <xf numFmtId="4" fontId="7" fillId="0" borderId="2" xfId="0" applyNumberFormat="1" applyFont="1" applyBorder="1" applyAlignment="1">
      <alignment/>
    </xf>
    <xf numFmtId="0" fontId="8"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xf>
    <xf numFmtId="14" fontId="3" fillId="0" borderId="2" xfId="0" applyNumberFormat="1" applyFont="1" applyBorder="1" applyAlignment="1">
      <alignment/>
    </xf>
    <xf numFmtId="14" fontId="3" fillId="0" borderId="2" xfId="0" applyNumberFormat="1" applyFont="1" applyBorder="1" applyAlignment="1">
      <alignment/>
    </xf>
    <xf numFmtId="4" fontId="3" fillId="0" borderId="2" xfId="0" applyNumberFormat="1" applyFont="1" applyBorder="1" applyAlignment="1">
      <alignment/>
    </xf>
    <xf numFmtId="0" fontId="5" fillId="0" borderId="2" xfId="0" applyFont="1" applyBorder="1" applyAlignment="1">
      <alignment/>
    </xf>
    <xf numFmtId="0" fontId="7" fillId="0" borderId="2" xfId="0" applyFont="1" applyBorder="1" applyAlignment="1">
      <alignment/>
    </xf>
    <xf numFmtId="0" fontId="3" fillId="0" borderId="2" xfId="0" applyFont="1" applyBorder="1" applyAlignment="1">
      <alignment wrapText="1"/>
    </xf>
    <xf numFmtId="14" fontId="3" fillId="0" borderId="2" xfId="0" applyNumberFormat="1" applyFont="1" applyBorder="1" applyAlignment="1">
      <alignment wrapText="1"/>
    </xf>
    <xf numFmtId="0" fontId="8" fillId="0" borderId="3" xfId="0" applyFont="1" applyBorder="1" applyAlignment="1">
      <alignment horizontal="center" vertical="center" wrapText="1"/>
    </xf>
    <xf numFmtId="0" fontId="1"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alignment horizontal="center" wrapText="1"/>
    </xf>
    <xf numFmtId="0" fontId="9" fillId="0" borderId="0" xfId="0" applyFont="1" applyBorder="1" applyAlignment="1">
      <alignment wrapText="1"/>
    </xf>
    <xf numFmtId="0" fontId="9" fillId="0" borderId="0" xfId="0" applyFont="1" applyBorder="1" applyAlignment="1">
      <alignment/>
    </xf>
    <xf numFmtId="4" fontId="3" fillId="0" borderId="2" xfId="0" applyNumberFormat="1" applyFont="1" applyFill="1" applyBorder="1" applyAlignment="1">
      <alignment/>
    </xf>
    <xf numFmtId="4" fontId="1" fillId="0" borderId="0" xfId="0" applyNumberFormat="1" applyFont="1" applyBorder="1" applyAlignment="1">
      <alignment wrapText="1"/>
    </xf>
    <xf numFmtId="4" fontId="1" fillId="2" borderId="4" xfId="0" applyNumberFormat="1" applyFont="1" applyFill="1" applyBorder="1" applyAlignment="1">
      <alignment horizontal="center"/>
    </xf>
    <xf numFmtId="4" fontId="1" fillId="2" borderId="5" xfId="0" applyNumberFormat="1" applyFont="1" applyFill="1" applyBorder="1" applyAlignment="1">
      <alignment horizontal="center"/>
    </xf>
    <xf numFmtId="0" fontId="8" fillId="0" borderId="1" xfId="0" applyFont="1" applyBorder="1" applyAlignment="1">
      <alignment horizontal="center" vertical="center" wrapText="1"/>
    </xf>
    <xf numFmtId="4" fontId="1" fillId="0" borderId="0" xfId="0" applyNumberFormat="1" applyFont="1" applyBorder="1" applyAlignment="1">
      <alignment/>
    </xf>
    <xf numFmtId="4" fontId="9" fillId="0" borderId="6" xfId="0" applyNumberFormat="1" applyFont="1" applyBorder="1" applyAlignment="1">
      <alignment horizontal="left"/>
    </xf>
    <xf numFmtId="4" fontId="9" fillId="0" borderId="0" xfId="0" applyNumberFormat="1" applyFont="1" applyBorder="1" applyAlignment="1">
      <alignment horizontal="left"/>
    </xf>
    <xf numFmtId="0" fontId="9" fillId="0" borderId="0" xfId="0" applyFont="1" applyBorder="1" applyAlignment="1">
      <alignment horizontal="left"/>
    </xf>
    <xf numFmtId="0" fontId="1" fillId="0" borderId="1" xfId="0" applyFont="1" applyBorder="1" applyAlignment="1">
      <alignment horizontal="center" vertical="center" wrapText="1"/>
    </xf>
    <xf numFmtId="4" fontId="4"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4" fontId="5" fillId="0" borderId="6" xfId="0" applyNumberFormat="1" applyFont="1" applyBorder="1" applyAlignment="1" applyProtection="1">
      <alignment horizontal="right"/>
      <protection/>
    </xf>
    <xf numFmtId="4" fontId="5" fillId="0" borderId="7" xfId="0" applyNumberFormat="1" applyFont="1" applyBorder="1" applyAlignment="1" applyProtection="1">
      <alignment horizontal="right"/>
      <protection/>
    </xf>
    <xf numFmtId="4" fontId="7" fillId="0" borderId="8" xfId="0" applyNumberFormat="1" applyFont="1" applyBorder="1" applyAlignment="1" applyProtection="1">
      <alignment horizontal="right"/>
      <protection/>
    </xf>
    <xf numFmtId="4" fontId="7" fillId="0" borderId="9"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4" fontId="1" fillId="0" borderId="0" xfId="0" applyNumberFormat="1" applyFont="1" applyBorder="1" applyAlignment="1">
      <alignment horizontal="center"/>
    </xf>
    <xf numFmtId="4" fontId="6" fillId="0" borderId="5" xfId="0" applyNumberFormat="1" applyFont="1" applyBorder="1" applyAlignment="1">
      <alignment/>
    </xf>
    <xf numFmtId="4" fontId="4" fillId="0" borderId="2" xfId="0" applyNumberFormat="1" applyFont="1" applyBorder="1" applyAlignment="1">
      <alignment/>
    </xf>
    <xf numFmtId="0" fontId="7" fillId="0" borderId="0" xfId="0" applyFont="1" applyBorder="1" applyAlignment="1">
      <alignment/>
    </xf>
    <xf numFmtId="4" fontId="4" fillId="0" borderId="6" xfId="0" applyNumberFormat="1" applyFont="1" applyBorder="1" applyAlignment="1" applyProtection="1">
      <alignment horizontal="right"/>
      <protection/>
    </xf>
    <xf numFmtId="4" fontId="4" fillId="0" borderId="7" xfId="0" applyNumberFormat="1" applyFont="1" applyBorder="1" applyAlignment="1" applyProtection="1">
      <alignment horizontal="right"/>
      <protection/>
    </xf>
    <xf numFmtId="4" fontId="1" fillId="0" borderId="2" xfId="0" applyNumberFormat="1" applyFont="1" applyBorder="1" applyAlignment="1">
      <alignment horizontal="center"/>
    </xf>
    <xf numFmtId="0" fontId="8"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xf>
    <xf numFmtId="4" fontId="9" fillId="0" borderId="2" xfId="0" applyNumberFormat="1" applyFont="1" applyBorder="1" applyAlignment="1">
      <alignment/>
    </xf>
    <xf numFmtId="0" fontId="3" fillId="0" borderId="0" xfId="0" applyFont="1" applyBorder="1" applyAlignment="1">
      <alignment horizontal="center"/>
    </xf>
    <xf numFmtId="4" fontId="5" fillId="0" borderId="12" xfId="0" applyNumberFormat="1" applyFont="1" applyBorder="1" applyAlignment="1" applyProtection="1">
      <alignment horizontal="right"/>
      <protection/>
    </xf>
    <xf numFmtId="4" fontId="5" fillId="0" borderId="13" xfId="0" applyNumberFormat="1" applyFont="1" applyBorder="1" applyAlignment="1" applyProtection="1">
      <alignment horizontal="right"/>
      <protection/>
    </xf>
    <xf numFmtId="43" fontId="3" fillId="0" borderId="0" xfId="0" applyNumberFormat="1" applyFont="1" applyBorder="1" applyAlignment="1">
      <alignment/>
    </xf>
    <xf numFmtId="4" fontId="4" fillId="0" borderId="0" xfId="0" applyNumberFormat="1" applyFont="1" applyBorder="1" applyAlignment="1">
      <alignment horizontal="left"/>
    </xf>
    <xf numFmtId="2" fontId="4" fillId="0" borderId="2" xfId="0" applyNumberFormat="1" applyFont="1" applyBorder="1" applyAlignment="1">
      <alignment/>
    </xf>
    <xf numFmtId="4" fontId="3" fillId="0" borderId="0" xfId="0" applyNumberFormat="1" applyFont="1" applyBorder="1" applyAlignment="1">
      <alignment/>
    </xf>
    <xf numFmtId="4" fontId="9" fillId="0" borderId="0" xfId="0" applyNumberFormat="1" applyFont="1" applyBorder="1" applyAlignment="1">
      <alignment horizontal="right"/>
    </xf>
    <xf numFmtId="0" fontId="9" fillId="0" borderId="0" xfId="0" applyFont="1" applyBorder="1" applyAlignment="1">
      <alignment horizontal="right"/>
    </xf>
    <xf numFmtId="4" fontId="9" fillId="0" borderId="0" xfId="0" applyNumberFormat="1" applyFont="1" applyBorder="1" applyAlignment="1">
      <alignment/>
    </xf>
    <xf numFmtId="0" fontId="12" fillId="0" borderId="2" xfId="0" applyFont="1" applyBorder="1" applyAlignment="1">
      <alignment wrapText="1"/>
    </xf>
    <xf numFmtId="14" fontId="12" fillId="0" borderId="2" xfId="0" applyNumberFormat="1" applyFont="1" applyBorder="1" applyAlignment="1">
      <alignment/>
    </xf>
    <xf numFmtId="14" fontId="12" fillId="0" borderId="2" xfId="0" applyNumberFormat="1" applyFont="1" applyBorder="1" applyAlignment="1">
      <alignment/>
    </xf>
    <xf numFmtId="14" fontId="12" fillId="0" borderId="2" xfId="0" applyNumberFormat="1" applyFont="1" applyBorder="1" applyAlignment="1">
      <alignment wrapText="1"/>
    </xf>
    <xf numFmtId="4" fontId="3" fillId="0" borderId="14" xfId="0" applyNumberFormat="1" applyFont="1" applyBorder="1" applyAlignment="1">
      <alignment/>
    </xf>
    <xf numFmtId="0" fontId="0" fillId="0" borderId="0" xfId="0" applyBorder="1" applyAlignment="1">
      <alignment horizontal="left" wrapText="1"/>
    </xf>
    <xf numFmtId="14" fontId="2" fillId="0" borderId="0" xfId="0" applyNumberFormat="1" applyFont="1" applyBorder="1" applyAlignment="1">
      <alignment/>
    </xf>
    <xf numFmtId="0" fontId="2" fillId="0" borderId="0" xfId="0" applyFont="1" applyBorder="1" applyAlignment="1">
      <alignment/>
    </xf>
    <xf numFmtId="4" fontId="4" fillId="0" borderId="6" xfId="0" applyNumberFormat="1" applyFont="1" applyBorder="1" applyAlignment="1">
      <alignment horizontal="left"/>
    </xf>
    <xf numFmtId="4" fontId="12" fillId="0" borderId="2" xfId="0" applyNumberFormat="1" applyFont="1" applyBorder="1" applyAlignment="1">
      <alignment horizontal="right"/>
    </xf>
    <xf numFmtId="4" fontId="3" fillId="0" borderId="14" xfId="0" applyNumberFormat="1" applyFont="1" applyFill="1" applyBorder="1" applyAlignment="1">
      <alignment/>
    </xf>
    <xf numFmtId="4" fontId="12" fillId="0" borderId="2" xfId="0" applyNumberFormat="1" applyFont="1" applyBorder="1" applyAlignment="1">
      <alignment/>
    </xf>
    <xf numFmtId="0" fontId="12" fillId="0" borderId="2" xfId="0" applyFont="1" applyBorder="1" applyAlignment="1">
      <alignment/>
    </xf>
    <xf numFmtId="0" fontId="12" fillId="0" borderId="14" xfId="0" applyFont="1" applyBorder="1" applyAlignment="1">
      <alignment vertical="center" wrapText="1"/>
    </xf>
    <xf numFmtId="0" fontId="12" fillId="0" borderId="2" xfId="0" applyFont="1" applyBorder="1" applyAlignment="1">
      <alignment horizontal="left"/>
    </xf>
    <xf numFmtId="14" fontId="12" fillId="0" borderId="2" xfId="0" applyNumberFormat="1" applyFont="1" applyBorder="1" applyAlignment="1">
      <alignment horizontal="left"/>
    </xf>
    <xf numFmtId="14" fontId="12" fillId="0" borderId="2" xfId="0" applyNumberFormat="1" applyFont="1" applyBorder="1" applyAlignment="1">
      <alignment horizontal="left" wrapText="1"/>
    </xf>
    <xf numFmtId="14" fontId="12" fillId="0" borderId="2" xfId="0" applyNumberFormat="1" applyFont="1" applyFill="1" applyBorder="1" applyAlignment="1">
      <alignment horizontal="left"/>
    </xf>
    <xf numFmtId="4" fontId="4" fillId="0" borderId="0" xfId="0" applyNumberFormat="1" applyFont="1" applyBorder="1" applyAlignment="1">
      <alignment/>
    </xf>
    <xf numFmtId="4" fontId="7" fillId="0" borderId="0" xfId="0" applyNumberFormat="1" applyFont="1" applyBorder="1" applyAlignment="1">
      <alignment/>
    </xf>
    <xf numFmtId="4" fontId="5" fillId="0" borderId="5" xfId="0" applyNumberFormat="1" applyFont="1" applyBorder="1" applyAlignment="1">
      <alignment/>
    </xf>
    <xf numFmtId="2" fontId="4" fillId="0" borderId="0" xfId="0" applyNumberFormat="1" applyFont="1" applyBorder="1" applyAlignment="1">
      <alignment/>
    </xf>
    <xf numFmtId="0" fontId="5" fillId="0" borderId="5" xfId="0" applyFont="1" applyBorder="1" applyAlignment="1">
      <alignment/>
    </xf>
    <xf numFmtId="4" fontId="5" fillId="0" borderId="0" xfId="0" applyNumberFormat="1" applyFont="1" applyBorder="1" applyAlignment="1">
      <alignment/>
    </xf>
    <xf numFmtId="0" fontId="1" fillId="2" borderId="4" xfId="0" applyFont="1" applyFill="1" applyBorder="1" applyAlignment="1">
      <alignment horizontal="left"/>
    </xf>
    <xf numFmtId="9" fontId="9" fillId="0" borderId="0" xfId="0" applyNumberFormat="1" applyFont="1" applyBorder="1" applyAlignment="1">
      <alignment/>
    </xf>
    <xf numFmtId="9" fontId="4" fillId="0" borderId="15" xfId="0" applyNumberFormat="1" applyFont="1" applyBorder="1" applyAlignment="1">
      <alignment horizontal="right"/>
    </xf>
    <xf numFmtId="4" fontId="6" fillId="0" borderId="0" xfId="0" applyNumberFormat="1" applyFont="1" applyBorder="1" applyAlignment="1">
      <alignment/>
    </xf>
    <xf numFmtId="4" fontId="4" fillId="0" borderId="0" xfId="0" applyNumberFormat="1" applyFont="1" applyBorder="1" applyAlignment="1">
      <alignment horizontal="right"/>
    </xf>
    <xf numFmtId="0" fontId="9" fillId="3" borderId="2" xfId="0" applyFont="1" applyFill="1" applyBorder="1" applyAlignment="1">
      <alignment/>
    </xf>
    <xf numFmtId="0" fontId="9" fillId="3" borderId="0" xfId="0" applyFont="1" applyFill="1" applyBorder="1" applyAlignment="1">
      <alignment/>
    </xf>
    <xf numFmtId="4" fontId="4" fillId="3" borderId="1" xfId="0" applyNumberFormat="1" applyFont="1" applyFill="1" applyBorder="1" applyAlignment="1" applyProtection="1">
      <alignment horizontal="right"/>
      <protection/>
    </xf>
    <xf numFmtId="4" fontId="5" fillId="3" borderId="2" xfId="0" applyNumberFormat="1" applyFont="1" applyFill="1" applyBorder="1" applyAlignment="1" applyProtection="1">
      <alignment horizontal="right"/>
      <protection/>
    </xf>
    <xf numFmtId="4" fontId="5" fillId="3" borderId="4" xfId="0" applyNumberFormat="1" applyFont="1" applyFill="1" applyBorder="1" applyAlignment="1" applyProtection="1">
      <alignment horizontal="right"/>
      <protection/>
    </xf>
    <xf numFmtId="4" fontId="7" fillId="3" borderId="4" xfId="0" applyNumberFormat="1" applyFont="1" applyFill="1" applyBorder="1" applyAlignment="1" applyProtection="1">
      <alignment horizontal="right"/>
      <protection/>
    </xf>
    <xf numFmtId="0" fontId="8" fillId="3" borderId="2" xfId="0" applyFont="1" applyFill="1" applyBorder="1" applyAlignment="1">
      <alignment horizontal="center" vertical="center" wrapText="1"/>
    </xf>
    <xf numFmtId="4" fontId="3" fillId="3" borderId="2" xfId="0" applyNumberFormat="1" applyFont="1" applyFill="1" applyBorder="1" applyAlignment="1">
      <alignment/>
    </xf>
    <xf numFmtId="0" fontId="3" fillId="3" borderId="0" xfId="0" applyFont="1" applyFill="1" applyBorder="1" applyAlignment="1">
      <alignment/>
    </xf>
    <xf numFmtId="4" fontId="4" fillId="3" borderId="2" xfId="0" applyNumberFormat="1" applyFont="1" applyFill="1" applyBorder="1" applyAlignment="1" applyProtection="1">
      <alignment horizontal="right"/>
      <protection/>
    </xf>
    <xf numFmtId="4" fontId="7" fillId="3" borderId="2" xfId="0" applyNumberFormat="1" applyFont="1" applyFill="1" applyBorder="1" applyAlignment="1" applyProtection="1">
      <alignment horizontal="right"/>
      <protection/>
    </xf>
    <xf numFmtId="4" fontId="4" fillId="3" borderId="9" xfId="0" applyNumberFormat="1" applyFont="1" applyFill="1" applyBorder="1" applyAlignment="1" applyProtection="1">
      <alignment horizontal="right"/>
      <protection/>
    </xf>
    <xf numFmtId="4" fontId="12" fillId="3" borderId="2" xfId="0" applyNumberFormat="1" applyFont="1" applyFill="1" applyBorder="1" applyAlignment="1">
      <alignment horizontal="right"/>
    </xf>
    <xf numFmtId="0" fontId="8" fillId="3" borderId="3" xfId="0" applyFont="1" applyFill="1" applyBorder="1" applyAlignment="1">
      <alignment horizontal="center" vertical="center" wrapText="1"/>
    </xf>
    <xf numFmtId="4" fontId="9" fillId="3" borderId="2" xfId="0" applyNumberFormat="1" applyFont="1" applyFill="1" applyBorder="1" applyAlignment="1">
      <alignment/>
    </xf>
    <xf numFmtId="0" fontId="1" fillId="3" borderId="4" xfId="0" applyFont="1" applyFill="1" applyBorder="1" applyAlignment="1">
      <alignment horizontal="left"/>
    </xf>
    <xf numFmtId="4" fontId="4" fillId="3" borderId="1" xfId="0" applyNumberFormat="1" applyFont="1" applyFill="1" applyBorder="1" applyAlignment="1">
      <alignment/>
    </xf>
    <xf numFmtId="4" fontId="5" fillId="3" borderId="2" xfId="0" applyNumberFormat="1" applyFont="1" applyFill="1" applyBorder="1" applyAlignment="1">
      <alignment/>
    </xf>
    <xf numFmtId="4" fontId="7" fillId="3" borderId="2" xfId="0" applyNumberFormat="1" applyFont="1" applyFill="1" applyBorder="1" applyAlignment="1">
      <alignment/>
    </xf>
    <xf numFmtId="0" fontId="5" fillId="3" borderId="2" xfId="0" applyFont="1" applyFill="1" applyBorder="1" applyAlignment="1">
      <alignment/>
    </xf>
    <xf numFmtId="4" fontId="3" fillId="3" borderId="14" xfId="0" applyNumberFormat="1" applyFont="1" applyFill="1" applyBorder="1" applyAlignment="1">
      <alignment/>
    </xf>
    <xf numFmtId="4" fontId="4" fillId="3" borderId="0" xfId="0" applyNumberFormat="1" applyFont="1" applyFill="1" applyBorder="1" applyAlignment="1">
      <alignment/>
    </xf>
    <xf numFmtId="4" fontId="5" fillId="3" borderId="0" xfId="0" applyNumberFormat="1" applyFont="1" applyFill="1" applyBorder="1" applyAlignment="1">
      <alignment/>
    </xf>
    <xf numFmtId="4" fontId="7" fillId="3" borderId="0" xfId="0" applyNumberFormat="1" applyFont="1" applyFill="1" applyBorder="1" applyAlignment="1">
      <alignment/>
    </xf>
    <xf numFmtId="2" fontId="4" fillId="3" borderId="0" xfId="0" applyNumberFormat="1" applyFont="1" applyFill="1" applyBorder="1" applyAlignment="1">
      <alignment/>
    </xf>
    <xf numFmtId="0" fontId="5" fillId="3" borderId="5" xfId="0" applyFont="1" applyFill="1" applyBorder="1" applyAlignment="1">
      <alignment/>
    </xf>
    <xf numFmtId="4" fontId="5" fillId="3" borderId="5" xfId="0" applyNumberFormat="1" applyFont="1" applyFill="1" applyBorder="1" applyAlignment="1">
      <alignment/>
    </xf>
    <xf numFmtId="0" fontId="7" fillId="3" borderId="0" xfId="0" applyFont="1" applyFill="1" applyBorder="1" applyAlignment="1">
      <alignment/>
    </xf>
    <xf numFmtId="4" fontId="4" fillId="3" borderId="2" xfId="0" applyNumberFormat="1" applyFont="1" applyFill="1" applyBorder="1" applyAlignment="1">
      <alignment/>
    </xf>
    <xf numFmtId="0" fontId="2" fillId="0" borderId="14" xfId="0" applyFont="1" applyBorder="1" applyAlignment="1">
      <alignment horizontal="left" wrapText="1"/>
    </xf>
    <xf numFmtId="0" fontId="2" fillId="0" borderId="5" xfId="0" applyFont="1" applyBorder="1" applyAlignment="1">
      <alignment horizontal="left" wrapText="1"/>
    </xf>
    <xf numFmtId="0" fontId="1" fillId="0" borderId="2"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1" fontId="3" fillId="0" borderId="2" xfId="0" applyNumberFormat="1" applyFont="1" applyBorder="1" applyAlignment="1">
      <alignment horizontal="center" vertical="top" wrapText="1"/>
    </xf>
    <xf numFmtId="14" fontId="3" fillId="0" borderId="2" xfId="0" applyNumberFormat="1" applyFont="1" applyBorder="1" applyAlignment="1">
      <alignment horizontal="center" vertical="top" wrapText="1"/>
    </xf>
    <xf numFmtId="4" fontId="3" fillId="0" borderId="2" xfId="0" applyNumberFormat="1" applyFont="1" applyBorder="1" applyAlignment="1">
      <alignment vertical="top" wrapText="1"/>
    </xf>
    <xf numFmtId="4" fontId="3" fillId="3" borderId="2" xfId="0" applyNumberFormat="1" applyFont="1" applyFill="1" applyBorder="1" applyAlignment="1">
      <alignment vertical="top"/>
    </xf>
    <xf numFmtId="4" fontId="3" fillId="3" borderId="2" xfId="0" applyNumberFormat="1" applyFont="1" applyFill="1" applyBorder="1" applyAlignment="1">
      <alignment vertical="top" wrapText="1"/>
    </xf>
    <xf numFmtId="4" fontId="3" fillId="0" borderId="2" xfId="0" applyNumberFormat="1" applyFont="1" applyBorder="1" applyAlignment="1">
      <alignment vertical="top"/>
    </xf>
    <xf numFmtId="4" fontId="3" fillId="0" borderId="3" xfId="0" applyNumberFormat="1" applyFont="1" applyBorder="1" applyAlignment="1">
      <alignment vertical="top"/>
    </xf>
    <xf numFmtId="4" fontId="3" fillId="3" borderId="14" xfId="0" applyNumberFormat="1" applyFont="1" applyFill="1" applyBorder="1" applyAlignment="1">
      <alignment vertical="top"/>
    </xf>
    <xf numFmtId="0" fontId="3" fillId="0" borderId="0" xfId="0" applyFont="1" applyBorder="1" applyAlignment="1">
      <alignment vertical="top"/>
    </xf>
    <xf numFmtId="0" fontId="3" fillId="0" borderId="2" xfId="0" applyFont="1" applyFill="1" applyBorder="1" applyAlignment="1">
      <alignment horizontal="center" vertical="top" wrapText="1"/>
    </xf>
    <xf numFmtId="14" fontId="3" fillId="0" borderId="2" xfId="0" applyNumberFormat="1" applyFont="1" applyFill="1" applyBorder="1" applyAlignment="1">
      <alignment horizontal="center" vertical="top" wrapText="1"/>
    </xf>
    <xf numFmtId="0" fontId="1" fillId="0" borderId="0"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xf>
    <xf numFmtId="4" fontId="3" fillId="0" borderId="2" xfId="0" applyNumberFormat="1" applyFont="1" applyFill="1" applyBorder="1" applyAlignment="1">
      <alignment vertical="top"/>
    </xf>
    <xf numFmtId="0" fontId="12" fillId="0" borderId="2" xfId="0" applyFont="1" applyBorder="1" applyAlignment="1">
      <alignment vertical="top" wrapText="1"/>
    </xf>
    <xf numFmtId="0" fontId="12" fillId="0" borderId="2" xfId="0" applyFont="1" applyBorder="1" applyAlignment="1">
      <alignment horizontal="right" vertical="top"/>
    </xf>
    <xf numFmtId="14" fontId="12" fillId="0" borderId="2" xfId="0" applyNumberFormat="1" applyFont="1" applyBorder="1" applyAlignment="1">
      <alignment horizontal="right" vertical="top"/>
    </xf>
    <xf numFmtId="14" fontId="12" fillId="0" borderId="2" xfId="0" applyNumberFormat="1" applyFont="1" applyBorder="1" applyAlignment="1">
      <alignment vertical="top"/>
    </xf>
    <xf numFmtId="14" fontId="12" fillId="0" borderId="2" xfId="0" applyNumberFormat="1" applyFont="1" applyBorder="1" applyAlignment="1">
      <alignment vertical="top" wrapText="1"/>
    </xf>
    <xf numFmtId="172" fontId="12" fillId="0" borderId="2" xfId="0" applyNumberFormat="1" applyFont="1" applyBorder="1" applyAlignment="1">
      <alignment vertical="top"/>
    </xf>
    <xf numFmtId="172" fontId="12" fillId="3" borderId="2" xfId="0" applyNumberFormat="1" applyFont="1" applyFill="1" applyBorder="1" applyAlignment="1">
      <alignment vertical="top"/>
    </xf>
    <xf numFmtId="0" fontId="12" fillId="0" borderId="2" xfId="0" applyFont="1" applyFill="1" applyBorder="1" applyAlignment="1">
      <alignment horizontal="right" vertical="top"/>
    </xf>
    <xf numFmtId="0" fontId="3" fillId="0" borderId="0" xfId="0" applyFont="1" applyBorder="1" applyAlignment="1">
      <alignment horizontal="left" vertical="top" wrapText="1"/>
    </xf>
    <xf numFmtId="0" fontId="12" fillId="0" borderId="2" xfId="0" applyFont="1" applyBorder="1" applyAlignment="1">
      <alignment horizontal="left" vertical="top" wrapText="1"/>
    </xf>
    <xf numFmtId="4" fontId="3" fillId="0" borderId="8" xfId="0" applyNumberFormat="1" applyFont="1" applyBorder="1" applyAlignment="1">
      <alignment vertical="top"/>
    </xf>
    <xf numFmtId="4" fontId="3" fillId="0" borderId="14" xfId="0" applyNumberFormat="1" applyFont="1" applyBorder="1" applyAlignment="1">
      <alignment vertical="top"/>
    </xf>
    <xf numFmtId="172" fontId="12" fillId="4" borderId="2" xfId="0" applyNumberFormat="1" applyFont="1" applyFill="1" applyBorder="1" applyAlignment="1">
      <alignment vertical="top"/>
    </xf>
    <xf numFmtId="0" fontId="12" fillId="0" borderId="14" xfId="0" applyFont="1" applyBorder="1" applyAlignment="1">
      <alignment vertical="top" wrapText="1"/>
    </xf>
    <xf numFmtId="4" fontId="3" fillId="0" borderId="14" xfId="0" applyNumberFormat="1" applyFont="1" applyFill="1" applyBorder="1" applyAlignment="1">
      <alignment vertical="top"/>
    </xf>
    <xf numFmtId="0" fontId="12" fillId="0" borderId="2" xfId="0" applyFont="1" applyBorder="1" applyAlignment="1">
      <alignment vertical="top"/>
    </xf>
    <xf numFmtId="14" fontId="12" fillId="0" borderId="2" xfId="0" applyNumberFormat="1" applyFont="1" applyFill="1" applyBorder="1" applyAlignment="1">
      <alignment vertical="top"/>
    </xf>
    <xf numFmtId="4" fontId="12" fillId="0" borderId="2" xfId="0" applyNumberFormat="1" applyFont="1" applyBorder="1" applyAlignment="1">
      <alignment vertical="top"/>
    </xf>
    <xf numFmtId="0" fontId="12" fillId="0" borderId="0" xfId="0" applyFont="1" applyAlignment="1">
      <alignment vertical="top"/>
    </xf>
    <xf numFmtId="1" fontId="12" fillId="0" borderId="2" xfId="0" applyNumberFormat="1" applyFont="1" applyBorder="1" applyAlignment="1">
      <alignment vertical="top"/>
    </xf>
    <xf numFmtId="4" fontId="13" fillId="0" borderId="2" xfId="0" applyNumberFormat="1" applyFont="1" applyBorder="1" applyAlignment="1">
      <alignment vertical="top"/>
    </xf>
    <xf numFmtId="0" fontId="3" fillId="0" borderId="0" xfId="0" applyFont="1" applyAlignment="1">
      <alignment vertical="top"/>
    </xf>
    <xf numFmtId="170" fontId="12" fillId="0" borderId="2" xfId="0" applyNumberFormat="1" applyFont="1" applyBorder="1" applyAlignment="1">
      <alignment vertical="top"/>
    </xf>
    <xf numFmtId="0" fontId="0" fillId="0" borderId="2" xfId="0" applyBorder="1" applyAlignment="1">
      <alignment vertical="top"/>
    </xf>
    <xf numFmtId="0" fontId="12" fillId="0" borderId="2" xfId="0" applyFont="1" applyFill="1" applyBorder="1" applyAlignment="1">
      <alignment vertical="top" wrapText="1"/>
    </xf>
    <xf numFmtId="14" fontId="12" fillId="0" borderId="2" xfId="0" applyNumberFormat="1" applyFont="1" applyBorder="1" applyAlignment="1">
      <alignment horizontal="left" vertical="top" wrapText="1"/>
    </xf>
    <xf numFmtId="14" fontId="12" fillId="0" borderId="2" xfId="0" applyNumberFormat="1" applyFont="1" applyFill="1" applyBorder="1" applyAlignment="1">
      <alignment horizontal="left" vertical="top" wrapText="1"/>
    </xf>
    <xf numFmtId="4" fontId="12" fillId="0" borderId="2" xfId="0" applyNumberFormat="1" applyFont="1" applyBorder="1" applyAlignment="1">
      <alignment horizontal="right" vertical="top"/>
    </xf>
    <xf numFmtId="4" fontId="12" fillId="3" borderId="2" xfId="0" applyNumberFormat="1" applyFont="1" applyFill="1" applyBorder="1" applyAlignment="1">
      <alignment horizontal="right" vertical="top"/>
    </xf>
    <xf numFmtId="0" fontId="12" fillId="0" borderId="2" xfId="0" applyFont="1" applyBorder="1" applyAlignment="1">
      <alignment horizontal="left" vertical="top"/>
    </xf>
    <xf numFmtId="14" fontId="12" fillId="0" borderId="2" xfId="0" applyNumberFormat="1" applyFont="1" applyBorder="1" applyAlignment="1">
      <alignment horizontal="left" vertical="top"/>
    </xf>
    <xf numFmtId="0" fontId="12" fillId="0" borderId="14" xfId="0" applyFont="1" applyFill="1" applyBorder="1" applyAlignment="1">
      <alignment vertical="top" wrapText="1"/>
    </xf>
    <xf numFmtId="0" fontId="12" fillId="0" borderId="2" xfId="0" applyFont="1" applyBorder="1" applyAlignment="1" quotePrefix="1">
      <alignment horizontal="left" vertical="top"/>
    </xf>
    <xf numFmtId="14" fontId="12" fillId="0" borderId="2" xfId="0" applyNumberFormat="1" applyFont="1" applyBorder="1" applyAlignment="1" quotePrefix="1">
      <alignment horizontal="left" vertical="top"/>
    </xf>
    <xf numFmtId="14" fontId="12" fillId="0" borderId="2" xfId="0" applyNumberFormat="1" applyFont="1" applyFill="1" applyBorder="1" applyAlignment="1">
      <alignment horizontal="left" vertical="top"/>
    </xf>
    <xf numFmtId="0" fontId="3" fillId="0" borderId="2" xfId="0" applyFont="1" applyBorder="1" applyAlignment="1">
      <alignment vertical="top"/>
    </xf>
    <xf numFmtId="14" fontId="3" fillId="0" borderId="2" xfId="0" applyNumberFormat="1" applyFont="1" applyBorder="1" applyAlignment="1">
      <alignment vertical="top"/>
    </xf>
    <xf numFmtId="0" fontId="3" fillId="0" borderId="0" xfId="0" applyFont="1" applyBorder="1" applyAlignment="1">
      <alignment vertical="top" wrapText="1"/>
    </xf>
    <xf numFmtId="14" fontId="3" fillId="0" borderId="2" xfId="0" applyNumberFormat="1" applyFont="1" applyBorder="1" applyAlignment="1">
      <alignment vertical="top" wrapText="1"/>
    </xf>
    <xf numFmtId="0" fontId="1" fillId="0" borderId="2" xfId="0" applyFont="1" applyFill="1" applyBorder="1" applyAlignment="1">
      <alignment horizontal="center" vertical="top"/>
    </xf>
    <xf numFmtId="0" fontId="3" fillId="0" borderId="2" xfId="0" applyFont="1" applyFill="1" applyBorder="1" applyAlignment="1">
      <alignment horizontal="center" vertical="top"/>
    </xf>
    <xf numFmtId="0" fontId="3" fillId="0" borderId="2" xfId="0" applyFont="1" applyFill="1" applyBorder="1" applyAlignment="1">
      <alignment vertical="top"/>
    </xf>
    <xf numFmtId="0" fontId="3" fillId="0" borderId="2" xfId="0" applyFont="1" applyFill="1" applyBorder="1" applyAlignment="1">
      <alignment vertical="top" wrapText="1"/>
    </xf>
    <xf numFmtId="16" fontId="3" fillId="0" borderId="2" xfId="0" applyNumberFormat="1" applyFont="1" applyFill="1" applyBorder="1" applyAlignment="1" quotePrefix="1">
      <alignment horizontal="right" vertical="top" wrapText="1"/>
    </xf>
    <xf numFmtId="14" fontId="3" fillId="0" borderId="2" xfId="0" applyNumberFormat="1" applyFont="1" applyFill="1" applyBorder="1" applyAlignment="1">
      <alignment vertical="top"/>
    </xf>
    <xf numFmtId="14" fontId="3" fillId="0" borderId="2" xfId="0" applyNumberFormat="1" applyFont="1" applyFill="1" applyBorder="1" applyAlignment="1">
      <alignment vertical="top" wrapText="1"/>
    </xf>
    <xf numFmtId="0" fontId="3" fillId="0" borderId="0" xfId="0" applyFont="1" applyFill="1" applyBorder="1" applyAlignment="1">
      <alignment vertical="top"/>
    </xf>
    <xf numFmtId="14" fontId="12" fillId="0" borderId="2" xfId="0" applyNumberFormat="1" applyFont="1" applyBorder="1" applyAlignment="1">
      <alignment horizontal="right" vertical="top" wrapText="1"/>
    </xf>
    <xf numFmtId="49" fontId="12" fillId="0" borderId="2" xfId="0" applyNumberFormat="1" applyFont="1" applyBorder="1" applyAlignment="1">
      <alignment horizontal="right" vertical="top"/>
    </xf>
    <xf numFmtId="49" fontId="12" fillId="0" borderId="2" xfId="0" applyNumberFormat="1" applyFont="1" applyFill="1" applyBorder="1" applyAlignment="1">
      <alignment horizontal="right" vertical="top"/>
    </xf>
    <xf numFmtId="4" fontId="12" fillId="0" borderId="2" xfId="0" applyNumberFormat="1" applyFont="1" applyFill="1" applyBorder="1" applyAlignment="1">
      <alignment vertical="top"/>
    </xf>
    <xf numFmtId="0" fontId="12" fillId="0" borderId="2" xfId="0" applyFont="1" applyFill="1" applyBorder="1" applyAlignment="1">
      <alignment vertical="top"/>
    </xf>
    <xf numFmtId="0" fontId="12" fillId="0" borderId="2" xfId="0" applyFont="1" applyBorder="1" applyAlignment="1" quotePrefix="1">
      <alignment horizontal="right" vertical="top"/>
    </xf>
    <xf numFmtId="16" fontId="12" fillId="0" borderId="2" xfId="0" applyNumberFormat="1" applyFont="1" applyBorder="1" applyAlignment="1" quotePrefix="1">
      <alignment horizontal="right" vertical="top"/>
    </xf>
    <xf numFmtId="0" fontId="3" fillId="5" borderId="2" xfId="0" applyFont="1" applyFill="1" applyBorder="1" applyAlignment="1">
      <alignment vertical="top"/>
    </xf>
    <xf numFmtId="171" fontId="3" fillId="0" borderId="2" xfId="18" applyNumberFormat="1" applyFont="1" applyBorder="1" applyAlignment="1">
      <alignment horizontal="right" vertical="top"/>
    </xf>
    <xf numFmtId="171" fontId="3" fillId="3" borderId="2" xfId="18" applyNumberFormat="1" applyFont="1" applyFill="1" applyBorder="1" applyAlignment="1">
      <alignment horizontal="right" vertical="top"/>
    </xf>
    <xf numFmtId="0" fontId="12" fillId="0" borderId="14" xfId="0" applyFont="1" applyBorder="1" applyAlignment="1">
      <alignment vertical="top"/>
    </xf>
    <xf numFmtId="14" fontId="12" fillId="0" borderId="2" xfId="0" applyNumberFormat="1" applyFont="1" applyBorder="1" applyAlignment="1" quotePrefix="1">
      <alignment horizontal="right" vertical="top"/>
    </xf>
    <xf numFmtId="0" fontId="14" fillId="0" borderId="1" xfId="0" applyFont="1" applyBorder="1" applyAlignment="1">
      <alignment horizontal="left" vertical="top" wrapText="1"/>
    </xf>
    <xf numFmtId="0" fontId="3" fillId="0" borderId="14"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left" vertical="top"/>
    </xf>
    <xf numFmtId="14" fontId="3" fillId="0" borderId="2" xfId="0" applyNumberFormat="1" applyFont="1" applyBorder="1" applyAlignment="1" quotePrefix="1">
      <alignment vertical="top"/>
    </xf>
    <xf numFmtId="14" fontId="3" fillId="0" borderId="2" xfId="0" applyNumberFormat="1" applyFont="1" applyBorder="1" applyAlignment="1">
      <alignment horizontal="left" vertical="top"/>
    </xf>
    <xf numFmtId="4" fontId="3" fillId="0" borderId="2" xfId="0" applyNumberFormat="1" applyFont="1" applyBorder="1" applyAlignment="1">
      <alignment vertical="top"/>
    </xf>
    <xf numFmtId="4" fontId="3" fillId="3" borderId="2" xfId="0" applyNumberFormat="1" applyFont="1" applyFill="1" applyBorder="1" applyAlignment="1">
      <alignment vertical="top"/>
    </xf>
    <xf numFmtId="0" fontId="8" fillId="0" borderId="2" xfId="0" applyFont="1" applyBorder="1" applyAlignment="1">
      <alignment horizontal="center" vertical="top" wrapText="1"/>
    </xf>
    <xf numFmtId="4" fontId="3" fillId="0" borderId="2" xfId="0" applyNumberFormat="1" applyFont="1" applyBorder="1" applyAlignment="1">
      <alignment horizontal="right" vertical="top"/>
    </xf>
    <xf numFmtId="4" fontId="3" fillId="3" borderId="2" xfId="0" applyNumberFormat="1" applyFont="1" applyFill="1" applyBorder="1" applyAlignment="1">
      <alignment horizontal="right" vertical="top"/>
    </xf>
    <xf numFmtId="4" fontId="14" fillId="0" borderId="2" xfId="0" applyNumberFormat="1" applyFont="1" applyBorder="1" applyAlignment="1">
      <alignment horizontal="right" vertical="top" wrapText="1"/>
    </xf>
    <xf numFmtId="4" fontId="14" fillId="3" borderId="2" xfId="0" applyNumberFormat="1" applyFont="1" applyFill="1" applyBorder="1" applyAlignment="1">
      <alignment horizontal="right" vertical="top" wrapText="1"/>
    </xf>
    <xf numFmtId="4" fontId="14" fillId="3" borderId="2" xfId="0" applyNumberFormat="1" applyFont="1" applyFill="1" applyBorder="1" applyAlignment="1">
      <alignment horizontal="right" vertical="top"/>
    </xf>
    <xf numFmtId="0" fontId="1" fillId="6" borderId="2" xfId="0" applyFont="1" applyFill="1" applyBorder="1" applyAlignment="1">
      <alignment horizontal="center" vertical="top"/>
    </xf>
    <xf numFmtId="0" fontId="3" fillId="6" borderId="2" xfId="0" applyFont="1" applyFill="1" applyBorder="1" applyAlignment="1">
      <alignment horizontal="center" vertical="top"/>
    </xf>
    <xf numFmtId="0" fontId="3" fillId="6" borderId="2" xfId="0" applyFont="1" applyFill="1" applyBorder="1" applyAlignment="1">
      <alignment vertical="top"/>
    </xf>
    <xf numFmtId="0" fontId="3" fillId="6" borderId="2" xfId="0" applyFont="1" applyFill="1" applyBorder="1" applyAlignment="1">
      <alignment vertical="top" wrapText="1"/>
    </xf>
    <xf numFmtId="16" fontId="3" fillId="6" borderId="2" xfId="0" applyNumberFormat="1" applyFont="1" applyFill="1" applyBorder="1" applyAlignment="1" quotePrefix="1">
      <alignment horizontal="right" vertical="top" wrapText="1"/>
    </xf>
    <xf numFmtId="14" fontId="3" fillId="6" borderId="2" xfId="0" applyNumberFormat="1" applyFont="1" applyFill="1" applyBorder="1" applyAlignment="1">
      <alignment vertical="top"/>
    </xf>
    <xf numFmtId="14" fontId="3" fillId="6" borderId="2" xfId="0" applyNumberFormat="1" applyFont="1" applyFill="1" applyBorder="1" applyAlignment="1">
      <alignment vertical="top" wrapText="1"/>
    </xf>
    <xf numFmtId="4" fontId="3" fillId="6" borderId="2" xfId="0" applyNumberFormat="1" applyFont="1" applyFill="1" applyBorder="1" applyAlignment="1">
      <alignment vertical="top"/>
    </xf>
    <xf numFmtId="0" fontId="3" fillId="6" borderId="0" xfId="0" applyFont="1" applyFill="1" applyBorder="1" applyAlignment="1">
      <alignment vertical="top"/>
    </xf>
    <xf numFmtId="4" fontId="1" fillId="6" borderId="2" xfId="0" applyNumberFormat="1" applyFont="1" applyFill="1" applyBorder="1" applyAlignment="1">
      <alignment/>
    </xf>
    <xf numFmtId="0" fontId="1" fillId="7" borderId="2" xfId="0" applyFont="1" applyFill="1" applyBorder="1" applyAlignment="1">
      <alignment horizontal="center"/>
    </xf>
    <xf numFmtId="0" fontId="3" fillId="7" borderId="2" xfId="0" applyFont="1" applyFill="1" applyBorder="1" applyAlignment="1">
      <alignment horizontal="center"/>
    </xf>
    <xf numFmtId="0" fontId="3" fillId="7" borderId="2" xfId="0" applyFont="1" applyFill="1" applyBorder="1" applyAlignment="1">
      <alignment/>
    </xf>
    <xf numFmtId="0" fontId="3" fillId="7" borderId="2" xfId="0" applyFont="1" applyFill="1" applyBorder="1" applyAlignment="1">
      <alignment wrapText="1"/>
    </xf>
    <xf numFmtId="16" fontId="3" fillId="7" borderId="2" xfId="0" applyNumberFormat="1" applyFont="1" applyFill="1" applyBorder="1" applyAlignment="1" quotePrefix="1">
      <alignment horizontal="right" wrapText="1"/>
    </xf>
    <xf numFmtId="14" fontId="3" fillId="7" borderId="2" xfId="0" applyNumberFormat="1" applyFont="1" applyFill="1" applyBorder="1" applyAlignment="1">
      <alignment/>
    </xf>
    <xf numFmtId="14" fontId="3" fillId="7" borderId="2" xfId="0" applyNumberFormat="1" applyFont="1" applyFill="1" applyBorder="1" applyAlignment="1">
      <alignment wrapText="1"/>
    </xf>
    <xf numFmtId="4" fontId="3" fillId="7" borderId="2" xfId="0" applyNumberFormat="1" applyFont="1" applyFill="1" applyBorder="1" applyAlignment="1">
      <alignment/>
    </xf>
    <xf numFmtId="0" fontId="3" fillId="7" borderId="0" xfId="0" applyFont="1" applyFill="1" applyBorder="1" applyAlignment="1">
      <alignment/>
    </xf>
    <xf numFmtId="0" fontId="1" fillId="6" borderId="2" xfId="0" applyFont="1" applyFill="1" applyBorder="1" applyAlignment="1">
      <alignment vertical="top"/>
    </xf>
    <xf numFmtId="0" fontId="1" fillId="7" borderId="2" xfId="0" applyFont="1" applyFill="1" applyBorder="1" applyAlignment="1">
      <alignment/>
    </xf>
    <xf numFmtId="4" fontId="1" fillId="3" borderId="14" xfId="0" applyNumberFormat="1" applyFont="1" applyFill="1" applyBorder="1" applyAlignment="1">
      <alignment vertical="top"/>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8" fillId="0" borderId="2" xfId="0" applyFont="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2" fillId="6" borderId="14" xfId="0" applyFont="1" applyFill="1" applyBorder="1" applyAlignment="1">
      <alignment vertical="top" wrapText="1"/>
    </xf>
    <xf numFmtId="0" fontId="12" fillId="6" borderId="2" xfId="0" applyFont="1" applyFill="1" applyBorder="1" applyAlignment="1">
      <alignment vertical="top" wrapText="1"/>
    </xf>
    <xf numFmtId="14" fontId="12" fillId="6" borderId="2" xfId="0" applyNumberFormat="1" applyFont="1" applyFill="1" applyBorder="1" applyAlignment="1">
      <alignment horizontal="right" vertical="top"/>
    </xf>
    <xf numFmtId="14" fontId="12" fillId="6" borderId="2" xfId="0" applyNumberFormat="1" applyFont="1" applyFill="1" applyBorder="1" applyAlignment="1">
      <alignment vertical="top"/>
    </xf>
    <xf numFmtId="14" fontId="12" fillId="6" borderId="2" xfId="0" applyNumberFormat="1" applyFont="1" applyFill="1" applyBorder="1" applyAlignment="1">
      <alignment vertical="top" wrapText="1"/>
    </xf>
    <xf numFmtId="172" fontId="12" fillId="6" borderId="2" xfId="0" applyNumberFormat="1" applyFont="1" applyFill="1" applyBorder="1" applyAlignment="1">
      <alignment vertical="top"/>
    </xf>
    <xf numFmtId="4" fontId="1" fillId="6" borderId="2" xfId="0" applyNumberFormat="1" applyFont="1" applyFill="1" applyBorder="1" applyAlignment="1">
      <alignment vertical="top"/>
    </xf>
    <xf numFmtId="4" fontId="1" fillId="6" borderId="14" xfId="0" applyNumberFormat="1" applyFont="1" applyFill="1" applyBorder="1" applyAlignment="1">
      <alignment vertical="top"/>
    </xf>
    <xf numFmtId="4" fontId="1" fillId="6" borderId="14" xfId="0" applyNumberFormat="1" applyFont="1" applyFill="1" applyBorder="1" applyAlignment="1">
      <alignment horizontal="left" vertical="top" wrapText="1"/>
    </xf>
    <xf numFmtId="0" fontId="0" fillId="6" borderId="5" xfId="0" applyFill="1" applyBorder="1" applyAlignment="1">
      <alignment horizontal="left" vertical="top" wrapText="1"/>
    </xf>
    <xf numFmtId="0" fontId="1" fillId="7" borderId="2" xfId="0" applyFont="1" applyFill="1" applyBorder="1" applyAlignment="1">
      <alignment horizontal="center" vertical="top"/>
    </xf>
    <xf numFmtId="0" fontId="3" fillId="7" borderId="2" xfId="0" applyFont="1" applyFill="1" applyBorder="1" applyAlignment="1">
      <alignment horizontal="center" vertical="top"/>
    </xf>
    <xf numFmtId="0" fontId="1" fillId="7" borderId="5" xfId="0" applyFont="1" applyFill="1" applyBorder="1" applyAlignment="1">
      <alignment horizontal="left" wrapText="1"/>
    </xf>
    <xf numFmtId="0" fontId="1" fillId="7" borderId="14" xfId="0" applyFont="1" applyFill="1" applyBorder="1" applyAlignment="1">
      <alignment horizontal="left" vertical="top" wrapText="1"/>
    </xf>
    <xf numFmtId="0" fontId="1" fillId="7" borderId="5" xfId="0" applyFont="1" applyFill="1" applyBorder="1" applyAlignment="1">
      <alignment horizontal="left" vertical="top" wrapText="1"/>
    </xf>
    <xf numFmtId="0" fontId="12" fillId="7" borderId="14" xfId="0" applyFont="1" applyFill="1" applyBorder="1" applyAlignment="1">
      <alignment vertical="top" wrapText="1"/>
    </xf>
    <xf numFmtId="0" fontId="12" fillId="7" borderId="2" xfId="0" applyFont="1" applyFill="1" applyBorder="1" applyAlignment="1">
      <alignment vertical="top" wrapText="1"/>
    </xf>
    <xf numFmtId="0" fontId="12" fillId="7" borderId="2" xfId="0" applyFont="1" applyFill="1" applyBorder="1" applyAlignment="1">
      <alignment horizontal="left" vertical="top"/>
    </xf>
    <xf numFmtId="14" fontId="12" fillId="7" borderId="2" xfId="0" applyNumberFormat="1" applyFont="1" applyFill="1" applyBorder="1" applyAlignment="1">
      <alignment horizontal="left" vertical="top"/>
    </xf>
    <xf numFmtId="14" fontId="12" fillId="7" borderId="2" xfId="0" applyNumberFormat="1" applyFont="1" applyFill="1" applyBorder="1" applyAlignment="1">
      <alignment horizontal="left" vertical="top" wrapText="1"/>
    </xf>
    <xf numFmtId="4" fontId="12" fillId="7" borderId="2" xfId="0" applyNumberFormat="1" applyFont="1" applyFill="1" applyBorder="1" applyAlignment="1">
      <alignment horizontal="right" vertical="top"/>
    </xf>
    <xf numFmtId="4" fontId="3" fillId="7" borderId="2" xfId="0" applyNumberFormat="1" applyFont="1" applyFill="1" applyBorder="1" applyAlignment="1">
      <alignment vertical="top"/>
    </xf>
    <xf numFmtId="0" fontId="3" fillId="7" borderId="0" xfId="0" applyFont="1" applyFill="1" applyBorder="1" applyAlignment="1">
      <alignment vertical="top"/>
    </xf>
    <xf numFmtId="0" fontId="1" fillId="7" borderId="2" xfId="0" applyFont="1" applyFill="1" applyBorder="1" applyAlignment="1">
      <alignment vertical="top" wrapText="1"/>
    </xf>
    <xf numFmtId="0" fontId="1" fillId="6" borderId="2"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14" xfId="0" applyFont="1" applyFill="1" applyBorder="1" applyAlignment="1">
      <alignment horizontal="center" vertical="top" wrapText="1"/>
    </xf>
    <xf numFmtId="0" fontId="1" fillId="6" borderId="5" xfId="0" applyFont="1" applyFill="1" applyBorder="1" applyAlignment="1">
      <alignment horizontal="center" vertical="top" wrapText="1"/>
    </xf>
    <xf numFmtId="0" fontId="3" fillId="6" borderId="0" xfId="0" applyFont="1" applyFill="1" applyBorder="1" applyAlignment="1">
      <alignment vertical="top" wrapText="1"/>
    </xf>
    <xf numFmtId="0" fontId="12" fillId="7" borderId="2" xfId="0" applyFont="1" applyFill="1" applyBorder="1" applyAlignment="1">
      <alignment vertical="top"/>
    </xf>
    <xf numFmtId="0" fontId="12" fillId="7" borderId="2" xfId="0" applyFont="1" applyFill="1" applyBorder="1" applyAlignment="1">
      <alignment horizontal="right" vertical="top"/>
    </xf>
    <xf numFmtId="14" fontId="12" fillId="7" borderId="2" xfId="0" applyNumberFormat="1" applyFont="1" applyFill="1" applyBorder="1" applyAlignment="1">
      <alignment vertical="top"/>
    </xf>
    <xf numFmtId="14" fontId="12" fillId="7" borderId="2" xfId="0" applyNumberFormat="1" applyFont="1" applyFill="1" applyBorder="1" applyAlignment="1">
      <alignment vertical="top" wrapText="1"/>
    </xf>
    <xf numFmtId="4" fontId="12" fillId="7" borderId="2" xfId="0" applyNumberFormat="1" applyFont="1" applyFill="1" applyBorder="1" applyAlignment="1">
      <alignment vertical="top"/>
    </xf>
    <xf numFmtId="171" fontId="3" fillId="7" borderId="2" xfId="18" applyNumberFormat="1" applyFont="1" applyFill="1" applyBorder="1" applyAlignment="1">
      <alignment horizontal="right" vertical="top"/>
    </xf>
    <xf numFmtId="0" fontId="3" fillId="7" borderId="0" xfId="0" applyFont="1" applyFill="1" applyBorder="1" applyAlignment="1">
      <alignment vertical="top" wrapText="1"/>
    </xf>
    <xf numFmtId="4" fontId="1" fillId="3" borderId="2" xfId="0" applyNumberFormat="1" applyFont="1" applyFill="1" applyBorder="1" applyAlignment="1">
      <alignment/>
    </xf>
    <xf numFmtId="0" fontId="1" fillId="3" borderId="2" xfId="0" applyFont="1" applyFill="1" applyBorder="1" applyAlignment="1">
      <alignment horizontal="center" vertical="top" wrapText="1"/>
    </xf>
    <xf numFmtId="0" fontId="1" fillId="3" borderId="14" xfId="0" applyFont="1" applyFill="1" applyBorder="1" applyAlignment="1">
      <alignment horizontal="center" vertical="top" wrapText="1"/>
    </xf>
    <xf numFmtId="9" fontId="9" fillId="0" borderId="0" xfId="0" applyNumberFormat="1" applyFont="1" applyBorder="1" applyAlignment="1">
      <alignment/>
    </xf>
    <xf numFmtId="14" fontId="3" fillId="0" borderId="2" xfId="0" applyNumberFormat="1" applyFont="1" applyFill="1" applyBorder="1" applyAlignment="1">
      <alignment horizontal="right" vertical="top" wrapText="1"/>
    </xf>
    <xf numFmtId="14" fontId="3" fillId="6" borderId="2" xfId="0" applyNumberFormat="1" applyFont="1" applyFill="1" applyBorder="1" applyAlignment="1">
      <alignment horizontal="right" vertical="top" wrapText="1"/>
    </xf>
    <xf numFmtId="0" fontId="1" fillId="7" borderId="14" xfId="0" applyFont="1" applyFill="1" applyBorder="1" applyAlignment="1">
      <alignment horizontal="left"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3"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3" fillId="0" borderId="2" xfId="0" applyFont="1" applyBorder="1" applyAlignment="1">
      <alignment horizontal="left" vertical="top" wrapText="1"/>
    </xf>
    <xf numFmtId="0" fontId="0" fillId="0" borderId="17"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10" xfId="0" applyBorder="1" applyAlignment="1">
      <alignment vertical="top"/>
    </xf>
    <xf numFmtId="0" fontId="1" fillId="0" borderId="6"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protection/>
    </xf>
    <xf numFmtId="4" fontId="4" fillId="0" borderId="15" xfId="0" applyNumberFormat="1" applyFont="1" applyBorder="1" applyAlignment="1" applyProtection="1">
      <alignment horizontal="right"/>
      <protection/>
    </xf>
    <xf numFmtId="4" fontId="4" fillId="0" borderId="17" xfId="0" applyNumberFormat="1" applyFont="1" applyBorder="1" applyAlignment="1" applyProtection="1">
      <alignment horizontal="right"/>
      <protection/>
    </xf>
    <xf numFmtId="4" fontId="5" fillId="0" borderId="6"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4" fontId="5" fillId="0" borderId="7" xfId="0" applyNumberFormat="1" applyFont="1" applyBorder="1" applyAlignment="1" applyProtection="1">
      <alignment horizontal="right"/>
      <protection/>
    </xf>
    <xf numFmtId="4" fontId="7" fillId="0" borderId="8" xfId="0" applyNumberFormat="1" applyFont="1" applyBorder="1" applyAlignment="1" applyProtection="1">
      <alignment horizontal="right"/>
      <protection/>
    </xf>
    <xf numFmtId="4" fontId="7" fillId="0" borderId="9"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4" fontId="4" fillId="0" borderId="6" xfId="0" applyNumberFormat="1" applyFont="1" applyBorder="1" applyAlignment="1" applyProtection="1">
      <alignment horizontal="right"/>
      <protection/>
    </xf>
    <xf numFmtId="4" fontId="4" fillId="0" borderId="0" xfId="0" applyNumberFormat="1" applyFont="1" applyBorder="1" applyAlignment="1" applyProtection="1">
      <alignment horizontal="right"/>
      <protection/>
    </xf>
    <xf numFmtId="4" fontId="4" fillId="0" borderId="7" xfId="0" applyNumberFormat="1" applyFont="1" applyBorder="1" applyAlignment="1" applyProtection="1">
      <alignment horizontal="right"/>
      <protection/>
    </xf>
    <xf numFmtId="0" fontId="3" fillId="0" borderId="14" xfId="0" applyFont="1" applyBorder="1" applyAlignment="1">
      <alignment wrapText="1"/>
    </xf>
    <xf numFmtId="0" fontId="3" fillId="0" borderId="5" xfId="0" applyFont="1" applyBorder="1" applyAlignment="1">
      <alignment wrapText="1"/>
    </xf>
    <xf numFmtId="0" fontId="1" fillId="0" borderId="14"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4" fontId="3" fillId="0" borderId="2" xfId="0" applyNumberFormat="1" applyFont="1" applyBorder="1" applyAlignment="1">
      <alignment horizontal="center"/>
    </xf>
    <xf numFmtId="4" fontId="1" fillId="0" borderId="14" xfId="0" applyNumberFormat="1" applyFont="1" applyBorder="1" applyAlignment="1">
      <alignment vertical="top" wrapText="1"/>
    </xf>
    <xf numFmtId="4" fontId="3" fillId="0" borderId="5" xfId="0" applyNumberFormat="1" applyFont="1" applyBorder="1" applyAlignment="1">
      <alignment vertical="top" wrapText="1"/>
    </xf>
    <xf numFmtId="4" fontId="3" fillId="0" borderId="14" xfId="0" applyNumberFormat="1" applyFont="1" applyBorder="1" applyAlignment="1">
      <alignment horizontal="left" vertical="top" wrapText="1"/>
    </xf>
    <xf numFmtId="4" fontId="3" fillId="0" borderId="5" xfId="0" applyNumberFormat="1" applyFont="1" applyBorder="1" applyAlignment="1">
      <alignment horizontal="left" vertical="top" wrapText="1"/>
    </xf>
    <xf numFmtId="4" fontId="1" fillId="0" borderId="16" xfId="0" applyNumberFormat="1" applyFont="1" applyBorder="1" applyAlignment="1" applyProtection="1">
      <alignment horizontal="center" vertical="center" wrapText="1"/>
      <protection locked="0"/>
    </xf>
    <xf numFmtId="4" fontId="1" fillId="0" borderId="17" xfId="0" applyNumberFormat="1" applyFont="1" applyBorder="1" applyAlignment="1" applyProtection="1">
      <alignment horizontal="center" vertical="center" wrapText="1"/>
      <protection locked="0"/>
    </xf>
    <xf numFmtId="4" fontId="1" fillId="0" borderId="6"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4" fontId="3" fillId="0" borderId="2" xfId="0" applyNumberFormat="1" applyFont="1" applyBorder="1" applyAlignment="1">
      <alignment horizontal="left" vertical="top"/>
    </xf>
    <xf numFmtId="4" fontId="4" fillId="0" borderId="15" xfId="0" applyNumberFormat="1" applyFont="1" applyBorder="1" applyAlignment="1">
      <alignment horizontal="center"/>
    </xf>
    <xf numFmtId="4" fontId="9" fillId="0" borderId="0" xfId="0" applyNumberFormat="1" applyFont="1" applyAlignment="1">
      <alignment horizontal="center"/>
    </xf>
    <xf numFmtId="0" fontId="3" fillId="0" borderId="14" xfId="0" applyFont="1" applyBorder="1" applyAlignment="1">
      <alignment horizontal="left" wrapText="1"/>
    </xf>
    <xf numFmtId="0" fontId="3" fillId="0" borderId="5"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3" fillId="0" borderId="2" xfId="0" applyNumberFormat="1" applyFont="1" applyBorder="1" applyAlignment="1">
      <alignment horizontal="left" vertical="top" wrapText="1"/>
    </xf>
    <xf numFmtId="0" fontId="0" fillId="0" borderId="2" xfId="0" applyBorder="1" applyAlignment="1">
      <alignment horizontal="left" vertical="top" wrapText="1"/>
    </xf>
    <xf numFmtId="4" fontId="9" fillId="0" borderId="0" xfId="0" applyNumberFormat="1" applyFont="1" applyBorder="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6" borderId="14" xfId="0" applyFont="1" applyFill="1" applyBorder="1" applyAlignment="1">
      <alignment horizontal="left" vertical="top" wrapText="1"/>
    </xf>
    <xf numFmtId="0" fontId="1" fillId="6" borderId="5" xfId="0" applyFont="1" applyFill="1" applyBorder="1" applyAlignment="1">
      <alignment horizontal="left" vertical="top" wrapText="1"/>
    </xf>
    <xf numFmtId="4" fontId="3" fillId="0" borderId="16" xfId="0" applyNumberFormat="1" applyFont="1" applyBorder="1" applyAlignment="1">
      <alignment horizontal="left" vertical="top" wrapText="1"/>
    </xf>
    <xf numFmtId="0" fontId="3" fillId="0" borderId="14" xfId="0" applyFont="1" applyFill="1" applyBorder="1" applyAlignment="1">
      <alignment horizontal="left" vertical="top" wrapText="1"/>
    </xf>
    <xf numFmtId="0" fontId="0" fillId="0" borderId="5"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5"/>
  <sheetViews>
    <sheetView showGridLines="0" showZeros="0" tabSelected="1" zoomScale="80" zoomScaleNormal="80" zoomScaleSheetLayoutView="80" workbookViewId="0" topLeftCell="A1">
      <pane xSplit="2" ySplit="5" topLeftCell="I145" activePane="bottomRight" state="frozen"/>
      <selection pane="topLeft" activeCell="A1" sqref="A1"/>
      <selection pane="topRight" activeCell="C1" sqref="C1"/>
      <selection pane="bottomLeft" activeCell="A5" sqref="A5"/>
      <selection pane="bottomRight" activeCell="C110" sqref="C110"/>
    </sheetView>
  </sheetViews>
  <sheetFormatPr defaultColWidth="9.140625" defaultRowHeight="12.75"/>
  <cols>
    <col min="1" max="1" width="3.421875" style="1" customWidth="1"/>
    <col min="2" max="2" width="3.421875" style="52" customWidth="1"/>
    <col min="3" max="3" width="14.28125" style="2" customWidth="1"/>
    <col min="4" max="4" width="25.28125" style="2" customWidth="1"/>
    <col min="5" max="5" width="17.140625" style="2" customWidth="1"/>
    <col min="6" max="6" width="12.28125" style="2" customWidth="1"/>
    <col min="7" max="7" width="9.28125" style="2" customWidth="1"/>
    <col min="8" max="9" width="9.57421875" style="2" customWidth="1"/>
    <col min="10" max="10" width="8.7109375" style="2" customWidth="1"/>
    <col min="11" max="11" width="9.57421875" style="2" customWidth="1"/>
    <col min="12" max="12" width="11.28125" style="99" customWidth="1"/>
    <col min="13" max="13" width="10.8515625" style="2" customWidth="1"/>
    <col min="14" max="14" width="9.7109375" style="2" customWidth="1"/>
    <col min="15" max="15" width="10.7109375" style="99" customWidth="1"/>
    <col min="16" max="16" width="10.8515625" style="2" customWidth="1"/>
    <col min="17" max="17" width="9.7109375" style="2" customWidth="1"/>
    <col min="18" max="18" width="10.8515625" style="99" customWidth="1"/>
    <col min="19" max="19" width="10.28125" style="2" customWidth="1"/>
    <col min="20" max="20" width="21.00390625" style="19" customWidth="1"/>
    <col min="21" max="21" width="14.140625" style="2" customWidth="1"/>
    <col min="22" max="16384" width="9.140625" style="2" customWidth="1"/>
  </cols>
  <sheetData>
    <row r="1" spans="1:20" s="1" customFormat="1" ht="11.25">
      <c r="A1" s="316" t="s">
        <v>96</v>
      </c>
      <c r="B1" s="317"/>
      <c r="C1" s="317"/>
      <c r="D1" s="317"/>
      <c r="E1" s="317"/>
      <c r="F1" s="317"/>
      <c r="G1" s="317"/>
      <c r="H1" s="317"/>
      <c r="I1" s="317"/>
      <c r="J1" s="317"/>
      <c r="K1" s="317"/>
      <c r="L1" s="317"/>
      <c r="M1" s="317"/>
      <c r="N1" s="317"/>
      <c r="O1" s="317"/>
      <c r="P1" s="317"/>
      <c r="Q1" s="317"/>
      <c r="R1" s="317"/>
      <c r="S1" s="317"/>
      <c r="T1" s="318"/>
    </row>
    <row r="2" spans="1:20" ht="12.75" customHeight="1">
      <c r="A2" s="324"/>
      <c r="B2" s="325"/>
      <c r="C2" s="70" t="s">
        <v>0</v>
      </c>
      <c r="D2" s="56" t="s">
        <v>35</v>
      </c>
      <c r="E2" s="90" t="s">
        <v>0</v>
      </c>
      <c r="F2" s="329">
        <f>M7+M27+M60+M70+M82+M92+M113</f>
        <v>733650</v>
      </c>
      <c r="G2" s="329"/>
      <c r="H2" s="88">
        <f>M2/F2</f>
        <v>0.32115937027192804</v>
      </c>
      <c r="I2" s="69" t="s">
        <v>31</v>
      </c>
      <c r="J2" s="68">
        <v>38376</v>
      </c>
      <c r="K2" s="61">
        <f>F4</f>
        <v>52734.5</v>
      </c>
      <c r="L2" s="91" t="s">
        <v>29</v>
      </c>
      <c r="M2" s="51">
        <f aca="true" t="shared" si="0" ref="M2:T2">SUM(M3:M4)</f>
        <v>235618.572</v>
      </c>
      <c r="N2" s="51">
        <f t="shared" si="0"/>
        <v>5794.8696</v>
      </c>
      <c r="O2" s="105">
        <f t="shared" si="0"/>
        <v>241413.4416</v>
      </c>
      <c r="P2" s="51">
        <f t="shared" si="0"/>
        <v>153152.0718</v>
      </c>
      <c r="Q2" s="51">
        <f t="shared" si="0"/>
        <v>3766.66524</v>
      </c>
      <c r="R2" s="105">
        <f t="shared" si="0"/>
        <v>156918.73703999998</v>
      </c>
      <c r="S2" s="51">
        <f t="shared" si="0"/>
        <v>58844.52639</v>
      </c>
      <c r="T2" s="51">
        <f t="shared" si="0"/>
        <v>98074.21065000001</v>
      </c>
    </row>
    <row r="3" spans="1:21" s="22" customFormat="1" ht="12.75" customHeight="1">
      <c r="A3" s="326"/>
      <c r="B3" s="327"/>
      <c r="C3" s="29" t="s">
        <v>238</v>
      </c>
      <c r="D3" s="30"/>
      <c r="E3" s="31" t="s">
        <v>225</v>
      </c>
      <c r="F3" s="330">
        <v>476872.5</v>
      </c>
      <c r="G3" s="330"/>
      <c r="H3" s="87">
        <f>P2/F3</f>
        <v>0.32115937027192804</v>
      </c>
      <c r="I3" s="22">
        <v>0</v>
      </c>
      <c r="J3" s="59" t="s">
        <v>33</v>
      </c>
      <c r="K3" s="61">
        <f>Q2</f>
        <v>3766.66524</v>
      </c>
      <c r="L3" s="91" t="s">
        <v>30</v>
      </c>
      <c r="M3" s="51">
        <f aca="true" t="shared" si="1" ref="M3:T5">M8+M28+M61+M71+M83+M93+M114</f>
        <v>79373.09</v>
      </c>
      <c r="N3" s="51">
        <f t="shared" si="1"/>
        <v>2068.576</v>
      </c>
      <c r="O3" s="105">
        <f t="shared" si="1"/>
        <v>81441.666</v>
      </c>
      <c r="P3" s="51">
        <f t="shared" si="1"/>
        <v>51592.5085</v>
      </c>
      <c r="Q3" s="51">
        <f t="shared" si="1"/>
        <v>1344.5744</v>
      </c>
      <c r="R3" s="105">
        <f t="shared" si="1"/>
        <v>52937.08290000001</v>
      </c>
      <c r="S3" s="51">
        <f t="shared" si="1"/>
        <v>19851.406087500003</v>
      </c>
      <c r="T3" s="51">
        <f t="shared" si="1"/>
        <v>33085.6768125</v>
      </c>
      <c r="U3" s="21"/>
    </row>
    <row r="4" spans="1:21" s="22" customFormat="1" ht="12.75" customHeight="1">
      <c r="A4" s="326"/>
      <c r="B4" s="327"/>
      <c r="C4" s="30" t="s">
        <v>239</v>
      </c>
      <c r="D4" s="30"/>
      <c r="E4" s="31" t="s">
        <v>240</v>
      </c>
      <c r="F4" s="351">
        <v>52734.5</v>
      </c>
      <c r="G4" s="351"/>
      <c r="H4" s="87">
        <f>Q2/F4</f>
        <v>0.07142696413164057</v>
      </c>
      <c r="J4" s="60" t="s">
        <v>34</v>
      </c>
      <c r="K4" s="61">
        <f>K2-K3</f>
        <v>48967.83476</v>
      </c>
      <c r="L4" s="91" t="s">
        <v>215</v>
      </c>
      <c r="M4" s="51">
        <f t="shared" si="1"/>
        <v>156245.482</v>
      </c>
      <c r="N4" s="51">
        <f t="shared" si="1"/>
        <v>3726.2936</v>
      </c>
      <c r="O4" s="105">
        <f t="shared" si="1"/>
        <v>159971.7756</v>
      </c>
      <c r="P4" s="51">
        <f t="shared" si="1"/>
        <v>101559.5633</v>
      </c>
      <c r="Q4" s="51">
        <f t="shared" si="1"/>
        <v>2422.09084</v>
      </c>
      <c r="R4" s="105">
        <f t="shared" si="1"/>
        <v>103981.65413999998</v>
      </c>
      <c r="S4" s="51">
        <f t="shared" si="1"/>
        <v>38993.1203025</v>
      </c>
      <c r="T4" s="51">
        <f t="shared" si="1"/>
        <v>64988.53383750001</v>
      </c>
      <c r="U4" s="21"/>
    </row>
    <row r="5" spans="1:21" s="22" customFormat="1" ht="12.75" customHeight="1">
      <c r="A5" s="326"/>
      <c r="B5" s="327"/>
      <c r="C5" s="30" t="s">
        <v>224</v>
      </c>
      <c r="E5" s="22" t="s">
        <v>221</v>
      </c>
      <c r="F5" s="351">
        <f>SUM(F3:G4)</f>
        <v>529607</v>
      </c>
      <c r="G5" s="351"/>
      <c r="H5" s="282">
        <f>R2/F5</f>
        <v>0.29629279265568614</v>
      </c>
      <c r="L5" s="92" t="s">
        <v>223</v>
      </c>
      <c r="M5" s="51">
        <f t="shared" si="1"/>
        <v>-7443.744000000001</v>
      </c>
      <c r="N5" s="51">
        <f t="shared" si="1"/>
        <v>-4736.2936</v>
      </c>
      <c r="O5" s="105">
        <f t="shared" si="1"/>
        <v>-12180.0376</v>
      </c>
      <c r="P5" s="51">
        <f t="shared" si="1"/>
        <v>-4838.4336</v>
      </c>
      <c r="Q5" s="51">
        <f t="shared" si="1"/>
        <v>-3078.59084</v>
      </c>
      <c r="R5" s="105">
        <f t="shared" si="1"/>
        <v>-7917.024439999999</v>
      </c>
      <c r="S5" s="51">
        <f t="shared" si="1"/>
        <v>-2968.8841649999995</v>
      </c>
      <c r="T5" s="51">
        <f t="shared" si="1"/>
        <v>-4948.140275</v>
      </c>
      <c r="U5" s="21"/>
    </row>
    <row r="6" spans="1:21" ht="11.25">
      <c r="A6" s="337" t="s">
        <v>6</v>
      </c>
      <c r="B6" s="338"/>
      <c r="C6" s="338"/>
      <c r="D6" s="338"/>
      <c r="E6" s="338"/>
      <c r="F6" s="338"/>
      <c r="G6" s="338"/>
      <c r="H6" s="338"/>
      <c r="I6" s="338"/>
      <c r="J6" s="338"/>
      <c r="K6" s="338"/>
      <c r="L6" s="339"/>
      <c r="M6" s="86" t="s">
        <v>216</v>
      </c>
      <c r="N6" s="86" t="s">
        <v>217</v>
      </c>
      <c r="O6" s="106" t="s">
        <v>218</v>
      </c>
      <c r="P6" s="86" t="s">
        <v>219</v>
      </c>
      <c r="Q6" s="86" t="s">
        <v>220</v>
      </c>
      <c r="R6" s="106" t="s">
        <v>221</v>
      </c>
      <c r="S6" s="25" t="s">
        <v>25</v>
      </c>
      <c r="T6" s="26" t="s">
        <v>26</v>
      </c>
      <c r="U6" s="20"/>
    </row>
    <row r="7" spans="1:21" s="1" customFormat="1" ht="11.25">
      <c r="A7" s="298"/>
      <c r="B7" s="299"/>
      <c r="C7" s="44"/>
      <c r="D7" s="33"/>
      <c r="E7" s="33"/>
      <c r="F7" s="33"/>
      <c r="G7" s="33"/>
      <c r="H7" s="33"/>
      <c r="I7" s="33"/>
      <c r="J7" s="33"/>
      <c r="K7" s="45"/>
      <c r="L7" s="93" t="s">
        <v>12</v>
      </c>
      <c r="M7" s="3">
        <f>386.4*1000</f>
        <v>386400</v>
      </c>
      <c r="N7" s="3"/>
      <c r="O7" s="107"/>
      <c r="P7" s="3">
        <f>M7*0.65</f>
        <v>251160</v>
      </c>
      <c r="Q7" s="80"/>
      <c r="R7" s="112"/>
      <c r="U7" s="18"/>
    </row>
    <row r="8" spans="1:21" s="1" customFormat="1" ht="11.25">
      <c r="A8" s="298"/>
      <c r="B8" s="299"/>
      <c r="C8" s="35"/>
      <c r="D8" s="34"/>
      <c r="E8" s="34"/>
      <c r="F8" s="34"/>
      <c r="G8" s="34"/>
      <c r="H8" s="34"/>
      <c r="I8" s="34"/>
      <c r="J8" s="34"/>
      <c r="K8" s="85">
        <f>SUM(K14:K20)</f>
        <v>0</v>
      </c>
      <c r="L8" s="94" t="s">
        <v>28</v>
      </c>
      <c r="M8" s="4">
        <f aca="true" t="shared" si="2" ref="M8:R8">SUM(M14:M20)</f>
        <v>64162.23999999999</v>
      </c>
      <c r="N8" s="4">
        <f t="shared" si="2"/>
        <v>0</v>
      </c>
      <c r="O8" s="108">
        <f t="shared" si="2"/>
        <v>64162.23999999999</v>
      </c>
      <c r="P8" s="4">
        <f t="shared" si="2"/>
        <v>41705.456000000006</v>
      </c>
      <c r="Q8" s="4">
        <f t="shared" si="2"/>
        <v>0</v>
      </c>
      <c r="R8" s="108">
        <f t="shared" si="2"/>
        <v>41705.456000000006</v>
      </c>
      <c r="S8" s="5">
        <f>R8*0.375</f>
        <v>15639.546000000002</v>
      </c>
      <c r="T8" s="5">
        <f>R8-S8</f>
        <v>26065.910000000003</v>
      </c>
      <c r="U8" s="24"/>
    </row>
    <row r="9" spans="1:21" s="1" customFormat="1" ht="11.25">
      <c r="A9" s="298"/>
      <c r="B9" s="299"/>
      <c r="C9" s="35"/>
      <c r="D9" s="34"/>
      <c r="E9" s="34"/>
      <c r="F9" s="34"/>
      <c r="G9" s="34"/>
      <c r="H9" s="34"/>
      <c r="I9" s="34"/>
      <c r="J9" s="34"/>
      <c r="K9" s="36"/>
      <c r="L9" s="95" t="s">
        <v>127</v>
      </c>
      <c r="M9" s="4">
        <f aca="true" t="shared" si="3" ref="M9:R9">SUM(M21:M23)</f>
        <v>58842.740000000005</v>
      </c>
      <c r="N9" s="4">
        <f t="shared" si="3"/>
        <v>0</v>
      </c>
      <c r="O9" s="108">
        <f>SUM(O21:O23)</f>
        <v>58842.740000000005</v>
      </c>
      <c r="P9" s="4">
        <f t="shared" si="3"/>
        <v>38247.781</v>
      </c>
      <c r="Q9" s="4">
        <f t="shared" si="3"/>
        <v>0</v>
      </c>
      <c r="R9" s="108">
        <f t="shared" si="3"/>
        <v>38247.781</v>
      </c>
      <c r="S9" s="5">
        <f>R9*0.375</f>
        <v>14342.917875000001</v>
      </c>
      <c r="T9" s="5">
        <f>R9-S9</f>
        <v>23904.863125000003</v>
      </c>
      <c r="U9" s="24"/>
    </row>
    <row r="10" spans="1:21" s="1" customFormat="1" ht="11.25">
      <c r="A10" s="298"/>
      <c r="B10" s="299"/>
      <c r="C10" s="35"/>
      <c r="D10" s="34"/>
      <c r="E10" s="34"/>
      <c r="F10" s="34"/>
      <c r="G10" s="34"/>
      <c r="H10" s="34"/>
      <c r="I10" s="34"/>
      <c r="J10" s="34"/>
      <c r="K10" s="36"/>
      <c r="L10" s="95" t="s">
        <v>224</v>
      </c>
      <c r="M10" s="4"/>
      <c r="N10" s="4"/>
      <c r="O10" s="108"/>
      <c r="P10" s="4"/>
      <c r="Q10" s="85"/>
      <c r="R10" s="113"/>
      <c r="S10" s="89"/>
      <c r="T10" s="89"/>
      <c r="U10" s="24"/>
    </row>
    <row r="11" spans="1:21" s="1" customFormat="1" ht="11.25">
      <c r="A11" s="300"/>
      <c r="B11" s="301"/>
      <c r="C11" s="37"/>
      <c r="D11" s="38"/>
      <c r="E11" s="38"/>
      <c r="F11" s="38"/>
      <c r="G11" s="38"/>
      <c r="H11" s="38"/>
      <c r="I11" s="38"/>
      <c r="J11" s="38"/>
      <c r="K11" s="39"/>
      <c r="L11" s="96" t="s">
        <v>13</v>
      </c>
      <c r="M11" s="6">
        <f>M7-M8-M9</f>
        <v>263395.02</v>
      </c>
      <c r="N11" s="6"/>
      <c r="O11" s="109"/>
      <c r="P11" s="6">
        <f>P7-P8-P9</f>
        <v>171206.76299999998</v>
      </c>
      <c r="Q11" s="81"/>
      <c r="R11" s="114"/>
      <c r="S11" s="28"/>
      <c r="T11" s="28"/>
      <c r="U11" s="18"/>
    </row>
    <row r="12" spans="1:21" ht="22.5">
      <c r="A12" s="7" t="s">
        <v>14</v>
      </c>
      <c r="B12" s="7" t="s">
        <v>11</v>
      </c>
      <c r="C12" s="27" t="s">
        <v>24</v>
      </c>
      <c r="D12" s="27" t="s">
        <v>20</v>
      </c>
      <c r="E12" s="32" t="s">
        <v>2</v>
      </c>
      <c r="F12" s="27" t="s">
        <v>19</v>
      </c>
      <c r="G12" s="27" t="s">
        <v>18</v>
      </c>
      <c r="H12" s="32" t="s">
        <v>17</v>
      </c>
      <c r="I12" s="32" t="s">
        <v>16</v>
      </c>
      <c r="J12" s="27" t="s">
        <v>3</v>
      </c>
      <c r="K12" s="27" t="s">
        <v>4</v>
      </c>
      <c r="L12" s="97" t="s">
        <v>5</v>
      </c>
      <c r="M12" s="7" t="s">
        <v>21</v>
      </c>
      <c r="N12" s="7" t="s">
        <v>112</v>
      </c>
      <c r="O12" s="97" t="s">
        <v>113</v>
      </c>
      <c r="P12" s="7" t="s">
        <v>22</v>
      </c>
      <c r="Q12" s="7" t="s">
        <v>213</v>
      </c>
      <c r="R12" s="97" t="s">
        <v>214</v>
      </c>
      <c r="S12" s="240" t="s">
        <v>27</v>
      </c>
      <c r="T12" s="240"/>
      <c r="U12" s="19"/>
    </row>
    <row r="13" spans="1:21" ht="11.25">
      <c r="A13" s="7"/>
      <c r="B13" s="7"/>
      <c r="C13" s="27"/>
      <c r="D13" s="27"/>
      <c r="E13" s="32"/>
      <c r="F13" s="27"/>
      <c r="G13" s="27"/>
      <c r="H13" s="32"/>
      <c r="I13" s="32"/>
      <c r="J13" s="27"/>
      <c r="K13" s="27"/>
      <c r="L13" s="97"/>
      <c r="M13" s="7"/>
      <c r="N13" s="7"/>
      <c r="O13" s="97"/>
      <c r="P13" s="7"/>
      <c r="Q13" s="7"/>
      <c r="R13" s="97"/>
      <c r="S13" s="7"/>
      <c r="T13" s="7"/>
      <c r="U13" s="19"/>
    </row>
    <row r="14" spans="1:20" s="133" customFormat="1" ht="14.25" customHeight="1">
      <c r="A14" s="122" t="s">
        <v>15</v>
      </c>
      <c r="B14" s="123">
        <v>1</v>
      </c>
      <c r="C14" s="124" t="s">
        <v>36</v>
      </c>
      <c r="D14" s="124" t="s">
        <v>38</v>
      </c>
      <c r="E14" s="124" t="s">
        <v>37</v>
      </c>
      <c r="F14" s="176"/>
      <c r="G14" s="177"/>
      <c r="H14" s="177"/>
      <c r="I14" s="177"/>
      <c r="J14" s="130">
        <v>7518.96</v>
      </c>
      <c r="K14" s="130">
        <v>0</v>
      </c>
      <c r="L14" s="128">
        <f aca="true" t="shared" si="4" ref="L14:L23">SUM(J14:K14)</f>
        <v>7518.96</v>
      </c>
      <c r="M14" s="130">
        <f>J14</f>
        <v>7518.96</v>
      </c>
      <c r="N14" s="130">
        <f>K14</f>
        <v>0</v>
      </c>
      <c r="O14" s="128">
        <f>SUM(M14:N14)</f>
        <v>7518.96</v>
      </c>
      <c r="P14" s="130">
        <f>M14*0.65</f>
        <v>4887.3240000000005</v>
      </c>
      <c r="Q14" s="130">
        <f>N14*0.65</f>
        <v>0</v>
      </c>
      <c r="R14" s="128">
        <f>SUM(P14:Q14)</f>
        <v>4887.3240000000005</v>
      </c>
      <c r="S14" s="292"/>
      <c r="T14" s="292"/>
    </row>
    <row r="15" spans="1:21" s="133" customFormat="1" ht="14.25" customHeight="1">
      <c r="A15" s="122" t="s">
        <v>15</v>
      </c>
      <c r="B15" s="123">
        <v>1</v>
      </c>
      <c r="C15" s="138" t="s">
        <v>40</v>
      </c>
      <c r="D15" s="124" t="s">
        <v>38</v>
      </c>
      <c r="E15" s="176" t="s">
        <v>41</v>
      </c>
      <c r="F15" s="176"/>
      <c r="G15" s="177"/>
      <c r="H15" s="177"/>
      <c r="I15" s="177"/>
      <c r="J15" s="130">
        <v>2508</v>
      </c>
      <c r="K15" s="130"/>
      <c r="L15" s="128">
        <f t="shared" si="4"/>
        <v>2508</v>
      </c>
      <c r="M15" s="130">
        <f aca="true" t="shared" si="5" ref="M15:M22">J15</f>
        <v>2508</v>
      </c>
      <c r="N15" s="130">
        <f aca="true" t="shared" si="6" ref="N15:N23">K15</f>
        <v>0</v>
      </c>
      <c r="O15" s="128">
        <f aca="true" t="shared" si="7" ref="O15:O23">SUM(M15:N15)</f>
        <v>2508</v>
      </c>
      <c r="P15" s="130">
        <f aca="true" t="shared" si="8" ref="P15:P23">M15*0.65</f>
        <v>1630.2</v>
      </c>
      <c r="Q15" s="130">
        <f aca="true" t="shared" si="9" ref="Q15:Q23">N15*0.65</f>
        <v>0</v>
      </c>
      <c r="R15" s="128">
        <f aca="true" t="shared" si="10" ref="R15:R23">SUM(P15:Q15)</f>
        <v>1630.2</v>
      </c>
      <c r="S15" s="292"/>
      <c r="T15" s="292"/>
      <c r="U15" s="178"/>
    </row>
    <row r="16" spans="1:21" s="133" customFormat="1" ht="14.25" customHeight="1">
      <c r="A16" s="122" t="s">
        <v>15</v>
      </c>
      <c r="B16" s="123">
        <v>1</v>
      </c>
      <c r="C16" s="124" t="s">
        <v>42</v>
      </c>
      <c r="D16" s="124" t="s">
        <v>38</v>
      </c>
      <c r="E16" s="124" t="s">
        <v>43</v>
      </c>
      <c r="F16" s="124"/>
      <c r="G16" s="179"/>
      <c r="H16" s="179"/>
      <c r="I16" s="179"/>
      <c r="J16" s="130">
        <v>2516.85</v>
      </c>
      <c r="K16" s="130"/>
      <c r="L16" s="128">
        <f t="shared" si="4"/>
        <v>2516.85</v>
      </c>
      <c r="M16" s="130">
        <f t="shared" si="5"/>
        <v>2516.85</v>
      </c>
      <c r="N16" s="130">
        <f t="shared" si="6"/>
        <v>0</v>
      </c>
      <c r="O16" s="128">
        <f t="shared" si="7"/>
        <v>2516.85</v>
      </c>
      <c r="P16" s="130">
        <f t="shared" si="8"/>
        <v>1635.9525</v>
      </c>
      <c r="Q16" s="130">
        <f t="shared" si="9"/>
        <v>0</v>
      </c>
      <c r="R16" s="128">
        <f t="shared" si="10"/>
        <v>1635.9525</v>
      </c>
      <c r="S16" s="322"/>
      <c r="T16" s="323"/>
      <c r="U16" s="178"/>
    </row>
    <row r="17" spans="1:21" s="133" customFormat="1" ht="14.25" customHeight="1">
      <c r="A17" s="122" t="s">
        <v>15</v>
      </c>
      <c r="B17" s="123">
        <v>1</v>
      </c>
      <c r="C17" s="124" t="s">
        <v>44</v>
      </c>
      <c r="D17" s="124" t="s">
        <v>38</v>
      </c>
      <c r="E17" s="124" t="s">
        <v>45</v>
      </c>
      <c r="F17" s="124"/>
      <c r="G17" s="179"/>
      <c r="H17" s="179"/>
      <c r="I17" s="179"/>
      <c r="J17" s="130">
        <v>2513.7</v>
      </c>
      <c r="K17" s="130"/>
      <c r="L17" s="128">
        <f t="shared" si="4"/>
        <v>2513.7</v>
      </c>
      <c r="M17" s="130">
        <f t="shared" si="5"/>
        <v>2513.7</v>
      </c>
      <c r="N17" s="130">
        <f t="shared" si="6"/>
        <v>0</v>
      </c>
      <c r="O17" s="128">
        <f t="shared" si="7"/>
        <v>2513.7</v>
      </c>
      <c r="P17" s="130">
        <f t="shared" si="8"/>
        <v>1633.905</v>
      </c>
      <c r="Q17" s="130">
        <f t="shared" si="9"/>
        <v>0</v>
      </c>
      <c r="R17" s="128">
        <f t="shared" si="10"/>
        <v>1633.905</v>
      </c>
      <c r="S17" s="328"/>
      <c r="T17" s="328"/>
      <c r="U17" s="178"/>
    </row>
    <row r="18" spans="1:21" s="133" customFormat="1" ht="14.25" customHeight="1">
      <c r="A18" s="122" t="s">
        <v>15</v>
      </c>
      <c r="B18" s="123" t="s">
        <v>51</v>
      </c>
      <c r="C18" s="124" t="s">
        <v>50</v>
      </c>
      <c r="D18" s="124" t="s">
        <v>52</v>
      </c>
      <c r="E18" s="124" t="s">
        <v>166</v>
      </c>
      <c r="F18" s="124"/>
      <c r="G18" s="179"/>
      <c r="H18" s="179"/>
      <c r="I18" s="179"/>
      <c r="J18" s="130">
        <f>44714.89</f>
        <v>44714.89</v>
      </c>
      <c r="K18" s="130"/>
      <c r="L18" s="128">
        <f t="shared" si="4"/>
        <v>44714.89</v>
      </c>
      <c r="M18" s="130">
        <f t="shared" si="5"/>
        <v>44714.89</v>
      </c>
      <c r="N18" s="130">
        <f t="shared" si="6"/>
        <v>0</v>
      </c>
      <c r="O18" s="128">
        <f t="shared" si="7"/>
        <v>44714.89</v>
      </c>
      <c r="P18" s="130">
        <f t="shared" si="8"/>
        <v>29064.6785</v>
      </c>
      <c r="Q18" s="130">
        <f t="shared" si="9"/>
        <v>0</v>
      </c>
      <c r="R18" s="128">
        <f t="shared" si="10"/>
        <v>29064.6785</v>
      </c>
      <c r="S18" s="320"/>
      <c r="T18" s="321"/>
      <c r="U18" s="178"/>
    </row>
    <row r="19" spans="1:21" s="133" customFormat="1" ht="14.25" customHeight="1">
      <c r="A19" s="122" t="s">
        <v>15</v>
      </c>
      <c r="B19" s="123">
        <v>7</v>
      </c>
      <c r="C19" s="124" t="s">
        <v>61</v>
      </c>
      <c r="D19" s="124" t="s">
        <v>64</v>
      </c>
      <c r="E19" s="124" t="s">
        <v>62</v>
      </c>
      <c r="F19" s="124"/>
      <c r="G19" s="179"/>
      <c r="H19" s="179"/>
      <c r="I19" s="179"/>
      <c r="J19" s="130">
        <v>1638</v>
      </c>
      <c r="K19" s="130"/>
      <c r="L19" s="128">
        <f t="shared" si="4"/>
        <v>1638</v>
      </c>
      <c r="M19" s="130">
        <f t="shared" si="5"/>
        <v>1638</v>
      </c>
      <c r="N19" s="130">
        <f t="shared" si="6"/>
        <v>0</v>
      </c>
      <c r="O19" s="128">
        <f t="shared" si="7"/>
        <v>1638</v>
      </c>
      <c r="P19" s="130">
        <f t="shared" si="8"/>
        <v>1064.7</v>
      </c>
      <c r="Q19" s="130">
        <f t="shared" si="9"/>
        <v>0</v>
      </c>
      <c r="R19" s="128">
        <f t="shared" si="10"/>
        <v>1064.7</v>
      </c>
      <c r="S19" s="356" t="s">
        <v>99</v>
      </c>
      <c r="T19" s="293"/>
      <c r="U19" s="178"/>
    </row>
    <row r="20" spans="1:21" s="133" customFormat="1" ht="22.5" customHeight="1">
      <c r="A20" s="122" t="s">
        <v>15</v>
      </c>
      <c r="B20" s="123">
        <v>1</v>
      </c>
      <c r="C20" s="124" t="s">
        <v>61</v>
      </c>
      <c r="D20" s="124" t="s">
        <v>38</v>
      </c>
      <c r="E20" s="124" t="s">
        <v>63</v>
      </c>
      <c r="F20" s="124"/>
      <c r="G20" s="179"/>
      <c r="H20" s="179"/>
      <c r="I20" s="179"/>
      <c r="J20" s="130">
        <v>2751.84</v>
      </c>
      <c r="K20" s="130"/>
      <c r="L20" s="128">
        <f t="shared" si="4"/>
        <v>2751.84</v>
      </c>
      <c r="M20" s="130">
        <f t="shared" si="5"/>
        <v>2751.84</v>
      </c>
      <c r="N20" s="130">
        <f t="shared" si="6"/>
        <v>0</v>
      </c>
      <c r="O20" s="128">
        <f t="shared" si="7"/>
        <v>2751.84</v>
      </c>
      <c r="P20" s="130">
        <f t="shared" si="8"/>
        <v>1788.6960000000001</v>
      </c>
      <c r="Q20" s="130">
        <f t="shared" si="9"/>
        <v>0</v>
      </c>
      <c r="R20" s="128">
        <f t="shared" si="10"/>
        <v>1788.6960000000001</v>
      </c>
      <c r="S20" s="296"/>
      <c r="T20" s="297"/>
      <c r="U20" s="178"/>
    </row>
    <row r="21" spans="1:21" s="133" customFormat="1" ht="14.25" customHeight="1">
      <c r="A21" s="122" t="s">
        <v>102</v>
      </c>
      <c r="B21" s="123">
        <v>1</v>
      </c>
      <c r="C21" s="124" t="s">
        <v>114</v>
      </c>
      <c r="D21" s="124" t="s">
        <v>115</v>
      </c>
      <c r="E21" s="124" t="s">
        <v>116</v>
      </c>
      <c r="F21" s="124"/>
      <c r="G21" s="179"/>
      <c r="H21" s="179"/>
      <c r="I21" s="179"/>
      <c r="J21" s="130">
        <v>2508.32</v>
      </c>
      <c r="K21" s="130"/>
      <c r="L21" s="128">
        <f t="shared" si="4"/>
        <v>2508.32</v>
      </c>
      <c r="M21" s="130">
        <f t="shared" si="5"/>
        <v>2508.32</v>
      </c>
      <c r="N21" s="130">
        <f t="shared" si="6"/>
        <v>0</v>
      </c>
      <c r="O21" s="128">
        <f t="shared" si="7"/>
        <v>2508.32</v>
      </c>
      <c r="P21" s="130">
        <f t="shared" si="8"/>
        <v>1630.4080000000001</v>
      </c>
      <c r="Q21" s="130">
        <f t="shared" si="9"/>
        <v>0</v>
      </c>
      <c r="R21" s="128">
        <f t="shared" si="10"/>
        <v>1630.4080000000001</v>
      </c>
      <c r="S21" s="238"/>
      <c r="T21" s="239"/>
      <c r="U21" s="178"/>
    </row>
    <row r="22" spans="1:21" s="133" customFormat="1" ht="14.25" customHeight="1">
      <c r="A22" s="122" t="s">
        <v>102</v>
      </c>
      <c r="B22" s="123"/>
      <c r="C22" s="124" t="s">
        <v>61</v>
      </c>
      <c r="D22" s="124" t="s">
        <v>38</v>
      </c>
      <c r="E22" s="124" t="s">
        <v>129</v>
      </c>
      <c r="F22" s="124"/>
      <c r="G22" s="179"/>
      <c r="H22" s="179"/>
      <c r="I22" s="179"/>
      <c r="J22" s="130">
        <v>14348.46</v>
      </c>
      <c r="K22" s="130"/>
      <c r="L22" s="128">
        <f t="shared" si="4"/>
        <v>14348.46</v>
      </c>
      <c r="M22" s="130">
        <f t="shared" si="5"/>
        <v>14348.46</v>
      </c>
      <c r="N22" s="130">
        <f t="shared" si="6"/>
        <v>0</v>
      </c>
      <c r="O22" s="128">
        <f t="shared" si="7"/>
        <v>14348.46</v>
      </c>
      <c r="P22" s="130">
        <f t="shared" si="8"/>
        <v>9326.499</v>
      </c>
      <c r="Q22" s="130">
        <f t="shared" si="9"/>
        <v>0</v>
      </c>
      <c r="R22" s="128">
        <f t="shared" si="10"/>
        <v>9326.499</v>
      </c>
      <c r="S22" s="238"/>
      <c r="T22" s="239"/>
      <c r="U22" s="178"/>
    </row>
    <row r="23" spans="1:21" s="133" customFormat="1" ht="14.25" customHeight="1">
      <c r="A23" s="122" t="s">
        <v>102</v>
      </c>
      <c r="B23" s="123"/>
      <c r="C23" s="124" t="s">
        <v>50</v>
      </c>
      <c r="D23" s="124"/>
      <c r="E23" s="124" t="s">
        <v>167</v>
      </c>
      <c r="F23" s="124"/>
      <c r="G23" s="179"/>
      <c r="H23" s="179"/>
      <c r="I23" s="179"/>
      <c r="J23" s="130">
        <v>50616.12</v>
      </c>
      <c r="K23" s="130"/>
      <c r="L23" s="128">
        <f t="shared" si="4"/>
        <v>50616.12</v>
      </c>
      <c r="M23" s="130">
        <f>J23-8630.16</f>
        <v>41985.96000000001</v>
      </c>
      <c r="N23" s="130">
        <f t="shared" si="6"/>
        <v>0</v>
      </c>
      <c r="O23" s="128">
        <f t="shared" si="7"/>
        <v>41985.96000000001</v>
      </c>
      <c r="P23" s="130">
        <f t="shared" si="8"/>
        <v>27290.874000000003</v>
      </c>
      <c r="Q23" s="130">
        <f t="shared" si="9"/>
        <v>0</v>
      </c>
      <c r="R23" s="128">
        <f t="shared" si="10"/>
        <v>27290.874000000003</v>
      </c>
      <c r="S23" s="236" t="s">
        <v>241</v>
      </c>
      <c r="T23" s="237"/>
      <c r="U23" s="178"/>
    </row>
    <row r="24" spans="1:21" ht="11.25">
      <c r="A24" s="49"/>
      <c r="B24" s="8"/>
      <c r="C24" s="15"/>
      <c r="D24" s="15"/>
      <c r="E24" s="9"/>
      <c r="F24" s="9"/>
      <c r="G24" s="10"/>
      <c r="H24" s="11"/>
      <c r="I24" s="11"/>
      <c r="J24" s="12"/>
      <c r="K24" s="12"/>
      <c r="L24" s="98"/>
      <c r="M24" s="12"/>
      <c r="N24" s="12"/>
      <c r="O24" s="98"/>
      <c r="P24" s="12">
        <f>M24*0.65</f>
        <v>0</v>
      </c>
      <c r="Q24" s="12"/>
      <c r="R24" s="98"/>
      <c r="S24" s="319"/>
      <c r="T24" s="319"/>
      <c r="U24" s="19"/>
    </row>
    <row r="25" ht="11.25">
      <c r="U25" s="19"/>
    </row>
    <row r="26" spans="1:21" ht="11.25">
      <c r="A26" s="340" t="s">
        <v>7</v>
      </c>
      <c r="B26" s="341"/>
      <c r="C26" s="341"/>
      <c r="D26" s="341"/>
      <c r="E26" s="341"/>
      <c r="F26" s="341"/>
      <c r="G26" s="341"/>
      <c r="H26" s="341"/>
      <c r="I26" s="341"/>
      <c r="J26" s="341"/>
      <c r="K26" s="341"/>
      <c r="L26" s="342"/>
      <c r="M26" s="86" t="s">
        <v>216</v>
      </c>
      <c r="N26" s="86" t="s">
        <v>217</v>
      </c>
      <c r="O26" s="106" t="s">
        <v>218</v>
      </c>
      <c r="P26" s="86" t="s">
        <v>219</v>
      </c>
      <c r="Q26" s="86" t="s">
        <v>220</v>
      </c>
      <c r="R26" s="106" t="s">
        <v>221</v>
      </c>
      <c r="S26" s="25" t="s">
        <v>25</v>
      </c>
      <c r="T26" s="26" t="s">
        <v>26</v>
      </c>
      <c r="U26" s="19"/>
    </row>
    <row r="27" spans="1:22" ht="11.25">
      <c r="A27" s="343"/>
      <c r="B27" s="344"/>
      <c r="C27" s="302"/>
      <c r="D27" s="303"/>
      <c r="E27" s="303"/>
      <c r="F27" s="303"/>
      <c r="G27" s="303"/>
      <c r="H27" s="303"/>
      <c r="I27" s="303"/>
      <c r="J27" s="303"/>
      <c r="K27" s="304"/>
      <c r="L27" s="100" t="s">
        <v>12</v>
      </c>
      <c r="M27" s="3">
        <f>192.95*1000</f>
        <v>192950</v>
      </c>
      <c r="N27" s="3"/>
      <c r="O27" s="107"/>
      <c r="P27" s="3">
        <f>M27*0.65</f>
        <v>125417.5</v>
      </c>
      <c r="Q27" s="80"/>
      <c r="R27" s="112"/>
      <c r="S27" s="40"/>
      <c r="T27" s="40"/>
      <c r="U27" s="19"/>
      <c r="V27" s="19"/>
    </row>
    <row r="28" spans="1:22" ht="11.25">
      <c r="A28" s="345"/>
      <c r="B28" s="346"/>
      <c r="C28" s="305"/>
      <c r="D28" s="306"/>
      <c r="E28" s="306"/>
      <c r="F28" s="306"/>
      <c r="G28" s="306"/>
      <c r="H28" s="306"/>
      <c r="I28" s="306"/>
      <c r="J28" s="306"/>
      <c r="K28" s="307"/>
      <c r="L28" s="94" t="s">
        <v>28</v>
      </c>
      <c r="M28" s="4">
        <f aca="true" t="shared" si="11" ref="M28:R28">SUM(M34:M34)</f>
        <v>10000</v>
      </c>
      <c r="N28" s="4">
        <f t="shared" si="11"/>
        <v>2000</v>
      </c>
      <c r="O28" s="108">
        <f t="shared" si="11"/>
        <v>12000</v>
      </c>
      <c r="P28" s="4">
        <f t="shared" si="11"/>
        <v>6500</v>
      </c>
      <c r="Q28" s="4">
        <f t="shared" si="11"/>
        <v>1300</v>
      </c>
      <c r="R28" s="108">
        <f t="shared" si="11"/>
        <v>7800</v>
      </c>
      <c r="S28" s="5">
        <f>R28*0.375</f>
        <v>2925</v>
      </c>
      <c r="T28" s="5">
        <f>R28-S28</f>
        <v>4875</v>
      </c>
      <c r="U28" s="19"/>
      <c r="V28" s="19"/>
    </row>
    <row r="29" spans="1:22" ht="11.25">
      <c r="A29" s="345"/>
      <c r="B29" s="346"/>
      <c r="C29" s="35"/>
      <c r="D29" s="34"/>
      <c r="E29" s="34"/>
      <c r="F29" s="53"/>
      <c r="G29" s="54"/>
      <c r="H29" s="34"/>
      <c r="I29" s="34"/>
      <c r="J29" s="34"/>
      <c r="K29" s="36"/>
      <c r="L29" s="94" t="s">
        <v>127</v>
      </c>
      <c r="M29" s="4">
        <f aca="true" t="shared" si="12" ref="M29:R29">M35</f>
        <v>52010</v>
      </c>
      <c r="N29" s="4">
        <f t="shared" si="12"/>
        <v>2184</v>
      </c>
      <c r="O29" s="108">
        <f t="shared" si="12"/>
        <v>54194</v>
      </c>
      <c r="P29" s="4">
        <f t="shared" si="12"/>
        <v>33806.5</v>
      </c>
      <c r="Q29" s="4">
        <f t="shared" si="12"/>
        <v>1419.6</v>
      </c>
      <c r="R29" s="108">
        <f t="shared" si="12"/>
        <v>35226.1</v>
      </c>
      <c r="S29" s="5">
        <f>R29*0.375</f>
        <v>13209.787499999999</v>
      </c>
      <c r="T29" s="5">
        <f>R29-S29</f>
        <v>22016.3125</v>
      </c>
      <c r="U29" s="19"/>
      <c r="V29" s="19"/>
    </row>
    <row r="30" spans="1:21" s="1" customFormat="1" ht="11.25">
      <c r="A30" s="345"/>
      <c r="B30" s="346"/>
      <c r="C30" s="35"/>
      <c r="D30" s="34"/>
      <c r="E30" s="34"/>
      <c r="F30" s="34"/>
      <c r="G30" s="34"/>
      <c r="H30" s="34"/>
      <c r="I30" s="34"/>
      <c r="J30" s="34"/>
      <c r="K30" s="36"/>
      <c r="L30" s="95" t="s">
        <v>224</v>
      </c>
      <c r="M30" s="4">
        <f aca="true" t="shared" si="13" ref="M30:R30">SUM(M56)</f>
        <v>-4760</v>
      </c>
      <c r="N30" s="4">
        <f t="shared" si="13"/>
        <v>-3194</v>
      </c>
      <c r="O30" s="108">
        <f t="shared" si="13"/>
        <v>-7954</v>
      </c>
      <c r="P30" s="4">
        <f t="shared" si="13"/>
        <v>-3094</v>
      </c>
      <c r="Q30" s="4">
        <f t="shared" si="13"/>
        <v>-2076.1</v>
      </c>
      <c r="R30" s="108">
        <f t="shared" si="13"/>
        <v>-5170.0999999999985</v>
      </c>
      <c r="S30" s="5">
        <f>R30*0.375</f>
        <v>-1938.7874999999995</v>
      </c>
      <c r="T30" s="5">
        <f>R30-S30</f>
        <v>-3231.312499999999</v>
      </c>
      <c r="U30" s="24"/>
    </row>
    <row r="31" spans="1:22" ht="11.25">
      <c r="A31" s="345"/>
      <c r="B31" s="346"/>
      <c r="C31" s="35"/>
      <c r="D31" s="34"/>
      <c r="E31" s="34"/>
      <c r="F31" s="34"/>
      <c r="G31" s="34"/>
      <c r="H31" s="34"/>
      <c r="I31" s="34"/>
      <c r="J31" s="34"/>
      <c r="K31" s="36"/>
      <c r="L31" s="94"/>
      <c r="M31" s="4"/>
      <c r="N31" s="4"/>
      <c r="O31" s="108"/>
      <c r="P31" s="4"/>
      <c r="Q31" s="85"/>
      <c r="R31" s="113"/>
      <c r="S31" s="89"/>
      <c r="T31" s="89"/>
      <c r="U31" s="19"/>
      <c r="V31" s="19"/>
    </row>
    <row r="32" spans="1:22" ht="11.25">
      <c r="A32" s="347"/>
      <c r="B32" s="348"/>
      <c r="C32" s="308"/>
      <c r="D32" s="309"/>
      <c r="E32" s="309"/>
      <c r="F32" s="309"/>
      <c r="G32" s="309"/>
      <c r="H32" s="309"/>
      <c r="I32" s="309"/>
      <c r="J32" s="309"/>
      <c r="K32" s="310"/>
      <c r="L32" s="101" t="s">
        <v>13</v>
      </c>
      <c r="M32" s="6">
        <f>M27-M28-M29</f>
        <v>130940</v>
      </c>
      <c r="N32" s="6"/>
      <c r="O32" s="109"/>
      <c r="P32" s="6">
        <f>P27-P28</f>
        <v>118917.5</v>
      </c>
      <c r="Q32" s="81"/>
      <c r="R32" s="114"/>
      <c r="S32" s="28"/>
      <c r="T32" s="1"/>
      <c r="U32" s="19"/>
      <c r="V32" s="19"/>
    </row>
    <row r="33" spans="1:21" ht="27.75" customHeight="1">
      <c r="A33" s="7" t="s">
        <v>14</v>
      </c>
      <c r="B33" s="7" t="s">
        <v>11</v>
      </c>
      <c r="C33" s="27" t="s">
        <v>24</v>
      </c>
      <c r="D33" s="27" t="s">
        <v>20</v>
      </c>
      <c r="E33" s="32" t="s">
        <v>2</v>
      </c>
      <c r="F33" s="27" t="s">
        <v>19</v>
      </c>
      <c r="G33" s="27" t="s">
        <v>18</v>
      </c>
      <c r="H33" s="32" t="s">
        <v>17</v>
      </c>
      <c r="I33" s="32" t="s">
        <v>16</v>
      </c>
      <c r="J33" s="27" t="s">
        <v>3</v>
      </c>
      <c r="K33" s="27" t="s">
        <v>4</v>
      </c>
      <c r="L33" s="97" t="s">
        <v>5</v>
      </c>
      <c r="M33" s="7" t="s">
        <v>21</v>
      </c>
      <c r="N33" s="7" t="s">
        <v>112</v>
      </c>
      <c r="O33" s="97" t="s">
        <v>113</v>
      </c>
      <c r="P33" s="7" t="s">
        <v>22</v>
      </c>
      <c r="Q33" s="7" t="s">
        <v>213</v>
      </c>
      <c r="R33" s="97" t="s">
        <v>214</v>
      </c>
      <c r="S33" s="240" t="s">
        <v>27</v>
      </c>
      <c r="T33" s="240"/>
      <c r="U33" s="19"/>
    </row>
    <row r="34" spans="1:20" s="187" customFormat="1" ht="11.25" customHeight="1">
      <c r="A34" s="180" t="s">
        <v>15</v>
      </c>
      <c r="B34" s="181">
        <v>1.7</v>
      </c>
      <c r="C34" s="182" t="s">
        <v>46</v>
      </c>
      <c r="D34" s="183" t="s">
        <v>95</v>
      </c>
      <c r="E34" s="182" t="s">
        <v>47</v>
      </c>
      <c r="F34" s="184" t="s">
        <v>49</v>
      </c>
      <c r="G34" s="185">
        <v>38491</v>
      </c>
      <c r="H34" s="186">
        <v>38492</v>
      </c>
      <c r="I34" s="283" t="s">
        <v>48</v>
      </c>
      <c r="J34" s="140">
        <v>10000</v>
      </c>
      <c r="K34" s="140">
        <f>+J34*0.2</f>
        <v>2000</v>
      </c>
      <c r="L34" s="128">
        <f>SUM(J34:K34)</f>
        <v>12000</v>
      </c>
      <c r="M34" s="140">
        <f>J34</f>
        <v>10000</v>
      </c>
      <c r="N34" s="140">
        <v>2000</v>
      </c>
      <c r="O34" s="128">
        <f>SUM(M34:N34)</f>
        <v>12000</v>
      </c>
      <c r="P34" s="140">
        <f aca="true" t="shared" si="14" ref="P34:P55">M34*0.65</f>
        <v>6500</v>
      </c>
      <c r="Q34" s="155">
        <f>N34*0.65</f>
        <v>1300</v>
      </c>
      <c r="R34" s="132">
        <f>O34*0.65</f>
        <v>7800</v>
      </c>
      <c r="S34" s="290" t="s">
        <v>101</v>
      </c>
      <c r="T34" s="290"/>
    </row>
    <row r="35" spans="1:20" s="222" customFormat="1" ht="11.25" customHeight="1">
      <c r="A35" s="214" t="s">
        <v>102</v>
      </c>
      <c r="B35" s="215"/>
      <c r="C35" s="233" t="s">
        <v>246</v>
      </c>
      <c r="D35" s="217"/>
      <c r="E35" s="216"/>
      <c r="F35" s="218"/>
      <c r="G35" s="219"/>
      <c r="H35" s="220"/>
      <c r="I35" s="284"/>
      <c r="J35" s="221"/>
      <c r="K35" s="221"/>
      <c r="L35" s="221"/>
      <c r="M35" s="223">
        <v>52010</v>
      </c>
      <c r="N35" s="223">
        <v>2184</v>
      </c>
      <c r="O35" s="279">
        <v>54194</v>
      </c>
      <c r="P35" s="223">
        <v>33806.5</v>
      </c>
      <c r="Q35" s="223">
        <v>1419.6</v>
      </c>
      <c r="R35" s="279">
        <v>35226.1</v>
      </c>
      <c r="S35" s="354" t="s">
        <v>247</v>
      </c>
      <c r="T35" s="355"/>
    </row>
    <row r="36" spans="1:20" s="187" customFormat="1" ht="22.5" customHeight="1">
      <c r="A36" s="180" t="s">
        <v>102</v>
      </c>
      <c r="B36" s="181">
        <v>1.7</v>
      </c>
      <c r="C36" s="182" t="s">
        <v>46</v>
      </c>
      <c r="D36" s="183" t="s">
        <v>95</v>
      </c>
      <c r="E36" s="182" t="s">
        <v>47</v>
      </c>
      <c r="F36" s="184" t="s">
        <v>49</v>
      </c>
      <c r="G36" s="185">
        <v>38491</v>
      </c>
      <c r="H36" s="186">
        <v>38492</v>
      </c>
      <c r="I36" s="283" t="s">
        <v>48</v>
      </c>
      <c r="J36" s="140">
        <v>10000</v>
      </c>
      <c r="K36" s="140">
        <f>+J36*0.2</f>
        <v>2000</v>
      </c>
      <c r="L36" s="128">
        <f>SUM(J36:K36)</f>
        <v>12000</v>
      </c>
      <c r="M36" s="140">
        <v>0</v>
      </c>
      <c r="N36" s="140">
        <f>-N34</f>
        <v>-2000</v>
      </c>
      <c r="O36" s="128">
        <f>SUM(M36:N36)</f>
        <v>-2000</v>
      </c>
      <c r="P36" s="140">
        <f>M36*0.65</f>
        <v>0</v>
      </c>
      <c r="Q36" s="155">
        <f>N36*0.65</f>
        <v>-1300</v>
      </c>
      <c r="R36" s="132">
        <f>O36*0.65</f>
        <v>-1300</v>
      </c>
      <c r="S36" s="357" t="s">
        <v>222</v>
      </c>
      <c r="T36" s="358"/>
    </row>
    <row r="37" spans="1:20" s="133" customFormat="1" ht="11.25" customHeight="1">
      <c r="A37" s="122" t="s">
        <v>102</v>
      </c>
      <c r="B37" s="123"/>
      <c r="C37" s="124" t="s">
        <v>103</v>
      </c>
      <c r="D37" s="124" t="s">
        <v>104</v>
      </c>
      <c r="E37" s="141" t="s">
        <v>105</v>
      </c>
      <c r="F37" s="142" t="s">
        <v>106</v>
      </c>
      <c r="G37" s="144">
        <v>38527</v>
      </c>
      <c r="H37" s="144">
        <v>38527</v>
      </c>
      <c r="I37" s="188" t="s">
        <v>107</v>
      </c>
      <c r="J37" s="168">
        <v>1650</v>
      </c>
      <c r="K37" s="130">
        <f>J37*0.2</f>
        <v>330</v>
      </c>
      <c r="L37" s="128">
        <f>J37+K37</f>
        <v>1980</v>
      </c>
      <c r="M37" s="140">
        <f aca="true" t="shared" si="15" ref="M37:N40">J37</f>
        <v>1650</v>
      </c>
      <c r="N37" s="140">
        <f t="shared" si="15"/>
        <v>330</v>
      </c>
      <c r="O37" s="128">
        <f>M37+N37</f>
        <v>1980</v>
      </c>
      <c r="P37" s="130">
        <f t="shared" si="14"/>
        <v>1072.5</v>
      </c>
      <c r="Q37" s="152">
        <f aca="true" t="shared" si="16" ref="Q37:Q55">N37*0.65</f>
        <v>214.5</v>
      </c>
      <c r="R37" s="132">
        <f>SUM(P37:Q37)</f>
        <v>1287</v>
      </c>
      <c r="S37" s="238"/>
      <c r="T37" s="239"/>
    </row>
    <row r="38" spans="1:20" s="133" customFormat="1" ht="11.25" customHeight="1">
      <c r="A38" s="122" t="s">
        <v>102</v>
      </c>
      <c r="B38" s="123"/>
      <c r="C38" s="124" t="s">
        <v>103</v>
      </c>
      <c r="D38" s="124" t="s">
        <v>104</v>
      </c>
      <c r="E38" s="141" t="s">
        <v>108</v>
      </c>
      <c r="F38" s="142">
        <v>72</v>
      </c>
      <c r="G38" s="144">
        <v>38527</v>
      </c>
      <c r="H38" s="144">
        <v>38527</v>
      </c>
      <c r="I38" s="188" t="s">
        <v>107</v>
      </c>
      <c r="J38" s="168">
        <v>1650</v>
      </c>
      <c r="K38" s="130">
        <f>J38*0.2</f>
        <v>330</v>
      </c>
      <c r="L38" s="128">
        <f>J38+K38</f>
        <v>1980</v>
      </c>
      <c r="M38" s="140">
        <f t="shared" si="15"/>
        <v>1650</v>
      </c>
      <c r="N38" s="140">
        <f t="shared" si="15"/>
        <v>330</v>
      </c>
      <c r="O38" s="128">
        <f>M38+N38</f>
        <v>1980</v>
      </c>
      <c r="P38" s="130">
        <f aca="true" t="shared" si="17" ref="P38:Q40">M38*0.65</f>
        <v>1072.5</v>
      </c>
      <c r="Q38" s="152">
        <f t="shared" si="17"/>
        <v>214.5</v>
      </c>
      <c r="R38" s="132">
        <f>SUM(P38:Q38)</f>
        <v>1287</v>
      </c>
      <c r="S38" s="238"/>
      <c r="T38" s="239"/>
    </row>
    <row r="39" spans="1:20" s="133" customFormat="1" ht="11.25" customHeight="1">
      <c r="A39" s="122" t="s">
        <v>102</v>
      </c>
      <c r="B39" s="123"/>
      <c r="C39" s="124" t="s">
        <v>103</v>
      </c>
      <c r="D39" s="124" t="s">
        <v>104</v>
      </c>
      <c r="E39" s="141" t="s">
        <v>109</v>
      </c>
      <c r="F39" s="142" t="s">
        <v>110</v>
      </c>
      <c r="G39" s="144">
        <v>38555</v>
      </c>
      <c r="H39" s="144">
        <v>38565</v>
      </c>
      <c r="I39" s="188" t="s">
        <v>107</v>
      </c>
      <c r="J39" s="168">
        <v>1650</v>
      </c>
      <c r="K39" s="130">
        <f>J39*0.2</f>
        <v>330</v>
      </c>
      <c r="L39" s="128">
        <f>J39+K39</f>
        <v>1980</v>
      </c>
      <c r="M39" s="140">
        <f t="shared" si="15"/>
        <v>1650</v>
      </c>
      <c r="N39" s="140">
        <f t="shared" si="15"/>
        <v>330</v>
      </c>
      <c r="O39" s="128">
        <f>M39+N39</f>
        <v>1980</v>
      </c>
      <c r="P39" s="130">
        <f t="shared" si="17"/>
        <v>1072.5</v>
      </c>
      <c r="Q39" s="152">
        <f t="shared" si="17"/>
        <v>214.5</v>
      </c>
      <c r="R39" s="132">
        <f>SUM(P39:Q39)</f>
        <v>1287</v>
      </c>
      <c r="S39" s="238"/>
      <c r="T39" s="239"/>
    </row>
    <row r="40" spans="1:20" s="133" customFormat="1" ht="11.25" customHeight="1">
      <c r="A40" s="122" t="s">
        <v>102</v>
      </c>
      <c r="B40" s="123"/>
      <c r="C40" s="124" t="s">
        <v>103</v>
      </c>
      <c r="D40" s="124" t="s">
        <v>104</v>
      </c>
      <c r="E40" s="141" t="s">
        <v>111</v>
      </c>
      <c r="F40" s="142">
        <v>7</v>
      </c>
      <c r="G40" s="144">
        <v>38534</v>
      </c>
      <c r="H40" s="144">
        <v>38565</v>
      </c>
      <c r="I40" s="188" t="s">
        <v>107</v>
      </c>
      <c r="J40" s="168">
        <v>1650</v>
      </c>
      <c r="K40" s="130">
        <v>0</v>
      </c>
      <c r="L40" s="128">
        <f>J40+K40</f>
        <v>1650</v>
      </c>
      <c r="M40" s="140">
        <f t="shared" si="15"/>
        <v>1650</v>
      </c>
      <c r="N40" s="140">
        <f t="shared" si="15"/>
        <v>0</v>
      </c>
      <c r="O40" s="128">
        <f>M40+N40</f>
        <v>1650</v>
      </c>
      <c r="P40" s="130">
        <f t="shared" si="17"/>
        <v>1072.5</v>
      </c>
      <c r="Q40" s="152">
        <f t="shared" si="17"/>
        <v>0</v>
      </c>
      <c r="R40" s="132">
        <f aca="true" t="shared" si="18" ref="R40:R55">SUM(P40:Q40)</f>
        <v>1072.5</v>
      </c>
      <c r="S40" s="238"/>
      <c r="T40" s="239"/>
    </row>
    <row r="41" spans="1:20" s="133" customFormat="1" ht="69.75" customHeight="1">
      <c r="A41" s="122" t="s">
        <v>102</v>
      </c>
      <c r="B41" s="123"/>
      <c r="C41" s="124" t="s">
        <v>117</v>
      </c>
      <c r="D41" s="124" t="s">
        <v>123</v>
      </c>
      <c r="E41" s="141" t="s">
        <v>118</v>
      </c>
      <c r="F41" s="189" t="s">
        <v>119</v>
      </c>
      <c r="G41" s="144">
        <v>38534</v>
      </c>
      <c r="H41" s="144">
        <v>38580</v>
      </c>
      <c r="I41" s="188" t="s">
        <v>120</v>
      </c>
      <c r="J41" s="158">
        <v>6000</v>
      </c>
      <c r="K41" s="130">
        <f aca="true" t="shared" si="19" ref="K41:K47">J41*0.2</f>
        <v>1200</v>
      </c>
      <c r="L41" s="128">
        <f aca="true" t="shared" si="20" ref="L41:L48">SUM(J41:K41)</f>
        <v>7200</v>
      </c>
      <c r="M41" s="140">
        <f aca="true" t="shared" si="21" ref="M41:M55">J41</f>
        <v>6000</v>
      </c>
      <c r="N41" s="140"/>
      <c r="O41" s="128">
        <f aca="true" t="shared" si="22" ref="O41:O47">SUM(M41:N41)</f>
        <v>6000</v>
      </c>
      <c r="P41" s="130">
        <f t="shared" si="14"/>
        <v>3900</v>
      </c>
      <c r="Q41" s="152">
        <f t="shared" si="16"/>
        <v>0</v>
      </c>
      <c r="R41" s="132">
        <f t="shared" si="18"/>
        <v>3900</v>
      </c>
      <c r="S41" s="241" t="s">
        <v>227</v>
      </c>
      <c r="T41" s="242"/>
    </row>
    <row r="42" spans="1:20" s="133" customFormat="1" ht="60.75" customHeight="1">
      <c r="A42" s="122" t="s">
        <v>102</v>
      </c>
      <c r="B42" s="123"/>
      <c r="C42" s="124" t="s">
        <v>117</v>
      </c>
      <c r="D42" s="124" t="s">
        <v>123</v>
      </c>
      <c r="E42" s="141" t="s">
        <v>118</v>
      </c>
      <c r="F42" s="189" t="s">
        <v>121</v>
      </c>
      <c r="G42" s="144">
        <v>38619</v>
      </c>
      <c r="H42" s="145" t="s">
        <v>122</v>
      </c>
      <c r="I42" s="145" t="s">
        <v>120</v>
      </c>
      <c r="J42" s="168">
        <v>13040</v>
      </c>
      <c r="K42" s="130">
        <f t="shared" si="19"/>
        <v>2608</v>
      </c>
      <c r="L42" s="128">
        <f t="shared" si="20"/>
        <v>15648</v>
      </c>
      <c r="M42" s="140">
        <v>13000</v>
      </c>
      <c r="N42" s="140"/>
      <c r="O42" s="128">
        <f t="shared" si="22"/>
        <v>13000</v>
      </c>
      <c r="P42" s="130">
        <f t="shared" si="14"/>
        <v>8450</v>
      </c>
      <c r="Q42" s="152">
        <f t="shared" si="16"/>
        <v>0</v>
      </c>
      <c r="R42" s="132">
        <f t="shared" si="18"/>
        <v>8450</v>
      </c>
      <c r="S42" s="288"/>
      <c r="T42" s="289"/>
    </row>
    <row r="43" spans="1:20" s="133" customFormat="1" ht="144.75" customHeight="1">
      <c r="A43" s="122" t="s">
        <v>102</v>
      </c>
      <c r="B43" s="123"/>
      <c r="C43" s="124" t="s">
        <v>61</v>
      </c>
      <c r="D43" s="172" t="s">
        <v>130</v>
      </c>
      <c r="E43" s="165" t="s">
        <v>135</v>
      </c>
      <c r="F43" s="190" t="s">
        <v>144</v>
      </c>
      <c r="G43" s="157">
        <v>38611</v>
      </c>
      <c r="H43" s="157">
        <v>38617</v>
      </c>
      <c r="I43" s="157" t="s">
        <v>136</v>
      </c>
      <c r="J43" s="191">
        <v>1850</v>
      </c>
      <c r="K43" s="191">
        <f t="shared" si="19"/>
        <v>370</v>
      </c>
      <c r="L43" s="128">
        <f t="shared" si="20"/>
        <v>2220</v>
      </c>
      <c r="M43" s="140"/>
      <c r="N43" s="191">
        <f>M43*0.2</f>
        <v>0</v>
      </c>
      <c r="O43" s="128">
        <f t="shared" si="22"/>
        <v>0</v>
      </c>
      <c r="P43" s="130">
        <f t="shared" si="14"/>
        <v>0</v>
      </c>
      <c r="Q43" s="152">
        <f t="shared" si="16"/>
        <v>0</v>
      </c>
      <c r="R43" s="132">
        <f t="shared" si="18"/>
        <v>0</v>
      </c>
      <c r="S43" s="241" t="s">
        <v>228</v>
      </c>
      <c r="T43" s="242"/>
    </row>
    <row r="44" spans="1:20" s="133" customFormat="1" ht="144.75" customHeight="1">
      <c r="A44" s="122" t="s">
        <v>102</v>
      </c>
      <c r="B44" s="123"/>
      <c r="C44" s="124" t="s">
        <v>61</v>
      </c>
      <c r="D44" s="172" t="s">
        <v>131</v>
      </c>
      <c r="E44" s="165" t="s">
        <v>135</v>
      </c>
      <c r="F44" s="190" t="s">
        <v>137</v>
      </c>
      <c r="G44" s="157">
        <v>38611</v>
      </c>
      <c r="H44" s="157">
        <v>38617</v>
      </c>
      <c r="I44" s="157" t="s">
        <v>136</v>
      </c>
      <c r="J44" s="191">
        <v>2000</v>
      </c>
      <c r="K44" s="191">
        <f t="shared" si="19"/>
        <v>400</v>
      </c>
      <c r="L44" s="128">
        <f t="shared" si="20"/>
        <v>2400</v>
      </c>
      <c r="M44" s="140"/>
      <c r="N44" s="191">
        <f>M44*0.2</f>
        <v>0</v>
      </c>
      <c r="O44" s="128">
        <f t="shared" si="22"/>
        <v>0</v>
      </c>
      <c r="P44" s="130">
        <f t="shared" si="14"/>
        <v>0</v>
      </c>
      <c r="Q44" s="152">
        <f t="shared" si="16"/>
        <v>0</v>
      </c>
      <c r="R44" s="132">
        <f t="shared" si="18"/>
        <v>0</v>
      </c>
      <c r="S44" s="286"/>
      <c r="T44" s="287"/>
    </row>
    <row r="45" spans="1:20" s="133" customFormat="1" ht="11.25" customHeight="1">
      <c r="A45" s="122" t="s">
        <v>102</v>
      </c>
      <c r="B45" s="123"/>
      <c r="C45" s="124" t="s">
        <v>61</v>
      </c>
      <c r="D45" s="172" t="s">
        <v>133</v>
      </c>
      <c r="E45" s="165" t="s">
        <v>140</v>
      </c>
      <c r="F45" s="190" t="s">
        <v>141</v>
      </c>
      <c r="G45" s="157">
        <v>38618</v>
      </c>
      <c r="H45" s="157">
        <v>38618</v>
      </c>
      <c r="I45" s="157" t="s">
        <v>136</v>
      </c>
      <c r="J45" s="191">
        <v>5600</v>
      </c>
      <c r="K45" s="191">
        <f>J45*0.2</f>
        <v>1120</v>
      </c>
      <c r="L45" s="128">
        <f>SUM(J45:K45)</f>
        <v>6720</v>
      </c>
      <c r="M45" s="140">
        <f>5700/1.2</f>
        <v>4750</v>
      </c>
      <c r="N45" s="191"/>
      <c r="O45" s="128">
        <f>SUM(M45:N45)</f>
        <v>4750</v>
      </c>
      <c r="P45" s="130">
        <f>M45*0.65</f>
        <v>3087.5</v>
      </c>
      <c r="Q45" s="152">
        <f>N45*0.65</f>
        <v>0</v>
      </c>
      <c r="R45" s="132">
        <f>SUM(P45:Q45)</f>
        <v>3087.5</v>
      </c>
      <c r="S45" s="236" t="s">
        <v>229</v>
      </c>
      <c r="T45" s="237"/>
    </row>
    <row r="46" spans="1:20" s="133" customFormat="1" ht="46.5" customHeight="1">
      <c r="A46" s="122" t="s">
        <v>102</v>
      </c>
      <c r="B46" s="123"/>
      <c r="C46" s="124" t="s">
        <v>61</v>
      </c>
      <c r="D46" s="172" t="s">
        <v>132</v>
      </c>
      <c r="E46" s="165" t="s">
        <v>138</v>
      </c>
      <c r="F46" s="190" t="s">
        <v>139</v>
      </c>
      <c r="G46" s="157">
        <v>38614</v>
      </c>
      <c r="H46" s="157">
        <v>38615</v>
      </c>
      <c r="I46" s="157" t="s">
        <v>136</v>
      </c>
      <c r="J46" s="191">
        <v>5000</v>
      </c>
      <c r="K46" s="191">
        <f t="shared" si="19"/>
        <v>1000</v>
      </c>
      <c r="L46" s="128">
        <f t="shared" si="20"/>
        <v>6000</v>
      </c>
      <c r="M46" s="140">
        <f t="shared" si="21"/>
        <v>5000</v>
      </c>
      <c r="N46" s="191"/>
      <c r="O46" s="128">
        <f t="shared" si="22"/>
        <v>5000</v>
      </c>
      <c r="P46" s="130">
        <f t="shared" si="14"/>
        <v>3250</v>
      </c>
      <c r="Q46" s="152">
        <f t="shared" si="16"/>
        <v>0</v>
      </c>
      <c r="R46" s="132">
        <f t="shared" si="18"/>
        <v>3250</v>
      </c>
      <c r="S46" s="236" t="s">
        <v>230</v>
      </c>
      <c r="T46" s="237"/>
    </row>
    <row r="47" spans="1:20" s="133" customFormat="1" ht="84" customHeight="1">
      <c r="A47" s="122" t="s">
        <v>102</v>
      </c>
      <c r="B47" s="123"/>
      <c r="C47" s="124" t="s">
        <v>61</v>
      </c>
      <c r="D47" s="172" t="s">
        <v>134</v>
      </c>
      <c r="E47" s="192" t="s">
        <v>142</v>
      </c>
      <c r="F47" s="190" t="s">
        <v>143</v>
      </c>
      <c r="G47" s="157">
        <v>38618</v>
      </c>
      <c r="H47" s="157">
        <v>38618</v>
      </c>
      <c r="I47" s="157" t="s">
        <v>136</v>
      </c>
      <c r="J47" s="191">
        <v>1520</v>
      </c>
      <c r="K47" s="191">
        <f t="shared" si="19"/>
        <v>304</v>
      </c>
      <c r="L47" s="128">
        <f t="shared" si="20"/>
        <v>1824</v>
      </c>
      <c r="M47" s="140">
        <v>1500</v>
      </c>
      <c r="N47" s="191"/>
      <c r="O47" s="128">
        <f t="shared" si="22"/>
        <v>1500</v>
      </c>
      <c r="P47" s="130">
        <f t="shared" si="14"/>
        <v>975</v>
      </c>
      <c r="Q47" s="152">
        <f t="shared" si="16"/>
        <v>0</v>
      </c>
      <c r="R47" s="132">
        <f t="shared" si="18"/>
        <v>975</v>
      </c>
      <c r="S47" s="236" t="s">
        <v>231</v>
      </c>
      <c r="T47" s="237"/>
    </row>
    <row r="48" spans="1:20" s="133" customFormat="1" ht="12.75" customHeight="1">
      <c r="A48" s="122" t="s">
        <v>102</v>
      </c>
      <c r="B48" s="123"/>
      <c r="C48" s="124" t="s">
        <v>50</v>
      </c>
      <c r="D48" s="154" t="s">
        <v>168</v>
      </c>
      <c r="E48" s="141" t="s">
        <v>170</v>
      </c>
      <c r="F48" s="194" t="s">
        <v>171</v>
      </c>
      <c r="G48" s="144">
        <v>38532</v>
      </c>
      <c r="H48" s="144">
        <v>38537</v>
      </c>
      <c r="I48" s="145" t="s">
        <v>91</v>
      </c>
      <c r="J48" s="158">
        <v>1248</v>
      </c>
      <c r="K48" s="130">
        <f>J48*0.2</f>
        <v>249.60000000000002</v>
      </c>
      <c r="L48" s="128">
        <f t="shared" si="20"/>
        <v>1497.6</v>
      </c>
      <c r="M48" s="140">
        <f t="shared" si="21"/>
        <v>1248</v>
      </c>
      <c r="N48" s="140"/>
      <c r="O48" s="128">
        <f>SUM(M48:N48)</f>
        <v>1248</v>
      </c>
      <c r="P48" s="130">
        <f t="shared" si="14"/>
        <v>811.2</v>
      </c>
      <c r="Q48" s="152">
        <f t="shared" si="16"/>
        <v>0</v>
      </c>
      <c r="R48" s="132">
        <f t="shared" si="18"/>
        <v>811.2</v>
      </c>
      <c r="S48" s="241" t="s">
        <v>242</v>
      </c>
      <c r="T48" s="242"/>
    </row>
    <row r="49" spans="1:20" s="133" customFormat="1" ht="11.25" customHeight="1">
      <c r="A49" s="122" t="s">
        <v>102</v>
      </c>
      <c r="B49" s="123"/>
      <c r="C49" s="124" t="s">
        <v>50</v>
      </c>
      <c r="D49" s="154" t="s">
        <v>168</v>
      </c>
      <c r="E49" s="141" t="s">
        <v>170</v>
      </c>
      <c r="F49" s="193" t="s">
        <v>172</v>
      </c>
      <c r="G49" s="144">
        <v>38562</v>
      </c>
      <c r="H49" s="144">
        <v>38566</v>
      </c>
      <c r="I49" s="145" t="s">
        <v>91</v>
      </c>
      <c r="J49" s="158">
        <v>1248</v>
      </c>
      <c r="K49" s="130">
        <f aca="true" t="shared" si="23" ref="K49:K55">J49*0.2</f>
        <v>249.60000000000002</v>
      </c>
      <c r="L49" s="128">
        <f aca="true" t="shared" si="24" ref="L49:L55">SUM(J49:K49)</f>
        <v>1497.6</v>
      </c>
      <c r="M49" s="140">
        <f t="shared" si="21"/>
        <v>1248</v>
      </c>
      <c r="N49" s="140"/>
      <c r="O49" s="128">
        <f aca="true" t="shared" si="25" ref="O49:O55">SUM(M49:N49)</f>
        <v>1248</v>
      </c>
      <c r="P49" s="130">
        <f t="shared" si="14"/>
        <v>811.2</v>
      </c>
      <c r="Q49" s="152">
        <f t="shared" si="16"/>
        <v>0</v>
      </c>
      <c r="R49" s="132">
        <f t="shared" si="18"/>
        <v>811.2</v>
      </c>
      <c r="S49" s="352"/>
      <c r="T49" s="353"/>
    </row>
    <row r="50" spans="1:20" s="133" customFormat="1" ht="11.25" customHeight="1">
      <c r="A50" s="122" t="s">
        <v>102</v>
      </c>
      <c r="B50" s="123"/>
      <c r="C50" s="124" t="s">
        <v>50</v>
      </c>
      <c r="D50" s="154" t="s">
        <v>168</v>
      </c>
      <c r="E50" s="141" t="s">
        <v>170</v>
      </c>
      <c r="F50" s="193" t="s">
        <v>173</v>
      </c>
      <c r="G50" s="144">
        <v>38597</v>
      </c>
      <c r="H50" s="144">
        <v>38597</v>
      </c>
      <c r="I50" s="145" t="s">
        <v>91</v>
      </c>
      <c r="J50" s="158">
        <v>1248</v>
      </c>
      <c r="K50" s="130">
        <f t="shared" si="23"/>
        <v>249.60000000000002</v>
      </c>
      <c r="L50" s="128">
        <f t="shared" si="24"/>
        <v>1497.6</v>
      </c>
      <c r="M50" s="140">
        <f t="shared" si="21"/>
        <v>1248</v>
      </c>
      <c r="N50" s="140"/>
      <c r="O50" s="128">
        <f t="shared" si="25"/>
        <v>1248</v>
      </c>
      <c r="P50" s="130">
        <f t="shared" si="14"/>
        <v>811.2</v>
      </c>
      <c r="Q50" s="152">
        <f t="shared" si="16"/>
        <v>0</v>
      </c>
      <c r="R50" s="132">
        <f t="shared" si="18"/>
        <v>811.2</v>
      </c>
      <c r="S50" s="352"/>
      <c r="T50" s="353"/>
    </row>
    <row r="51" spans="1:20" s="133" customFormat="1" ht="11.25" customHeight="1">
      <c r="A51" s="122" t="s">
        <v>102</v>
      </c>
      <c r="B51" s="123"/>
      <c r="C51" s="124" t="s">
        <v>50</v>
      </c>
      <c r="D51" s="154" t="s">
        <v>168</v>
      </c>
      <c r="E51" s="141" t="s">
        <v>170</v>
      </c>
      <c r="F51" s="193" t="s">
        <v>174</v>
      </c>
      <c r="G51" s="193" t="s">
        <v>175</v>
      </c>
      <c r="H51" s="144">
        <v>38628</v>
      </c>
      <c r="I51" s="145" t="s">
        <v>91</v>
      </c>
      <c r="J51" s="158">
        <v>1248</v>
      </c>
      <c r="K51" s="130">
        <f t="shared" si="23"/>
        <v>249.60000000000002</v>
      </c>
      <c r="L51" s="128">
        <f t="shared" si="24"/>
        <v>1497.6</v>
      </c>
      <c r="M51" s="140">
        <f t="shared" si="21"/>
        <v>1248</v>
      </c>
      <c r="N51" s="140"/>
      <c r="O51" s="128">
        <f t="shared" si="25"/>
        <v>1248</v>
      </c>
      <c r="P51" s="130">
        <f t="shared" si="14"/>
        <v>811.2</v>
      </c>
      <c r="Q51" s="152">
        <f t="shared" si="16"/>
        <v>0</v>
      </c>
      <c r="R51" s="132">
        <f t="shared" si="18"/>
        <v>811.2</v>
      </c>
      <c r="S51" s="335"/>
      <c r="T51" s="336"/>
    </row>
    <row r="52" spans="1:20" s="133" customFormat="1" ht="11.25" customHeight="1">
      <c r="A52" s="122" t="s">
        <v>102</v>
      </c>
      <c r="B52" s="123"/>
      <c r="C52" s="124" t="s">
        <v>50</v>
      </c>
      <c r="D52" s="154" t="s">
        <v>169</v>
      </c>
      <c r="E52" s="156" t="s">
        <v>176</v>
      </c>
      <c r="F52" s="193" t="s">
        <v>177</v>
      </c>
      <c r="G52" s="144">
        <v>38534</v>
      </c>
      <c r="H52" s="144">
        <v>38544</v>
      </c>
      <c r="I52" s="145" t="s">
        <v>91</v>
      </c>
      <c r="J52" s="158">
        <v>1352</v>
      </c>
      <c r="K52" s="130">
        <f t="shared" si="23"/>
        <v>270.40000000000003</v>
      </c>
      <c r="L52" s="128">
        <f t="shared" si="24"/>
        <v>1622.4</v>
      </c>
      <c r="M52" s="140">
        <f t="shared" si="21"/>
        <v>1352</v>
      </c>
      <c r="N52" s="140"/>
      <c r="O52" s="128">
        <f t="shared" si="25"/>
        <v>1352</v>
      </c>
      <c r="P52" s="130">
        <f t="shared" si="14"/>
        <v>878.8000000000001</v>
      </c>
      <c r="Q52" s="152">
        <f t="shared" si="16"/>
        <v>0</v>
      </c>
      <c r="R52" s="132">
        <f t="shared" si="18"/>
        <v>878.8000000000001</v>
      </c>
      <c r="S52" s="241" t="s">
        <v>242</v>
      </c>
      <c r="T52" s="242"/>
    </row>
    <row r="53" spans="1:20" s="133" customFormat="1" ht="11.25" customHeight="1">
      <c r="A53" s="122" t="s">
        <v>102</v>
      </c>
      <c r="B53" s="123"/>
      <c r="C53" s="124" t="s">
        <v>50</v>
      </c>
      <c r="D53" s="154" t="s">
        <v>169</v>
      </c>
      <c r="E53" s="156" t="s">
        <v>176</v>
      </c>
      <c r="F53" s="193" t="s">
        <v>178</v>
      </c>
      <c r="G53" s="144">
        <v>38565</v>
      </c>
      <c r="H53" s="144">
        <v>38566</v>
      </c>
      <c r="I53" s="145" t="s">
        <v>91</v>
      </c>
      <c r="J53" s="158">
        <v>1352</v>
      </c>
      <c r="K53" s="130">
        <f t="shared" si="23"/>
        <v>270.40000000000003</v>
      </c>
      <c r="L53" s="128">
        <f t="shared" si="24"/>
        <v>1622.4</v>
      </c>
      <c r="M53" s="140">
        <f t="shared" si="21"/>
        <v>1352</v>
      </c>
      <c r="N53" s="140"/>
      <c r="O53" s="128">
        <f t="shared" si="25"/>
        <v>1352</v>
      </c>
      <c r="P53" s="130">
        <f t="shared" si="14"/>
        <v>878.8000000000001</v>
      </c>
      <c r="Q53" s="152">
        <f t="shared" si="16"/>
        <v>0</v>
      </c>
      <c r="R53" s="132">
        <f t="shared" si="18"/>
        <v>878.8000000000001</v>
      </c>
      <c r="S53" s="352"/>
      <c r="T53" s="353"/>
    </row>
    <row r="54" spans="1:20" s="133" customFormat="1" ht="11.25" customHeight="1">
      <c r="A54" s="122" t="s">
        <v>102</v>
      </c>
      <c r="B54" s="123"/>
      <c r="C54" s="124" t="s">
        <v>50</v>
      </c>
      <c r="D54" s="154" t="s">
        <v>169</v>
      </c>
      <c r="E54" s="156" t="s">
        <v>176</v>
      </c>
      <c r="F54" s="193" t="s">
        <v>179</v>
      </c>
      <c r="G54" s="144">
        <v>38596</v>
      </c>
      <c r="H54" s="144">
        <v>38597</v>
      </c>
      <c r="I54" s="145" t="s">
        <v>91</v>
      </c>
      <c r="J54" s="158">
        <v>1352</v>
      </c>
      <c r="K54" s="130">
        <f t="shared" si="23"/>
        <v>270.40000000000003</v>
      </c>
      <c r="L54" s="128">
        <f t="shared" si="24"/>
        <v>1622.4</v>
      </c>
      <c r="M54" s="140">
        <f t="shared" si="21"/>
        <v>1352</v>
      </c>
      <c r="N54" s="140"/>
      <c r="O54" s="128">
        <f t="shared" si="25"/>
        <v>1352</v>
      </c>
      <c r="P54" s="130">
        <f t="shared" si="14"/>
        <v>878.8000000000001</v>
      </c>
      <c r="Q54" s="152">
        <f t="shared" si="16"/>
        <v>0</v>
      </c>
      <c r="R54" s="132">
        <f t="shared" si="18"/>
        <v>878.8000000000001</v>
      </c>
      <c r="S54" s="352"/>
      <c r="T54" s="353"/>
    </row>
    <row r="55" spans="1:20" s="133" customFormat="1" ht="11.25" customHeight="1">
      <c r="A55" s="122" t="s">
        <v>102</v>
      </c>
      <c r="B55" s="123"/>
      <c r="C55" s="124" t="s">
        <v>50</v>
      </c>
      <c r="D55" s="154" t="s">
        <v>169</v>
      </c>
      <c r="E55" s="156" t="s">
        <v>176</v>
      </c>
      <c r="F55" s="193" t="s">
        <v>180</v>
      </c>
      <c r="G55" s="144">
        <v>38626</v>
      </c>
      <c r="H55" s="144">
        <v>38628</v>
      </c>
      <c r="I55" s="145" t="s">
        <v>91</v>
      </c>
      <c r="J55" s="158">
        <v>1352</v>
      </c>
      <c r="K55" s="130">
        <f t="shared" si="23"/>
        <v>270.40000000000003</v>
      </c>
      <c r="L55" s="128">
        <f t="shared" si="24"/>
        <v>1622.4</v>
      </c>
      <c r="M55" s="140">
        <f t="shared" si="21"/>
        <v>1352</v>
      </c>
      <c r="N55" s="140"/>
      <c r="O55" s="128">
        <f t="shared" si="25"/>
        <v>1352</v>
      </c>
      <c r="P55" s="130">
        <f t="shared" si="14"/>
        <v>878.8000000000001</v>
      </c>
      <c r="Q55" s="152">
        <f t="shared" si="16"/>
        <v>0</v>
      </c>
      <c r="R55" s="132">
        <f t="shared" si="18"/>
        <v>878.8000000000001</v>
      </c>
      <c r="S55" s="335"/>
      <c r="T55" s="336"/>
    </row>
    <row r="56" spans="1:20" s="232" customFormat="1" ht="13.5" customHeight="1">
      <c r="A56" s="224" t="s">
        <v>233</v>
      </c>
      <c r="B56" s="225"/>
      <c r="C56" s="234" t="s">
        <v>248</v>
      </c>
      <c r="D56" s="227"/>
      <c r="E56" s="226"/>
      <c r="F56" s="228"/>
      <c r="G56" s="229"/>
      <c r="H56" s="230"/>
      <c r="I56" s="230"/>
      <c r="J56" s="231"/>
      <c r="K56" s="231"/>
      <c r="L56" s="231"/>
      <c r="M56" s="231">
        <f aca="true" t="shared" si="26" ref="M56:R56">SUM(M36:M55)-M35</f>
        <v>-4760</v>
      </c>
      <c r="N56" s="231">
        <f t="shared" si="26"/>
        <v>-3194</v>
      </c>
      <c r="O56" s="98">
        <f t="shared" si="26"/>
        <v>-7954</v>
      </c>
      <c r="P56" s="231">
        <f t="shared" si="26"/>
        <v>-3094</v>
      </c>
      <c r="Q56" s="231">
        <f t="shared" si="26"/>
        <v>-2076.1</v>
      </c>
      <c r="R56" s="98">
        <f t="shared" si="26"/>
        <v>-5170.0999999999985</v>
      </c>
      <c r="S56" s="285" t="s">
        <v>250</v>
      </c>
      <c r="T56" s="255"/>
    </row>
    <row r="57" spans="1:20" ht="12.75" customHeight="1">
      <c r="A57" s="49"/>
      <c r="B57" s="8"/>
      <c r="C57" s="9"/>
      <c r="D57" s="15"/>
      <c r="E57" s="15"/>
      <c r="F57" s="15"/>
      <c r="G57" s="10"/>
      <c r="H57" s="16"/>
      <c r="I57" s="16"/>
      <c r="J57" s="12"/>
      <c r="K57" s="12"/>
      <c r="L57" s="98"/>
      <c r="M57" s="23">
        <f>+J57</f>
        <v>0</v>
      </c>
      <c r="N57" s="23"/>
      <c r="O57" s="98"/>
      <c r="P57" s="12">
        <f>M57*0.65</f>
        <v>0</v>
      </c>
      <c r="Q57" s="12"/>
      <c r="R57" s="98"/>
      <c r="S57" s="314"/>
      <c r="T57" s="315"/>
    </row>
    <row r="58" ht="11.25">
      <c r="U58" s="19"/>
    </row>
    <row r="59" spans="1:21" ht="11.25">
      <c r="A59" s="337" t="s">
        <v>1</v>
      </c>
      <c r="B59" s="338"/>
      <c r="C59" s="338"/>
      <c r="D59" s="338"/>
      <c r="E59" s="338"/>
      <c r="F59" s="338"/>
      <c r="G59" s="338"/>
      <c r="H59" s="338"/>
      <c r="I59" s="338"/>
      <c r="J59" s="338"/>
      <c r="K59" s="338"/>
      <c r="L59" s="339"/>
      <c r="M59" s="86" t="s">
        <v>216</v>
      </c>
      <c r="N59" s="86" t="s">
        <v>217</v>
      </c>
      <c r="O59" s="106" t="s">
        <v>218</v>
      </c>
      <c r="P59" s="86" t="s">
        <v>219</v>
      </c>
      <c r="Q59" s="86" t="s">
        <v>220</v>
      </c>
      <c r="R59" s="106" t="s">
        <v>221</v>
      </c>
      <c r="S59" s="25" t="s">
        <v>25</v>
      </c>
      <c r="T59" s="26" t="s">
        <v>26</v>
      </c>
      <c r="U59" s="19"/>
    </row>
    <row r="60" spans="1:22" ht="11.25">
      <c r="A60" s="298"/>
      <c r="B60" s="299"/>
      <c r="C60" s="311"/>
      <c r="D60" s="312"/>
      <c r="E60" s="312"/>
      <c r="F60" s="312"/>
      <c r="G60" s="312"/>
      <c r="H60" s="312"/>
      <c r="I60" s="312"/>
      <c r="J60" s="312"/>
      <c r="K60" s="313"/>
      <c r="L60" s="93" t="s">
        <v>12</v>
      </c>
      <c r="M60" s="3">
        <v>0</v>
      </c>
      <c r="N60" s="3"/>
      <c r="O60" s="107"/>
      <c r="P60" s="57">
        <f>M60*0.5</f>
        <v>0</v>
      </c>
      <c r="Q60" s="83"/>
      <c r="R60" s="115"/>
      <c r="S60" s="40"/>
      <c r="T60" s="40"/>
      <c r="U60" s="19"/>
      <c r="V60" s="19"/>
    </row>
    <row r="61" spans="1:22" ht="11.25">
      <c r="A61" s="298"/>
      <c r="B61" s="299"/>
      <c r="C61" s="305">
        <v>0</v>
      </c>
      <c r="D61" s="306"/>
      <c r="E61" s="306"/>
      <c r="F61" s="306"/>
      <c r="G61" s="306"/>
      <c r="H61" s="306"/>
      <c r="I61" s="306"/>
      <c r="J61" s="306"/>
      <c r="K61" s="307"/>
      <c r="L61" s="95" t="s">
        <v>28</v>
      </c>
      <c r="M61" s="13"/>
      <c r="N61" s="13"/>
      <c r="O61" s="110"/>
      <c r="P61" s="13"/>
      <c r="Q61" s="84"/>
      <c r="R61" s="116"/>
      <c r="S61" s="41">
        <f>P61*0.375</f>
        <v>0</v>
      </c>
      <c r="T61" s="5">
        <f>P61-S61</f>
        <v>0</v>
      </c>
      <c r="U61" s="19"/>
      <c r="V61" s="19"/>
    </row>
    <row r="62" spans="1:22" ht="11.25">
      <c r="A62" s="298"/>
      <c r="B62" s="299"/>
      <c r="C62" s="35"/>
      <c r="D62" s="34"/>
      <c r="E62" s="34"/>
      <c r="F62" s="34"/>
      <c r="G62" s="34"/>
      <c r="H62" s="34"/>
      <c r="I62" s="34"/>
      <c r="J62" s="34"/>
      <c r="K62" s="36"/>
      <c r="L62" s="94" t="s">
        <v>127</v>
      </c>
      <c r="M62" s="4">
        <f>SUM(M66)</f>
        <v>0</v>
      </c>
      <c r="N62" s="4"/>
      <c r="O62" s="108">
        <f>SUM(O66)</f>
        <v>0</v>
      </c>
      <c r="P62" s="4">
        <f>SUM(P66)</f>
        <v>0</v>
      </c>
      <c r="Q62" s="82"/>
      <c r="R62" s="117">
        <f>SUM(R66)</f>
        <v>0</v>
      </c>
      <c r="S62" s="41">
        <f>R62*0.375</f>
        <v>0</v>
      </c>
      <c r="T62" s="5">
        <f>R62-S62</f>
        <v>0</v>
      </c>
      <c r="U62" s="19"/>
      <c r="V62" s="19"/>
    </row>
    <row r="63" spans="1:21" s="1" customFormat="1" ht="11.25">
      <c r="A63" s="298"/>
      <c r="B63" s="299"/>
      <c r="C63" s="35"/>
      <c r="D63" s="34"/>
      <c r="E63" s="34"/>
      <c r="F63" s="34"/>
      <c r="G63" s="34"/>
      <c r="H63" s="34"/>
      <c r="I63" s="34"/>
      <c r="J63" s="34"/>
      <c r="K63" s="36"/>
      <c r="L63" s="95" t="s">
        <v>224</v>
      </c>
      <c r="M63" s="4"/>
      <c r="N63" s="4"/>
      <c r="O63" s="108"/>
      <c r="P63" s="4"/>
      <c r="Q63" s="85"/>
      <c r="R63" s="113"/>
      <c r="S63" s="89"/>
      <c r="T63" s="89"/>
      <c r="U63" s="24"/>
    </row>
    <row r="64" spans="1:22" ht="11.25">
      <c r="A64" s="300"/>
      <c r="B64" s="301"/>
      <c r="C64" s="308"/>
      <c r="D64" s="309"/>
      <c r="E64" s="309"/>
      <c r="F64" s="309"/>
      <c r="G64" s="309"/>
      <c r="H64" s="309"/>
      <c r="I64" s="309"/>
      <c r="J64" s="309"/>
      <c r="K64" s="310"/>
      <c r="L64" s="96" t="s">
        <v>13</v>
      </c>
      <c r="M64" s="6">
        <f>M60-M61-M62</f>
        <v>0</v>
      </c>
      <c r="N64" s="6"/>
      <c r="O64" s="109"/>
      <c r="P64" s="14">
        <f>P60-P61</f>
        <v>0</v>
      </c>
      <c r="Q64" s="43"/>
      <c r="R64" s="118"/>
      <c r="S64" s="43"/>
      <c r="T64" s="1"/>
      <c r="U64" s="19"/>
      <c r="V64" s="19"/>
    </row>
    <row r="65" spans="1:21" ht="33" customHeight="1">
      <c r="A65" s="7" t="s">
        <v>14</v>
      </c>
      <c r="B65" s="7" t="s">
        <v>11</v>
      </c>
      <c r="C65" s="27" t="s">
        <v>24</v>
      </c>
      <c r="D65" s="27" t="s">
        <v>20</v>
      </c>
      <c r="E65" s="32" t="s">
        <v>2</v>
      </c>
      <c r="F65" s="27" t="s">
        <v>19</v>
      </c>
      <c r="G65" s="27" t="s">
        <v>18</v>
      </c>
      <c r="H65" s="32" t="s">
        <v>17</v>
      </c>
      <c r="I65" s="32" t="s">
        <v>16</v>
      </c>
      <c r="J65" s="27" t="s">
        <v>3</v>
      </c>
      <c r="K65" s="27" t="s">
        <v>4</v>
      </c>
      <c r="L65" s="97" t="s">
        <v>5</v>
      </c>
      <c r="M65" s="7" t="s">
        <v>21</v>
      </c>
      <c r="N65" s="7" t="s">
        <v>112</v>
      </c>
      <c r="O65" s="97" t="s">
        <v>113</v>
      </c>
      <c r="P65" s="7" t="s">
        <v>22</v>
      </c>
      <c r="Q65" s="7" t="s">
        <v>213</v>
      </c>
      <c r="R65" s="97" t="s">
        <v>214</v>
      </c>
      <c r="S65" s="240" t="s">
        <v>27</v>
      </c>
      <c r="T65" s="240"/>
      <c r="U65" s="19"/>
    </row>
    <row r="66" spans="1:20" ht="12.75" customHeight="1">
      <c r="A66" s="49"/>
      <c r="B66" s="8"/>
      <c r="C66" s="9"/>
      <c r="D66" s="15"/>
      <c r="E66" s="74"/>
      <c r="F66" s="74"/>
      <c r="G66" s="64"/>
      <c r="H66" s="63"/>
      <c r="I66" s="65"/>
      <c r="J66" s="73"/>
      <c r="K66" s="12"/>
      <c r="L66" s="98"/>
      <c r="M66" s="12"/>
      <c r="N66" s="12"/>
      <c r="O66" s="98"/>
      <c r="P66" s="12"/>
      <c r="Q66" s="66"/>
      <c r="R66" s="111"/>
      <c r="S66" s="331"/>
      <c r="T66" s="332"/>
    </row>
    <row r="67" spans="1:21" ht="11.25">
      <c r="A67" s="50"/>
      <c r="B67" s="8"/>
      <c r="C67" s="9"/>
      <c r="D67" s="9"/>
      <c r="E67" s="9"/>
      <c r="F67" s="9"/>
      <c r="G67" s="10"/>
      <c r="H67" s="11"/>
      <c r="I67" s="11"/>
      <c r="J67" s="12"/>
      <c r="K67" s="12"/>
      <c r="L67" s="98"/>
      <c r="M67" s="12"/>
      <c r="N67" s="12"/>
      <c r="O67" s="98"/>
      <c r="P67" s="12"/>
      <c r="Q67" s="12"/>
      <c r="R67" s="98"/>
      <c r="S67" s="333"/>
      <c r="T67" s="333"/>
      <c r="U67" s="19"/>
    </row>
    <row r="68" ht="11.25">
      <c r="U68" s="19"/>
    </row>
    <row r="69" spans="1:21" ht="11.25">
      <c r="A69" s="337" t="s">
        <v>8</v>
      </c>
      <c r="B69" s="338"/>
      <c r="C69" s="338"/>
      <c r="D69" s="338"/>
      <c r="E69" s="338"/>
      <c r="F69" s="338"/>
      <c r="G69" s="338"/>
      <c r="H69" s="338"/>
      <c r="I69" s="338"/>
      <c r="J69" s="338"/>
      <c r="K69" s="338"/>
      <c r="L69" s="339"/>
      <c r="M69" s="86" t="s">
        <v>216</v>
      </c>
      <c r="N69" s="86" t="s">
        <v>217</v>
      </c>
      <c r="O69" s="106" t="s">
        <v>218</v>
      </c>
      <c r="P69" s="86" t="s">
        <v>219</v>
      </c>
      <c r="Q69" s="86" t="s">
        <v>220</v>
      </c>
      <c r="R69" s="106" t="s">
        <v>221</v>
      </c>
      <c r="S69" s="25" t="s">
        <v>25</v>
      </c>
      <c r="T69" s="26" t="s">
        <v>26</v>
      </c>
      <c r="U69" s="19"/>
    </row>
    <row r="70" spans="1:22" ht="11.25">
      <c r="A70" s="298"/>
      <c r="B70" s="299"/>
      <c r="C70" s="311"/>
      <c r="D70" s="312"/>
      <c r="E70" s="312"/>
      <c r="F70" s="312"/>
      <c r="G70" s="312"/>
      <c r="H70" s="312"/>
      <c r="I70" s="312"/>
      <c r="J70" s="312"/>
      <c r="K70" s="313"/>
      <c r="L70" s="102" t="s">
        <v>12</v>
      </c>
      <c r="M70" s="3">
        <f>52.7*1000</f>
        <v>52700</v>
      </c>
      <c r="N70" s="3"/>
      <c r="O70" s="107"/>
      <c r="P70" s="3">
        <f>M70*0.65</f>
        <v>34255</v>
      </c>
      <c r="Q70" s="80"/>
      <c r="R70" s="112"/>
      <c r="S70" s="40"/>
      <c r="T70" s="40"/>
      <c r="U70" s="19"/>
      <c r="V70" s="19"/>
    </row>
    <row r="71" spans="1:22" ht="11.25">
      <c r="A71" s="298"/>
      <c r="B71" s="299"/>
      <c r="C71" s="305">
        <v>0</v>
      </c>
      <c r="D71" s="306"/>
      <c r="E71" s="306"/>
      <c r="F71" s="306"/>
      <c r="G71" s="306"/>
      <c r="H71" s="306"/>
      <c r="I71" s="306"/>
      <c r="J71" s="306"/>
      <c r="K71" s="307"/>
      <c r="L71" s="95" t="s">
        <v>28</v>
      </c>
      <c r="M71" s="4"/>
      <c r="N71" s="4"/>
      <c r="O71" s="108"/>
      <c r="P71" s="4"/>
      <c r="Q71" s="4"/>
      <c r="R71" s="108"/>
      <c r="S71" s="41">
        <f>R71*0.375</f>
        <v>0</v>
      </c>
      <c r="T71" s="5">
        <f>R71-S71</f>
        <v>0</v>
      </c>
      <c r="U71" s="19"/>
      <c r="V71" s="19"/>
    </row>
    <row r="72" spans="1:22" ht="11.25">
      <c r="A72" s="298"/>
      <c r="B72" s="299"/>
      <c r="C72" s="35"/>
      <c r="D72" s="34"/>
      <c r="E72" s="34"/>
      <c r="F72" s="34"/>
      <c r="G72" s="34"/>
      <c r="H72" s="34"/>
      <c r="I72" s="34"/>
      <c r="J72" s="34"/>
      <c r="K72" s="36"/>
      <c r="L72" s="94" t="s">
        <v>127</v>
      </c>
      <c r="M72" s="4">
        <f aca="true" t="shared" si="27" ref="M72:R72">SUM(M76:M77)</f>
        <v>6400.23</v>
      </c>
      <c r="N72" s="4">
        <f t="shared" si="27"/>
        <v>0</v>
      </c>
      <c r="O72" s="108">
        <f t="shared" si="27"/>
        <v>6400.23</v>
      </c>
      <c r="P72" s="4">
        <f t="shared" si="27"/>
        <v>4160.1494999999995</v>
      </c>
      <c r="Q72" s="4">
        <f t="shared" si="27"/>
        <v>0</v>
      </c>
      <c r="R72" s="108">
        <f t="shared" si="27"/>
        <v>4160.1494999999995</v>
      </c>
      <c r="S72" s="41">
        <f>R72*0.375</f>
        <v>1560.0560624999998</v>
      </c>
      <c r="T72" s="5">
        <f>R72-S72</f>
        <v>2600.0934374999997</v>
      </c>
      <c r="U72" s="19"/>
      <c r="V72" s="19"/>
    </row>
    <row r="73" spans="1:21" s="1" customFormat="1" ht="11.25">
      <c r="A73" s="298"/>
      <c r="B73" s="299"/>
      <c r="C73" s="35"/>
      <c r="D73" s="34"/>
      <c r="E73" s="34"/>
      <c r="F73" s="34"/>
      <c r="G73" s="34"/>
      <c r="H73" s="34"/>
      <c r="I73" s="34"/>
      <c r="J73" s="34"/>
      <c r="K73" s="36"/>
      <c r="L73" s="95" t="s">
        <v>224</v>
      </c>
      <c r="M73" s="4"/>
      <c r="N73" s="4"/>
      <c r="O73" s="108"/>
      <c r="P73" s="4"/>
      <c r="Q73" s="85"/>
      <c r="R73" s="113"/>
      <c r="S73" s="89"/>
      <c r="T73" s="89"/>
      <c r="U73" s="24"/>
    </row>
    <row r="74" spans="1:22" ht="11.25">
      <c r="A74" s="300"/>
      <c r="B74" s="301"/>
      <c r="C74" s="308"/>
      <c r="D74" s="309"/>
      <c r="E74" s="309"/>
      <c r="F74" s="309"/>
      <c r="G74" s="309"/>
      <c r="H74" s="309"/>
      <c r="I74" s="309"/>
      <c r="J74" s="309"/>
      <c r="K74" s="310"/>
      <c r="L74" s="96" t="s">
        <v>13</v>
      </c>
      <c r="M74" s="6">
        <f>M70-M71-M72</f>
        <v>46299.770000000004</v>
      </c>
      <c r="N74" s="6"/>
      <c r="O74" s="109"/>
      <c r="P74" s="6">
        <f>P70-P71</f>
        <v>34255</v>
      </c>
      <c r="Q74" s="81"/>
      <c r="R74" s="114"/>
      <c r="S74" s="1"/>
      <c r="T74" s="1"/>
      <c r="U74" s="19"/>
      <c r="V74" s="19"/>
    </row>
    <row r="75" spans="1:21" ht="32.25" customHeight="1">
      <c r="A75" s="7" t="s">
        <v>14</v>
      </c>
      <c r="B75" s="7" t="s">
        <v>11</v>
      </c>
      <c r="C75" s="27" t="s">
        <v>24</v>
      </c>
      <c r="D75" s="27" t="s">
        <v>20</v>
      </c>
      <c r="E75" s="32" t="s">
        <v>2</v>
      </c>
      <c r="F75" s="27" t="s">
        <v>19</v>
      </c>
      <c r="G75" s="27" t="s">
        <v>18</v>
      </c>
      <c r="H75" s="32" t="s">
        <v>17</v>
      </c>
      <c r="I75" s="32" t="s">
        <v>16</v>
      </c>
      <c r="J75" s="27" t="s">
        <v>3</v>
      </c>
      <c r="K75" s="27" t="s">
        <v>4</v>
      </c>
      <c r="L75" s="97" t="s">
        <v>5</v>
      </c>
      <c r="M75" s="7" t="s">
        <v>21</v>
      </c>
      <c r="N75" s="7" t="s">
        <v>112</v>
      </c>
      <c r="O75" s="97" t="s">
        <v>113</v>
      </c>
      <c r="P75" s="7" t="s">
        <v>22</v>
      </c>
      <c r="Q75" s="7" t="s">
        <v>213</v>
      </c>
      <c r="R75" s="97" t="s">
        <v>214</v>
      </c>
      <c r="S75" s="240" t="s">
        <v>27</v>
      </c>
      <c r="T75" s="240"/>
      <c r="U75" s="19"/>
    </row>
    <row r="76" spans="1:21" s="133" customFormat="1" ht="12.75" customHeight="1">
      <c r="A76" s="208" t="s">
        <v>102</v>
      </c>
      <c r="B76" s="208"/>
      <c r="C76" s="200" t="s">
        <v>65</v>
      </c>
      <c r="D76" s="154" t="s">
        <v>194</v>
      </c>
      <c r="E76" s="150" t="s">
        <v>196</v>
      </c>
      <c r="F76" s="142" t="s">
        <v>197</v>
      </c>
      <c r="G76" s="171">
        <v>38541</v>
      </c>
      <c r="H76" s="171">
        <v>38537</v>
      </c>
      <c r="I76" s="166" t="s">
        <v>91</v>
      </c>
      <c r="J76" s="168">
        <f>789.9+10.33</f>
        <v>800.23</v>
      </c>
      <c r="K76" s="209">
        <f>J76*20/100</f>
        <v>160.046</v>
      </c>
      <c r="L76" s="210">
        <f>J76+K76</f>
        <v>960.2760000000001</v>
      </c>
      <c r="M76" s="211">
        <f>J76</f>
        <v>800.23</v>
      </c>
      <c r="N76" s="208">
        <v>0</v>
      </c>
      <c r="O76" s="212">
        <f>SUM(M76:N76)</f>
        <v>800.23</v>
      </c>
      <c r="P76" s="130">
        <f aca="true" t="shared" si="28" ref="P76:Q78">M76*0.65</f>
        <v>520.1495</v>
      </c>
      <c r="Q76" s="152">
        <f t="shared" si="28"/>
        <v>0</v>
      </c>
      <c r="R76" s="132">
        <f>SUM(P76:Q76)</f>
        <v>520.1495</v>
      </c>
      <c r="S76" s="238"/>
      <c r="T76" s="239"/>
      <c r="U76" s="178"/>
    </row>
    <row r="77" spans="1:21" s="133" customFormat="1" ht="12.75" customHeight="1">
      <c r="A77" s="208" t="s">
        <v>102</v>
      </c>
      <c r="B77" s="208"/>
      <c r="C77" s="200" t="s">
        <v>65</v>
      </c>
      <c r="D77" s="154" t="s">
        <v>195</v>
      </c>
      <c r="E77" s="150" t="s">
        <v>198</v>
      </c>
      <c r="F77" s="142">
        <v>5004165</v>
      </c>
      <c r="G77" s="171">
        <v>38552</v>
      </c>
      <c r="H77" s="171">
        <v>38632</v>
      </c>
      <c r="I77" s="166" t="s">
        <v>91</v>
      </c>
      <c r="J77" s="168">
        <v>5600</v>
      </c>
      <c r="K77" s="209">
        <v>0</v>
      </c>
      <c r="L77" s="169">
        <f>J77+K77</f>
        <v>5600</v>
      </c>
      <c r="M77" s="211">
        <v>5600</v>
      </c>
      <c r="N77" s="208"/>
      <c r="O77" s="213">
        <f>SUM(M77:N77)</f>
        <v>5600</v>
      </c>
      <c r="P77" s="130">
        <f t="shared" si="28"/>
        <v>3640</v>
      </c>
      <c r="Q77" s="152">
        <f t="shared" si="28"/>
        <v>0</v>
      </c>
      <c r="R77" s="132">
        <f>SUM(P77:Q77)</f>
        <v>3640</v>
      </c>
      <c r="S77" s="238"/>
      <c r="T77" s="239"/>
      <c r="U77" s="178"/>
    </row>
    <row r="78" spans="1:20" s="133" customFormat="1" ht="22.5" customHeight="1">
      <c r="A78" s="122" t="s">
        <v>102</v>
      </c>
      <c r="B78" s="123"/>
      <c r="C78" s="176" t="s">
        <v>124</v>
      </c>
      <c r="D78" s="124" t="s">
        <v>125</v>
      </c>
      <c r="E78" s="156" t="s">
        <v>126</v>
      </c>
      <c r="F78" s="156">
        <v>1251</v>
      </c>
      <c r="G78" s="144">
        <v>38495</v>
      </c>
      <c r="H78" s="144">
        <v>38502</v>
      </c>
      <c r="I78" s="145" t="s">
        <v>91</v>
      </c>
      <c r="J78" s="158">
        <v>6528</v>
      </c>
      <c r="K78" s="130">
        <f>+J78*0.2</f>
        <v>1305.6000000000001</v>
      </c>
      <c r="L78" s="128">
        <f>SUM(J78:K78)</f>
        <v>7833.6</v>
      </c>
      <c r="M78" s="130">
        <f>J78</f>
        <v>6528</v>
      </c>
      <c r="N78" s="130"/>
      <c r="O78" s="128">
        <f>SUM(M78:N78)</f>
        <v>6528</v>
      </c>
      <c r="P78" s="130">
        <f t="shared" si="28"/>
        <v>4243.2</v>
      </c>
      <c r="Q78" s="152">
        <f t="shared" si="28"/>
        <v>0</v>
      </c>
      <c r="R78" s="132">
        <f>SUM(P78:Q78)</f>
        <v>4243.2</v>
      </c>
      <c r="S78" s="236" t="s">
        <v>226</v>
      </c>
      <c r="T78" s="237"/>
    </row>
    <row r="79" spans="1:21" ht="11.25">
      <c r="A79" s="7"/>
      <c r="B79" s="7"/>
      <c r="C79" s="27"/>
      <c r="D79" s="27"/>
      <c r="E79" s="32"/>
      <c r="F79" s="27"/>
      <c r="G79" s="27"/>
      <c r="H79" s="32"/>
      <c r="I79" s="32"/>
      <c r="J79" s="27"/>
      <c r="K79" s="27"/>
      <c r="L79" s="97"/>
      <c r="M79" s="7"/>
      <c r="N79" s="7"/>
      <c r="O79" s="97"/>
      <c r="P79" s="7"/>
      <c r="Q79" s="7"/>
      <c r="R79" s="97"/>
      <c r="S79" s="7"/>
      <c r="T79" s="7"/>
      <c r="U79" s="19"/>
    </row>
    <row r="80" ht="11.25">
      <c r="U80" s="19"/>
    </row>
    <row r="81" spans="1:21" ht="11.25">
      <c r="A81" s="337" t="s">
        <v>23</v>
      </c>
      <c r="B81" s="338"/>
      <c r="C81" s="338"/>
      <c r="D81" s="338"/>
      <c r="E81" s="338"/>
      <c r="F81" s="338"/>
      <c r="G81" s="338"/>
      <c r="H81" s="338"/>
      <c r="I81" s="338"/>
      <c r="J81" s="338"/>
      <c r="K81" s="338"/>
      <c r="L81" s="339"/>
      <c r="M81" s="86" t="s">
        <v>216</v>
      </c>
      <c r="N81" s="86" t="s">
        <v>217</v>
      </c>
      <c r="O81" s="106" t="s">
        <v>218</v>
      </c>
      <c r="P81" s="86" t="s">
        <v>219</v>
      </c>
      <c r="Q81" s="86" t="s">
        <v>220</v>
      </c>
      <c r="R81" s="106" t="s">
        <v>221</v>
      </c>
      <c r="S81" s="25" t="s">
        <v>25</v>
      </c>
      <c r="T81" s="26" t="s">
        <v>26</v>
      </c>
      <c r="U81" s="19"/>
    </row>
    <row r="82" spans="1:22" ht="11.25">
      <c r="A82" s="298"/>
      <c r="B82" s="299"/>
      <c r="C82" s="302"/>
      <c r="D82" s="303"/>
      <c r="E82" s="303"/>
      <c r="F82" s="303"/>
      <c r="G82" s="303"/>
      <c r="H82" s="303"/>
      <c r="I82" s="303"/>
      <c r="J82" s="303"/>
      <c r="K82" s="304"/>
      <c r="L82" s="102" t="s">
        <v>12</v>
      </c>
      <c r="M82" s="3">
        <f>26*1000</f>
        <v>26000</v>
      </c>
      <c r="N82" s="3"/>
      <c r="O82" s="107"/>
      <c r="P82" s="42">
        <f>M82*0.65</f>
        <v>16900</v>
      </c>
      <c r="Q82" s="42"/>
      <c r="R82" s="119"/>
      <c r="S82" s="46"/>
      <c r="T82" s="46"/>
      <c r="U82" s="19"/>
      <c r="V82" s="19"/>
    </row>
    <row r="83" spans="1:22" ht="11.25">
      <c r="A83" s="298"/>
      <c r="B83" s="299"/>
      <c r="C83" s="305">
        <v>0</v>
      </c>
      <c r="D83" s="306"/>
      <c r="E83" s="306"/>
      <c r="F83" s="306"/>
      <c r="G83" s="306"/>
      <c r="H83" s="306"/>
      <c r="I83" s="306"/>
      <c r="J83" s="306"/>
      <c r="K83" s="307"/>
      <c r="L83" s="95" t="s">
        <v>28</v>
      </c>
      <c r="M83" s="66">
        <f aca="true" t="shared" si="29" ref="M83:R83">SUM(K83:L83)</f>
        <v>0</v>
      </c>
      <c r="N83" s="66">
        <f t="shared" si="29"/>
        <v>0</v>
      </c>
      <c r="O83" s="111">
        <f t="shared" si="29"/>
        <v>0</v>
      </c>
      <c r="P83" s="66">
        <f t="shared" si="29"/>
        <v>0</v>
      </c>
      <c r="Q83" s="66">
        <f t="shared" si="29"/>
        <v>0</v>
      </c>
      <c r="R83" s="111">
        <f t="shared" si="29"/>
        <v>0</v>
      </c>
      <c r="S83" s="41">
        <f>R83*0.375</f>
        <v>0</v>
      </c>
      <c r="T83" s="5">
        <f>R83-S83</f>
        <v>0</v>
      </c>
      <c r="U83" s="19"/>
      <c r="V83" s="19"/>
    </row>
    <row r="84" spans="1:22" ht="11.25">
      <c r="A84" s="298"/>
      <c r="B84" s="299"/>
      <c r="C84" s="35"/>
      <c r="D84" s="34"/>
      <c r="E84" s="34"/>
      <c r="F84" s="34"/>
      <c r="G84" s="34"/>
      <c r="H84" s="34"/>
      <c r="I84" s="34"/>
      <c r="J84" s="34"/>
      <c r="K84" s="36"/>
      <c r="L84" s="95" t="s">
        <v>127</v>
      </c>
      <c r="M84" s="4">
        <f>SUM(M88)</f>
        <v>3860</v>
      </c>
      <c r="N84" s="4"/>
      <c r="O84" s="108">
        <f>SUM(O88)</f>
        <v>3860</v>
      </c>
      <c r="P84" s="4">
        <f>SUM(P88)</f>
        <v>2509</v>
      </c>
      <c r="Q84" s="82"/>
      <c r="R84" s="117">
        <f>SUM(R88)</f>
        <v>2509</v>
      </c>
      <c r="S84" s="41">
        <f>R84*0.375</f>
        <v>940.875</v>
      </c>
      <c r="T84" s="5">
        <f>R84-S84</f>
        <v>1568.125</v>
      </c>
      <c r="U84" s="19"/>
      <c r="V84" s="19"/>
    </row>
    <row r="85" spans="1:21" s="1" customFormat="1" ht="11.25">
      <c r="A85" s="298"/>
      <c r="B85" s="299"/>
      <c r="C85" s="35"/>
      <c r="D85" s="34"/>
      <c r="E85" s="34"/>
      <c r="F85" s="34"/>
      <c r="G85" s="34"/>
      <c r="H85" s="34"/>
      <c r="I85" s="34"/>
      <c r="J85" s="34"/>
      <c r="K85" s="36"/>
      <c r="L85" s="95" t="s">
        <v>224</v>
      </c>
      <c r="M85" s="4"/>
      <c r="N85" s="4"/>
      <c r="O85" s="108"/>
      <c r="P85" s="4"/>
      <c r="Q85" s="85"/>
      <c r="R85" s="113"/>
      <c r="S85" s="89"/>
      <c r="T85" s="89"/>
      <c r="U85" s="24"/>
    </row>
    <row r="86" spans="1:22" ht="11.25">
      <c r="A86" s="300"/>
      <c r="B86" s="301"/>
      <c r="C86" s="308"/>
      <c r="D86" s="309"/>
      <c r="E86" s="309"/>
      <c r="F86" s="309"/>
      <c r="G86" s="309"/>
      <c r="H86" s="309"/>
      <c r="I86" s="309"/>
      <c r="J86" s="309"/>
      <c r="K86" s="310"/>
      <c r="L86" s="96" t="s">
        <v>13</v>
      </c>
      <c r="M86" s="6">
        <f>M82-M83-M84</f>
        <v>22140</v>
      </c>
      <c r="N86" s="6"/>
      <c r="O86" s="109"/>
      <c r="P86" s="6">
        <f>P82-P83-P84</f>
        <v>14391</v>
      </c>
      <c r="Q86" s="43"/>
      <c r="R86" s="118"/>
      <c r="S86" s="1"/>
      <c r="T86" s="1"/>
      <c r="U86" s="19"/>
      <c r="V86" s="19"/>
    </row>
    <row r="87" spans="1:21" ht="36.75" customHeight="1">
      <c r="A87" s="7" t="s">
        <v>14</v>
      </c>
      <c r="B87" s="7" t="s">
        <v>11</v>
      </c>
      <c r="C87" s="27" t="s">
        <v>24</v>
      </c>
      <c r="D87" s="27" t="s">
        <v>20</v>
      </c>
      <c r="E87" s="32" t="s">
        <v>2</v>
      </c>
      <c r="F87" s="27" t="s">
        <v>19</v>
      </c>
      <c r="G87" s="27" t="s">
        <v>18</v>
      </c>
      <c r="H87" s="32" t="s">
        <v>17</v>
      </c>
      <c r="I87" s="32" t="s">
        <v>16</v>
      </c>
      <c r="J87" s="27" t="s">
        <v>3</v>
      </c>
      <c r="K87" s="27" t="s">
        <v>4</v>
      </c>
      <c r="L87" s="97" t="s">
        <v>5</v>
      </c>
      <c r="M87" s="7" t="s">
        <v>21</v>
      </c>
      <c r="N87" s="7" t="s">
        <v>112</v>
      </c>
      <c r="O87" s="97" t="s">
        <v>113</v>
      </c>
      <c r="P87" s="7" t="s">
        <v>22</v>
      </c>
      <c r="Q87" s="7" t="s">
        <v>213</v>
      </c>
      <c r="R87" s="97" t="s">
        <v>214</v>
      </c>
      <c r="S87" s="240" t="s">
        <v>27</v>
      </c>
      <c r="T87" s="240"/>
      <c r="U87" s="19"/>
    </row>
    <row r="88" spans="1:20" s="133" customFormat="1" ht="12.75" customHeight="1">
      <c r="A88" s="122" t="s">
        <v>102</v>
      </c>
      <c r="B88" s="123"/>
      <c r="C88" s="200" t="s">
        <v>65</v>
      </c>
      <c r="D88" s="201" t="s">
        <v>199</v>
      </c>
      <c r="E88" s="202" t="s">
        <v>200</v>
      </c>
      <c r="F88" s="203">
        <v>53</v>
      </c>
      <c r="G88" s="204" t="s">
        <v>201</v>
      </c>
      <c r="H88" s="205">
        <v>38621</v>
      </c>
      <c r="I88" s="202" t="s">
        <v>91</v>
      </c>
      <c r="J88" s="206">
        <v>3860</v>
      </c>
      <c r="K88" s="206">
        <f>J88*0.2</f>
        <v>772</v>
      </c>
      <c r="L88" s="207">
        <f>SUM(J88:K88)</f>
        <v>4632</v>
      </c>
      <c r="M88" s="206">
        <f>J88</f>
        <v>3860</v>
      </c>
      <c r="N88" s="130">
        <v>0</v>
      </c>
      <c r="O88" s="128">
        <f>SUM(M88:N88)</f>
        <v>3860</v>
      </c>
      <c r="P88" s="130">
        <f>M88*0.65</f>
        <v>2509</v>
      </c>
      <c r="Q88" s="152">
        <f>N88*0.65</f>
        <v>0</v>
      </c>
      <c r="R88" s="132">
        <f>SUM(P88:Q88)</f>
        <v>2509</v>
      </c>
      <c r="S88" s="238"/>
      <c r="T88" s="239"/>
    </row>
    <row r="89" spans="1:21" ht="11.25">
      <c r="A89" s="50"/>
      <c r="B89" s="8"/>
      <c r="C89" s="9"/>
      <c r="D89" s="9"/>
      <c r="E89" s="9"/>
      <c r="F89" s="9"/>
      <c r="G89" s="10"/>
      <c r="H89" s="11"/>
      <c r="I89" s="11"/>
      <c r="J89" s="12"/>
      <c r="K89" s="12"/>
      <c r="L89" s="98"/>
      <c r="M89" s="12"/>
      <c r="N89" s="12"/>
      <c r="O89" s="98"/>
      <c r="P89" s="12">
        <f>M89*0.5</f>
        <v>0</v>
      </c>
      <c r="Q89" s="12"/>
      <c r="R89" s="98"/>
      <c r="S89" s="333"/>
      <c r="T89" s="333"/>
      <c r="U89" s="19"/>
    </row>
    <row r="90" ht="11.25">
      <c r="U90" s="19"/>
    </row>
    <row r="91" spans="1:21" ht="11.25">
      <c r="A91" s="337" t="s">
        <v>9</v>
      </c>
      <c r="B91" s="338"/>
      <c r="C91" s="338"/>
      <c r="D91" s="338"/>
      <c r="E91" s="338"/>
      <c r="F91" s="338"/>
      <c r="G91" s="338"/>
      <c r="H91" s="338"/>
      <c r="I91" s="338"/>
      <c r="J91" s="338"/>
      <c r="K91" s="338"/>
      <c r="L91" s="339"/>
      <c r="M91" s="86" t="s">
        <v>216</v>
      </c>
      <c r="N91" s="86" t="s">
        <v>217</v>
      </c>
      <c r="O91" s="106" t="s">
        <v>218</v>
      </c>
      <c r="P91" s="86" t="s">
        <v>219</v>
      </c>
      <c r="Q91" s="86" t="s">
        <v>220</v>
      </c>
      <c r="R91" s="106" t="s">
        <v>221</v>
      </c>
      <c r="S91" s="25" t="s">
        <v>25</v>
      </c>
      <c r="T91" s="26" t="s">
        <v>26</v>
      </c>
      <c r="U91" s="19"/>
    </row>
    <row r="92" spans="1:22" ht="11.25">
      <c r="A92" s="298"/>
      <c r="B92" s="299"/>
      <c r="C92" s="302"/>
      <c r="D92" s="303"/>
      <c r="E92" s="303"/>
      <c r="F92" s="303"/>
      <c r="G92" s="303"/>
      <c r="H92" s="303"/>
      <c r="I92" s="303"/>
      <c r="J92" s="303"/>
      <c r="K92" s="304"/>
      <c r="L92" s="102" t="s">
        <v>12</v>
      </c>
      <c r="M92" s="3">
        <f>42*1000</f>
        <v>42000</v>
      </c>
      <c r="N92" s="3"/>
      <c r="O92" s="107"/>
      <c r="P92" s="42">
        <f>M92*0.65</f>
        <v>27300</v>
      </c>
      <c r="Q92" s="80"/>
      <c r="R92" s="112"/>
      <c r="S92" s="40"/>
      <c r="T92" s="40"/>
      <c r="U92" s="19"/>
      <c r="V92" s="19"/>
    </row>
    <row r="93" spans="1:22" ht="11.25">
      <c r="A93" s="298"/>
      <c r="B93" s="299"/>
      <c r="C93" s="305">
        <v>0</v>
      </c>
      <c r="D93" s="306"/>
      <c r="E93" s="306"/>
      <c r="F93" s="306"/>
      <c r="G93" s="306"/>
      <c r="H93" s="306"/>
      <c r="I93" s="306"/>
      <c r="J93" s="306"/>
      <c r="K93" s="307"/>
      <c r="L93" s="95" t="s">
        <v>28</v>
      </c>
      <c r="M93" s="4"/>
      <c r="N93" s="4"/>
      <c r="O93" s="108"/>
      <c r="P93" s="4"/>
      <c r="Q93" s="4"/>
      <c r="R93" s="108"/>
      <c r="S93" s="41">
        <f>R93*0.375</f>
        <v>0</v>
      </c>
      <c r="T93" s="5">
        <f>R93-S93</f>
        <v>0</v>
      </c>
      <c r="U93" s="19"/>
      <c r="V93" s="19"/>
    </row>
    <row r="94" spans="1:22" ht="11.25">
      <c r="A94" s="298"/>
      <c r="B94" s="299"/>
      <c r="C94" s="35"/>
      <c r="D94" s="34"/>
      <c r="E94" s="34"/>
      <c r="F94" s="34"/>
      <c r="G94" s="34"/>
      <c r="H94" s="34"/>
      <c r="I94" s="34"/>
      <c r="J94" s="34"/>
      <c r="K94" s="36"/>
      <c r="L94" s="95" t="s">
        <v>127</v>
      </c>
      <c r="M94" s="4">
        <f aca="true" t="shared" si="30" ref="M94:R94">M98</f>
        <v>19984.43</v>
      </c>
      <c r="N94" s="4">
        <f t="shared" si="30"/>
        <v>800</v>
      </c>
      <c r="O94" s="108">
        <f t="shared" si="30"/>
        <v>20784.43</v>
      </c>
      <c r="P94" s="4">
        <f t="shared" si="30"/>
        <v>12989.879500000001</v>
      </c>
      <c r="Q94" s="4">
        <f t="shared" si="30"/>
        <v>520</v>
      </c>
      <c r="R94" s="108">
        <f t="shared" si="30"/>
        <v>13509.879500000001</v>
      </c>
      <c r="S94" s="41">
        <f>R94*0.375</f>
        <v>5066.2048125</v>
      </c>
      <c r="T94" s="5">
        <f>R94-S94</f>
        <v>8443.6746875</v>
      </c>
      <c r="U94" s="19"/>
      <c r="V94" s="19"/>
    </row>
    <row r="95" spans="1:21" s="1" customFormat="1" ht="11.25">
      <c r="A95" s="298"/>
      <c r="B95" s="299"/>
      <c r="C95" s="35"/>
      <c r="D95" s="34"/>
      <c r="E95" s="34"/>
      <c r="F95" s="34"/>
      <c r="G95" s="34"/>
      <c r="H95" s="34"/>
      <c r="I95" s="34"/>
      <c r="J95" s="34"/>
      <c r="K95" s="36"/>
      <c r="L95" s="95" t="s">
        <v>224</v>
      </c>
      <c r="M95" s="4">
        <f aca="true" t="shared" si="31" ref="M95:R95">SUM(M109)</f>
        <v>0</v>
      </c>
      <c r="N95" s="4">
        <f t="shared" si="31"/>
        <v>-800</v>
      </c>
      <c r="O95" s="108">
        <f t="shared" si="31"/>
        <v>-800</v>
      </c>
      <c r="P95" s="4">
        <f t="shared" si="31"/>
        <v>0</v>
      </c>
      <c r="Q95" s="4">
        <f t="shared" si="31"/>
        <v>-520</v>
      </c>
      <c r="R95" s="108">
        <f t="shared" si="31"/>
        <v>-520</v>
      </c>
      <c r="S95" s="41">
        <f>R95*0.375</f>
        <v>-195</v>
      </c>
      <c r="T95" s="5">
        <f>R95-S95</f>
        <v>-325</v>
      </c>
      <c r="U95" s="24"/>
    </row>
    <row r="96" spans="1:22" ht="11.25">
      <c r="A96" s="300"/>
      <c r="B96" s="301"/>
      <c r="C96" s="308"/>
      <c r="D96" s="309"/>
      <c r="E96" s="309"/>
      <c r="F96" s="309"/>
      <c r="G96" s="309"/>
      <c r="H96" s="309"/>
      <c r="I96" s="309"/>
      <c r="J96" s="309"/>
      <c r="K96" s="310"/>
      <c r="L96" s="96" t="s">
        <v>13</v>
      </c>
      <c r="M96" s="6">
        <f>M92-M93-M94</f>
        <v>22015.57</v>
      </c>
      <c r="N96" s="6"/>
      <c r="O96" s="109"/>
      <c r="P96" s="6">
        <f>P92-P93</f>
        <v>27300</v>
      </c>
      <c r="Q96" s="81"/>
      <c r="R96" s="114"/>
      <c r="S96" s="1"/>
      <c r="T96" s="1"/>
      <c r="U96" s="19"/>
      <c r="V96" s="19"/>
    </row>
    <row r="97" spans="1:21" ht="36.75" customHeight="1">
      <c r="A97" s="7" t="s">
        <v>14</v>
      </c>
      <c r="B97" s="7" t="s">
        <v>11</v>
      </c>
      <c r="C97" s="27" t="s">
        <v>24</v>
      </c>
      <c r="D97" s="27" t="s">
        <v>20</v>
      </c>
      <c r="E97" s="32" t="s">
        <v>2</v>
      </c>
      <c r="F97" s="27" t="s">
        <v>19</v>
      </c>
      <c r="G97" s="27" t="s">
        <v>18</v>
      </c>
      <c r="H97" s="32" t="s">
        <v>17</v>
      </c>
      <c r="I97" s="32" t="s">
        <v>16</v>
      </c>
      <c r="J97" s="27" t="s">
        <v>3</v>
      </c>
      <c r="K97" s="27" t="s">
        <v>4</v>
      </c>
      <c r="L97" s="97" t="s">
        <v>5</v>
      </c>
      <c r="M97" s="7" t="s">
        <v>21</v>
      </c>
      <c r="N97" s="7" t="s">
        <v>112</v>
      </c>
      <c r="O97" s="97" t="s">
        <v>113</v>
      </c>
      <c r="P97" s="7" t="s">
        <v>22</v>
      </c>
      <c r="Q97" s="7" t="s">
        <v>213</v>
      </c>
      <c r="R97" s="97" t="s">
        <v>214</v>
      </c>
      <c r="S97" s="240" t="s">
        <v>27</v>
      </c>
      <c r="T97" s="240"/>
      <c r="U97" s="19"/>
    </row>
    <row r="98" spans="1:21" s="222" customFormat="1" ht="12.75" customHeight="1">
      <c r="A98" s="267" t="s">
        <v>102</v>
      </c>
      <c r="B98" s="267"/>
      <c r="C98" s="268" t="s">
        <v>251</v>
      </c>
      <c r="D98" s="268"/>
      <c r="E98" s="268"/>
      <c r="F98" s="268"/>
      <c r="G98" s="268"/>
      <c r="H98" s="268"/>
      <c r="I98" s="268"/>
      <c r="J98" s="268"/>
      <c r="K98" s="268"/>
      <c r="L98" s="267"/>
      <c r="M98" s="267">
        <v>19984.43</v>
      </c>
      <c r="N98" s="267">
        <v>800</v>
      </c>
      <c r="O98" s="280">
        <v>20784.43</v>
      </c>
      <c r="P98" s="267">
        <v>12989.879500000001</v>
      </c>
      <c r="Q98" s="269">
        <v>520</v>
      </c>
      <c r="R98" s="281">
        <v>13509.879500000001</v>
      </c>
      <c r="S98" s="269" t="s">
        <v>249</v>
      </c>
      <c r="T98" s="270"/>
      <c r="U98" s="271"/>
    </row>
    <row r="99" spans="1:21" s="133" customFormat="1" ht="11.25" customHeight="1">
      <c r="A99" s="122" t="s">
        <v>102</v>
      </c>
      <c r="B99" s="123"/>
      <c r="C99" s="176" t="s">
        <v>117</v>
      </c>
      <c r="D99" s="195" t="s">
        <v>128</v>
      </c>
      <c r="E99" s="141" t="s">
        <v>126</v>
      </c>
      <c r="F99" s="156">
        <v>1250</v>
      </c>
      <c r="G99" s="144">
        <v>38495</v>
      </c>
      <c r="H99" s="144">
        <v>38502</v>
      </c>
      <c r="I99" s="145" t="s">
        <v>120</v>
      </c>
      <c r="J99" s="158">
        <v>4120</v>
      </c>
      <c r="K99" s="196">
        <f aca="true" t="shared" si="32" ref="K99:K108">J99*0.2</f>
        <v>824</v>
      </c>
      <c r="L99" s="197">
        <f>J99+K99</f>
        <v>4944</v>
      </c>
      <c r="M99" s="130">
        <f>J99</f>
        <v>4120</v>
      </c>
      <c r="N99" s="130"/>
      <c r="O99" s="128">
        <f>SUM(M99:N99)</f>
        <v>4120</v>
      </c>
      <c r="P99" s="130">
        <f>M99*0.65</f>
        <v>2678</v>
      </c>
      <c r="Q99" s="152">
        <f>N99*0.65</f>
        <v>0</v>
      </c>
      <c r="R99" s="132">
        <f>SUM(P99:Q99)</f>
        <v>2678</v>
      </c>
      <c r="S99" s="236"/>
      <c r="T99" s="237"/>
      <c r="U99" s="178"/>
    </row>
    <row r="100" spans="1:21" s="133" customFormat="1" ht="11.25" customHeight="1">
      <c r="A100" s="122" t="s">
        <v>102</v>
      </c>
      <c r="B100" s="123"/>
      <c r="C100" s="176" t="s">
        <v>61</v>
      </c>
      <c r="D100" s="154" t="s">
        <v>145</v>
      </c>
      <c r="E100" s="156" t="s">
        <v>147</v>
      </c>
      <c r="F100" s="142" t="s">
        <v>148</v>
      </c>
      <c r="G100" s="144">
        <v>38496</v>
      </c>
      <c r="H100" s="157">
        <v>38618</v>
      </c>
      <c r="I100" s="144" t="s">
        <v>136</v>
      </c>
      <c r="J100" s="158">
        <v>700</v>
      </c>
      <c r="K100" s="196">
        <f t="shared" si="32"/>
        <v>140</v>
      </c>
      <c r="L100" s="197">
        <f aca="true" t="shared" si="33" ref="L100:L108">SUM(J100:K100)</f>
        <v>840</v>
      </c>
      <c r="M100" s="130">
        <f aca="true" t="shared" si="34" ref="M100:M108">J100</f>
        <v>700</v>
      </c>
      <c r="N100" s="196"/>
      <c r="O100" s="128">
        <f aca="true" t="shared" si="35" ref="O100:O108">SUM(M100:N100)</f>
        <v>700</v>
      </c>
      <c r="P100" s="130">
        <f aca="true" t="shared" si="36" ref="P100:P108">M100*0.65</f>
        <v>455</v>
      </c>
      <c r="Q100" s="152">
        <f aca="true" t="shared" si="37" ref="Q100:Q108">N100*0.65</f>
        <v>0</v>
      </c>
      <c r="R100" s="132">
        <f aca="true" t="shared" si="38" ref="R100:R108">SUM(P100:Q100)</f>
        <v>455</v>
      </c>
      <c r="S100" s="236" t="s">
        <v>232</v>
      </c>
      <c r="T100" s="237"/>
      <c r="U100" s="178"/>
    </row>
    <row r="101" spans="1:21" s="133" customFormat="1" ht="11.25" customHeight="1">
      <c r="A101" s="122" t="s">
        <v>102</v>
      </c>
      <c r="B101" s="123"/>
      <c r="C101" s="176" t="s">
        <v>61</v>
      </c>
      <c r="D101" s="198" t="s">
        <v>146</v>
      </c>
      <c r="E101" s="156" t="s">
        <v>149</v>
      </c>
      <c r="F101" s="156">
        <v>40</v>
      </c>
      <c r="G101" s="144">
        <v>38563</v>
      </c>
      <c r="H101" s="144">
        <v>38567</v>
      </c>
      <c r="I101" s="144" t="s">
        <v>136</v>
      </c>
      <c r="J101" s="158">
        <v>300</v>
      </c>
      <c r="K101" s="196">
        <f t="shared" si="32"/>
        <v>60</v>
      </c>
      <c r="L101" s="197">
        <f t="shared" si="33"/>
        <v>360</v>
      </c>
      <c r="M101" s="130">
        <f t="shared" si="34"/>
        <v>300</v>
      </c>
      <c r="N101" s="196"/>
      <c r="O101" s="128">
        <f t="shared" si="35"/>
        <v>300</v>
      </c>
      <c r="P101" s="130">
        <f t="shared" si="36"/>
        <v>195</v>
      </c>
      <c r="Q101" s="152">
        <f t="shared" si="37"/>
        <v>0</v>
      </c>
      <c r="R101" s="132">
        <f t="shared" si="38"/>
        <v>195</v>
      </c>
      <c r="S101" s="236" t="s">
        <v>232</v>
      </c>
      <c r="T101" s="237"/>
      <c r="U101" s="178"/>
    </row>
    <row r="102" spans="1:21" s="133" customFormat="1" ht="11.25" customHeight="1">
      <c r="A102" s="122" t="s">
        <v>102</v>
      </c>
      <c r="B102" s="123"/>
      <c r="C102" s="176" t="s">
        <v>61</v>
      </c>
      <c r="D102" s="198" t="s">
        <v>128</v>
      </c>
      <c r="E102" s="156" t="s">
        <v>150</v>
      </c>
      <c r="F102" s="156">
        <v>190350</v>
      </c>
      <c r="G102" s="144">
        <v>38571</v>
      </c>
      <c r="H102" s="144">
        <v>38566</v>
      </c>
      <c r="I102" s="145" t="s">
        <v>91</v>
      </c>
      <c r="J102" s="158">
        <v>3000</v>
      </c>
      <c r="K102" s="196">
        <f t="shared" si="32"/>
        <v>600</v>
      </c>
      <c r="L102" s="197">
        <f t="shared" si="33"/>
        <v>3600</v>
      </c>
      <c r="M102" s="130">
        <f t="shared" si="34"/>
        <v>3000</v>
      </c>
      <c r="N102" s="196"/>
      <c r="O102" s="128">
        <f t="shared" si="35"/>
        <v>3000</v>
      </c>
      <c r="P102" s="130">
        <f t="shared" si="36"/>
        <v>1950</v>
      </c>
      <c r="Q102" s="152">
        <f t="shared" si="37"/>
        <v>0</v>
      </c>
      <c r="R102" s="132">
        <f t="shared" si="38"/>
        <v>1950</v>
      </c>
      <c r="S102" s="238"/>
      <c r="T102" s="239"/>
      <c r="U102" s="178"/>
    </row>
    <row r="103" spans="1:21" s="133" customFormat="1" ht="11.25" customHeight="1">
      <c r="A103" s="122" t="s">
        <v>102</v>
      </c>
      <c r="B103" s="123"/>
      <c r="C103" s="124" t="s">
        <v>50</v>
      </c>
      <c r="D103" s="154" t="s">
        <v>181</v>
      </c>
      <c r="E103" s="156" t="s">
        <v>185</v>
      </c>
      <c r="F103" s="142">
        <v>29</v>
      </c>
      <c r="G103" s="144">
        <v>38496</v>
      </c>
      <c r="H103" s="199" t="s">
        <v>186</v>
      </c>
      <c r="I103" s="145" t="s">
        <v>91</v>
      </c>
      <c r="J103" s="158">
        <v>7425</v>
      </c>
      <c r="K103" s="196">
        <f t="shared" si="32"/>
        <v>1485</v>
      </c>
      <c r="L103" s="197">
        <f t="shared" si="33"/>
        <v>8910</v>
      </c>
      <c r="M103" s="130">
        <f t="shared" si="34"/>
        <v>7425</v>
      </c>
      <c r="N103" s="196"/>
      <c r="O103" s="128">
        <f t="shared" si="35"/>
        <v>7425</v>
      </c>
      <c r="P103" s="130">
        <f t="shared" si="36"/>
        <v>4826.25</v>
      </c>
      <c r="Q103" s="152">
        <f t="shared" si="37"/>
        <v>0</v>
      </c>
      <c r="R103" s="132">
        <f t="shared" si="38"/>
        <v>4826.25</v>
      </c>
      <c r="S103" s="238"/>
      <c r="T103" s="239"/>
      <c r="U103" s="178"/>
    </row>
    <row r="104" spans="1:21" s="133" customFormat="1" ht="11.25" customHeight="1">
      <c r="A104" s="122" t="s">
        <v>102</v>
      </c>
      <c r="B104" s="123"/>
      <c r="C104" s="124" t="s">
        <v>50</v>
      </c>
      <c r="D104" s="154" t="s">
        <v>182</v>
      </c>
      <c r="E104" s="156" t="s">
        <v>185</v>
      </c>
      <c r="F104" s="142">
        <v>44</v>
      </c>
      <c r="G104" s="144">
        <v>38551</v>
      </c>
      <c r="H104" s="199" t="s">
        <v>187</v>
      </c>
      <c r="I104" s="145" t="s">
        <v>91</v>
      </c>
      <c r="J104" s="158">
        <v>0</v>
      </c>
      <c r="K104" s="196">
        <f t="shared" si="32"/>
        <v>0</v>
      </c>
      <c r="L104" s="197">
        <f t="shared" si="33"/>
        <v>0</v>
      </c>
      <c r="M104" s="130">
        <f t="shared" si="34"/>
        <v>0</v>
      </c>
      <c r="N104" s="196"/>
      <c r="O104" s="128">
        <f t="shared" si="35"/>
        <v>0</v>
      </c>
      <c r="P104" s="130">
        <f t="shared" si="36"/>
        <v>0</v>
      </c>
      <c r="Q104" s="152">
        <f t="shared" si="37"/>
        <v>0</v>
      </c>
      <c r="R104" s="132">
        <f t="shared" si="38"/>
        <v>0</v>
      </c>
      <c r="S104" s="238"/>
      <c r="T104" s="239"/>
      <c r="U104" s="178"/>
    </row>
    <row r="105" spans="1:21" s="133" customFormat="1" ht="11.25" customHeight="1">
      <c r="A105" s="122" t="s">
        <v>102</v>
      </c>
      <c r="B105" s="123"/>
      <c r="C105" s="124" t="s">
        <v>50</v>
      </c>
      <c r="D105" s="154" t="s">
        <v>183</v>
      </c>
      <c r="E105" s="156" t="s">
        <v>188</v>
      </c>
      <c r="F105" s="142">
        <v>8400198447</v>
      </c>
      <c r="G105" s="144">
        <v>38618</v>
      </c>
      <c r="H105" s="144">
        <v>38615</v>
      </c>
      <c r="I105" s="145" t="s">
        <v>91</v>
      </c>
      <c r="J105" s="158">
        <f>1219+80</f>
        <v>1299</v>
      </c>
      <c r="K105" s="196">
        <f t="shared" si="32"/>
        <v>259.8</v>
      </c>
      <c r="L105" s="197">
        <f t="shared" si="33"/>
        <v>1558.8</v>
      </c>
      <c r="M105" s="130">
        <f t="shared" si="34"/>
        <v>1299</v>
      </c>
      <c r="N105" s="196"/>
      <c r="O105" s="128">
        <f t="shared" si="35"/>
        <v>1299</v>
      </c>
      <c r="P105" s="130">
        <f t="shared" si="36"/>
        <v>844.35</v>
      </c>
      <c r="Q105" s="152">
        <f t="shared" si="37"/>
        <v>0</v>
      </c>
      <c r="R105" s="132">
        <f t="shared" si="38"/>
        <v>844.35</v>
      </c>
      <c r="S105" s="238"/>
      <c r="T105" s="239"/>
      <c r="U105" s="178"/>
    </row>
    <row r="106" spans="1:21" s="133" customFormat="1" ht="11.25" customHeight="1">
      <c r="A106" s="122" t="s">
        <v>102</v>
      </c>
      <c r="B106" s="123"/>
      <c r="C106" s="124" t="s">
        <v>50</v>
      </c>
      <c r="D106" s="154" t="s">
        <v>183</v>
      </c>
      <c r="E106" s="156" t="s">
        <v>188</v>
      </c>
      <c r="F106" s="142">
        <v>8400198448</v>
      </c>
      <c r="G106" s="144">
        <v>38618</v>
      </c>
      <c r="H106" s="144">
        <v>38615</v>
      </c>
      <c r="I106" s="145" t="s">
        <v>91</v>
      </c>
      <c r="J106" s="158">
        <f>2841.54+80</f>
        <v>2921.54</v>
      </c>
      <c r="K106" s="196">
        <f t="shared" si="32"/>
        <v>584.308</v>
      </c>
      <c r="L106" s="197">
        <f t="shared" si="33"/>
        <v>3505.848</v>
      </c>
      <c r="M106" s="130">
        <f t="shared" si="34"/>
        <v>2921.54</v>
      </c>
      <c r="N106" s="196"/>
      <c r="O106" s="128">
        <f t="shared" si="35"/>
        <v>2921.54</v>
      </c>
      <c r="P106" s="130">
        <f t="shared" si="36"/>
        <v>1899.001</v>
      </c>
      <c r="Q106" s="152">
        <f t="shared" si="37"/>
        <v>0</v>
      </c>
      <c r="R106" s="132">
        <f t="shared" si="38"/>
        <v>1899.001</v>
      </c>
      <c r="S106" s="238"/>
      <c r="T106" s="239"/>
      <c r="U106" s="178"/>
    </row>
    <row r="107" spans="1:21" s="133" customFormat="1" ht="11.25" customHeight="1">
      <c r="A107" s="122" t="s">
        <v>102</v>
      </c>
      <c r="B107" s="123"/>
      <c r="C107" s="124" t="s">
        <v>50</v>
      </c>
      <c r="D107" s="154" t="s">
        <v>184</v>
      </c>
      <c r="E107" s="141" t="s">
        <v>189</v>
      </c>
      <c r="F107" s="193" t="s">
        <v>190</v>
      </c>
      <c r="G107" s="144">
        <v>38616</v>
      </c>
      <c r="H107" s="144">
        <v>38616</v>
      </c>
      <c r="I107" s="145" t="s">
        <v>191</v>
      </c>
      <c r="J107" s="158">
        <v>82.5</v>
      </c>
      <c r="K107" s="196">
        <f t="shared" si="32"/>
        <v>16.5</v>
      </c>
      <c r="L107" s="197">
        <f t="shared" si="33"/>
        <v>99</v>
      </c>
      <c r="M107" s="130">
        <f t="shared" si="34"/>
        <v>82.5</v>
      </c>
      <c r="N107" s="196"/>
      <c r="O107" s="128">
        <f t="shared" si="35"/>
        <v>82.5</v>
      </c>
      <c r="P107" s="130">
        <f t="shared" si="36"/>
        <v>53.625</v>
      </c>
      <c r="Q107" s="152">
        <f t="shared" si="37"/>
        <v>0</v>
      </c>
      <c r="R107" s="132">
        <f t="shared" si="38"/>
        <v>53.625</v>
      </c>
      <c r="S107" s="238"/>
      <c r="T107" s="239"/>
      <c r="U107" s="178"/>
    </row>
    <row r="108" spans="1:21" s="133" customFormat="1" ht="11.25" customHeight="1">
      <c r="A108" s="122" t="s">
        <v>102</v>
      </c>
      <c r="B108" s="123"/>
      <c r="C108" s="124" t="s">
        <v>50</v>
      </c>
      <c r="D108" s="154" t="s">
        <v>243</v>
      </c>
      <c r="E108" s="156" t="s">
        <v>192</v>
      </c>
      <c r="F108" s="142" t="s">
        <v>193</v>
      </c>
      <c r="G108" s="144">
        <v>38611</v>
      </c>
      <c r="H108" s="144">
        <v>38611</v>
      </c>
      <c r="I108" s="145" t="s">
        <v>191</v>
      </c>
      <c r="J108" s="158">
        <f>20.6*2+9.09+86.1</f>
        <v>136.39</v>
      </c>
      <c r="K108" s="196">
        <f t="shared" si="32"/>
        <v>27.278</v>
      </c>
      <c r="L108" s="197">
        <f t="shared" si="33"/>
        <v>163.66799999999998</v>
      </c>
      <c r="M108" s="130">
        <f t="shared" si="34"/>
        <v>136.39</v>
      </c>
      <c r="N108" s="196"/>
      <c r="O108" s="128">
        <f t="shared" si="35"/>
        <v>136.39</v>
      </c>
      <c r="P108" s="130">
        <f t="shared" si="36"/>
        <v>88.6535</v>
      </c>
      <c r="Q108" s="152">
        <f t="shared" si="37"/>
        <v>0</v>
      </c>
      <c r="R108" s="132">
        <f t="shared" si="38"/>
        <v>88.6535</v>
      </c>
      <c r="S108" s="238"/>
      <c r="T108" s="239"/>
      <c r="U108" s="178"/>
    </row>
    <row r="109" spans="1:21" s="265" customFormat="1" ht="11.25" customHeight="1">
      <c r="A109" s="253" t="s">
        <v>233</v>
      </c>
      <c r="B109" s="253"/>
      <c r="C109" s="266" t="s">
        <v>254</v>
      </c>
      <c r="D109" s="258"/>
      <c r="E109" s="272"/>
      <c r="F109" s="273"/>
      <c r="G109" s="274"/>
      <c r="H109" s="274"/>
      <c r="I109" s="275"/>
      <c r="J109" s="276"/>
      <c r="K109" s="277"/>
      <c r="L109" s="277"/>
      <c r="M109" s="264">
        <f aca="true" t="shared" si="39" ref="M109:R109">SUM(M99:M108)-M98</f>
        <v>0</v>
      </c>
      <c r="N109" s="264">
        <f t="shared" si="39"/>
        <v>-800</v>
      </c>
      <c r="O109" s="128">
        <f t="shared" si="39"/>
        <v>-800</v>
      </c>
      <c r="P109" s="264">
        <f t="shared" si="39"/>
        <v>0</v>
      </c>
      <c r="Q109" s="264">
        <f t="shared" si="39"/>
        <v>-520</v>
      </c>
      <c r="R109" s="128">
        <f t="shared" si="39"/>
        <v>-520</v>
      </c>
      <c r="S109" s="256" t="s">
        <v>250</v>
      </c>
      <c r="T109" s="257"/>
      <c r="U109" s="278"/>
    </row>
    <row r="110" spans="1:21" ht="11.25">
      <c r="A110" s="50"/>
      <c r="B110" s="8"/>
      <c r="C110" s="9"/>
      <c r="D110" s="9"/>
      <c r="E110" s="9"/>
      <c r="F110" s="9"/>
      <c r="G110" s="10"/>
      <c r="H110" s="11"/>
      <c r="I110" s="11"/>
      <c r="J110" s="12"/>
      <c r="K110" s="12"/>
      <c r="L110" s="98"/>
      <c r="M110" s="12"/>
      <c r="N110" s="12"/>
      <c r="O110" s="98"/>
      <c r="P110" s="12">
        <f>M110*0.5</f>
        <v>0</v>
      </c>
      <c r="Q110" s="12"/>
      <c r="R110" s="98"/>
      <c r="S110" s="333"/>
      <c r="T110" s="333"/>
      <c r="U110" s="19"/>
    </row>
    <row r="111" ht="11.25">
      <c r="U111" s="19"/>
    </row>
    <row r="112" spans="1:21" ht="11.25">
      <c r="A112" s="337" t="s">
        <v>10</v>
      </c>
      <c r="B112" s="338"/>
      <c r="C112" s="338"/>
      <c r="D112" s="338"/>
      <c r="E112" s="338"/>
      <c r="F112" s="338"/>
      <c r="G112" s="338"/>
      <c r="H112" s="338"/>
      <c r="I112" s="338"/>
      <c r="J112" s="338"/>
      <c r="K112" s="338"/>
      <c r="L112" s="339"/>
      <c r="M112" s="86" t="s">
        <v>216</v>
      </c>
      <c r="N112" s="86" t="s">
        <v>217</v>
      </c>
      <c r="O112" s="106" t="s">
        <v>218</v>
      </c>
      <c r="P112" s="86" t="s">
        <v>219</v>
      </c>
      <c r="Q112" s="86" t="s">
        <v>220</v>
      </c>
      <c r="R112" s="106" t="s">
        <v>221</v>
      </c>
      <c r="S112" s="25" t="s">
        <v>25</v>
      </c>
      <c r="T112" s="26" t="s">
        <v>26</v>
      </c>
      <c r="U112" s="19"/>
    </row>
    <row r="113" spans="1:22" ht="11.25">
      <c r="A113" s="298"/>
      <c r="B113" s="299"/>
      <c r="C113" s="302"/>
      <c r="D113" s="303"/>
      <c r="E113" s="303"/>
      <c r="F113" s="303"/>
      <c r="G113" s="303"/>
      <c r="H113" s="303"/>
      <c r="I113" s="303"/>
      <c r="J113" s="303"/>
      <c r="K113" s="304"/>
      <c r="L113" s="102" t="s">
        <v>12</v>
      </c>
      <c r="M113" s="3">
        <f>33.6*1000</f>
        <v>33600</v>
      </c>
      <c r="N113" s="3"/>
      <c r="O113" s="107"/>
      <c r="P113" s="3">
        <f>M113*0.65</f>
        <v>21840</v>
      </c>
      <c r="Q113" s="80"/>
      <c r="R113" s="112"/>
      <c r="S113" s="40"/>
      <c r="T113" s="40"/>
      <c r="U113" s="19"/>
      <c r="V113" s="19"/>
    </row>
    <row r="114" spans="1:22" ht="11.25">
      <c r="A114" s="298"/>
      <c r="B114" s="299"/>
      <c r="C114" s="305"/>
      <c r="D114" s="306"/>
      <c r="E114" s="306"/>
      <c r="F114" s="306"/>
      <c r="G114" s="306"/>
      <c r="H114" s="306"/>
      <c r="I114" s="306"/>
      <c r="J114" s="306"/>
      <c r="K114" s="307"/>
      <c r="L114" s="95" t="s">
        <v>28</v>
      </c>
      <c r="M114" s="4">
        <f aca="true" t="shared" si="40" ref="M114:R114">SUM(M119:M138)</f>
        <v>5210.85</v>
      </c>
      <c r="N114" s="4">
        <f t="shared" si="40"/>
        <v>68.576</v>
      </c>
      <c r="O114" s="108">
        <f t="shared" si="40"/>
        <v>5279.4259999999995</v>
      </c>
      <c r="P114" s="4">
        <f t="shared" si="40"/>
        <v>3387.0525000000007</v>
      </c>
      <c r="Q114" s="4">
        <f t="shared" si="40"/>
        <v>44.5744</v>
      </c>
      <c r="R114" s="108">
        <f t="shared" si="40"/>
        <v>3431.6269000000007</v>
      </c>
      <c r="S114" s="41">
        <f>R114*0.375</f>
        <v>1286.8600875000002</v>
      </c>
      <c r="T114" s="5">
        <f>R114-S114</f>
        <v>2144.7668125000005</v>
      </c>
      <c r="U114" s="19"/>
      <c r="V114" s="19"/>
    </row>
    <row r="115" spans="1:22" ht="11.25">
      <c r="A115" s="298"/>
      <c r="B115" s="299"/>
      <c r="C115" s="35"/>
      <c r="D115" s="34"/>
      <c r="E115" s="34"/>
      <c r="F115" s="34"/>
      <c r="G115" s="34"/>
      <c r="H115" s="34"/>
      <c r="I115" s="34"/>
      <c r="J115" s="34"/>
      <c r="K115" s="36"/>
      <c r="L115" s="95" t="s">
        <v>127</v>
      </c>
      <c r="M115" s="4">
        <f aca="true" t="shared" si="41" ref="M115:R115">M139</f>
        <v>15148.082000000002</v>
      </c>
      <c r="N115" s="4">
        <f t="shared" si="41"/>
        <v>742.2936</v>
      </c>
      <c r="O115" s="108">
        <f t="shared" si="41"/>
        <v>15890.375600000001</v>
      </c>
      <c r="P115" s="4">
        <f t="shared" si="41"/>
        <v>9846.2533</v>
      </c>
      <c r="Q115" s="4">
        <f t="shared" si="41"/>
        <v>482.49084000000005</v>
      </c>
      <c r="R115" s="108">
        <f t="shared" si="41"/>
        <v>10328.74414</v>
      </c>
      <c r="S115" s="41">
        <f>R115*0.375</f>
        <v>3873.2790525</v>
      </c>
      <c r="T115" s="5">
        <f>R115-S115</f>
        <v>6455.465087500001</v>
      </c>
      <c r="U115" s="19"/>
      <c r="V115" s="19"/>
    </row>
    <row r="116" spans="1:21" s="1" customFormat="1" ht="11.25">
      <c r="A116" s="298"/>
      <c r="B116" s="299"/>
      <c r="C116" s="35"/>
      <c r="D116" s="34"/>
      <c r="E116" s="34"/>
      <c r="F116" s="34"/>
      <c r="G116" s="34"/>
      <c r="H116" s="34"/>
      <c r="I116" s="34"/>
      <c r="J116" s="34"/>
      <c r="K116" s="36"/>
      <c r="L116" s="95" t="s">
        <v>224</v>
      </c>
      <c r="M116" s="4">
        <f aca="true" t="shared" si="42" ref="M116:R116">SUM(M153)</f>
        <v>-2683.7440000000006</v>
      </c>
      <c r="N116" s="4">
        <f t="shared" si="42"/>
        <v>-742.2936</v>
      </c>
      <c r="O116" s="108">
        <f t="shared" si="42"/>
        <v>-3426.0375999999997</v>
      </c>
      <c r="P116" s="4">
        <f t="shared" si="42"/>
        <v>-1744.4336000000003</v>
      </c>
      <c r="Q116" s="4">
        <f t="shared" si="42"/>
        <v>-482.49084000000005</v>
      </c>
      <c r="R116" s="108">
        <f t="shared" si="42"/>
        <v>-2226.9244400000007</v>
      </c>
      <c r="S116" s="41">
        <f>R116*0.375</f>
        <v>-835.0966650000003</v>
      </c>
      <c r="T116" s="5">
        <f>R116-S116</f>
        <v>-1391.8277750000004</v>
      </c>
      <c r="U116" s="24"/>
    </row>
    <row r="117" spans="1:22" ht="11.25">
      <c r="A117" s="300"/>
      <c r="B117" s="301"/>
      <c r="C117" s="308"/>
      <c r="D117" s="309"/>
      <c r="E117" s="309"/>
      <c r="F117" s="309"/>
      <c r="G117" s="309"/>
      <c r="H117" s="309"/>
      <c r="I117" s="309"/>
      <c r="J117" s="309"/>
      <c r="K117" s="310"/>
      <c r="L117" s="96" t="s">
        <v>13</v>
      </c>
      <c r="M117" s="6">
        <f>M113-M114-M115</f>
        <v>13241.068</v>
      </c>
      <c r="N117" s="6"/>
      <c r="O117" s="109"/>
      <c r="P117" s="6">
        <f>P113-P114</f>
        <v>18452.9475</v>
      </c>
      <c r="Q117" s="81"/>
      <c r="R117" s="114"/>
      <c r="S117" s="1"/>
      <c r="T117" s="1"/>
      <c r="U117" s="19"/>
      <c r="V117" s="19"/>
    </row>
    <row r="118" spans="1:21" ht="22.5">
      <c r="A118" s="17" t="s">
        <v>14</v>
      </c>
      <c r="B118" s="17" t="s">
        <v>11</v>
      </c>
      <c r="C118" s="47" t="s">
        <v>24</v>
      </c>
      <c r="D118" s="47" t="s">
        <v>20</v>
      </c>
      <c r="E118" s="48" t="s">
        <v>2</v>
      </c>
      <c r="F118" s="47" t="s">
        <v>19</v>
      </c>
      <c r="G118" s="47" t="s">
        <v>18</v>
      </c>
      <c r="H118" s="48" t="s">
        <v>17</v>
      </c>
      <c r="I118" s="48" t="s">
        <v>16</v>
      </c>
      <c r="J118" s="47" t="s">
        <v>3</v>
      </c>
      <c r="K118" s="47" t="s">
        <v>4</v>
      </c>
      <c r="L118" s="104" t="s">
        <v>5</v>
      </c>
      <c r="M118" s="17" t="s">
        <v>21</v>
      </c>
      <c r="N118" s="7" t="s">
        <v>112</v>
      </c>
      <c r="O118" s="97" t="s">
        <v>113</v>
      </c>
      <c r="P118" s="7" t="s">
        <v>22</v>
      </c>
      <c r="Q118" s="7" t="s">
        <v>213</v>
      </c>
      <c r="R118" s="97" t="s">
        <v>214</v>
      </c>
      <c r="S118" s="240" t="s">
        <v>27</v>
      </c>
      <c r="T118" s="240"/>
      <c r="U118" s="19"/>
    </row>
    <row r="119" spans="1:20" s="133" customFormat="1" ht="12" customHeight="1">
      <c r="A119" s="122" t="s">
        <v>15</v>
      </c>
      <c r="B119" s="123"/>
      <c r="C119" s="124" t="s">
        <v>36</v>
      </c>
      <c r="D119" s="124" t="s">
        <v>32</v>
      </c>
      <c r="E119" s="124" t="s">
        <v>39</v>
      </c>
      <c r="F119" s="125">
        <v>2015200625592</v>
      </c>
      <c r="G119" s="126">
        <v>38376</v>
      </c>
      <c r="H119" s="126">
        <v>38414</v>
      </c>
      <c r="I119" s="126" t="s">
        <v>53</v>
      </c>
      <c r="J119" s="127">
        <v>1408.88</v>
      </c>
      <c r="K119" s="127">
        <v>0</v>
      </c>
      <c r="L119" s="128">
        <f aca="true" t="shared" si="43" ref="L119:L124">SUM(J119:K119)</f>
        <v>1408.88</v>
      </c>
      <c r="M119" s="127">
        <f>J119</f>
        <v>1408.88</v>
      </c>
      <c r="N119" s="127"/>
      <c r="O119" s="129">
        <f>SUM(M119:N119)</f>
        <v>1408.88</v>
      </c>
      <c r="P119" s="130">
        <f aca="true" t="shared" si="44" ref="P119:P144">M119*0.65</f>
        <v>915.772</v>
      </c>
      <c r="Q119" s="131"/>
      <c r="R119" s="132">
        <f aca="true" t="shared" si="45" ref="R119:R145">SUM(P119:Q119)</f>
        <v>915.772</v>
      </c>
      <c r="S119" s="334"/>
      <c r="T119" s="334"/>
    </row>
    <row r="120" spans="1:21" s="133" customFormat="1" ht="12" customHeight="1">
      <c r="A120" s="122" t="s">
        <v>15</v>
      </c>
      <c r="B120" s="123"/>
      <c r="C120" s="124" t="s">
        <v>65</v>
      </c>
      <c r="D120" s="124" t="s">
        <v>54</v>
      </c>
      <c r="E120" s="124"/>
      <c r="F120" s="134"/>
      <c r="G120" s="135">
        <v>38493</v>
      </c>
      <c r="H120" s="135" t="s">
        <v>57</v>
      </c>
      <c r="I120" s="126" t="s">
        <v>59</v>
      </c>
      <c r="J120" s="127">
        <v>92.2</v>
      </c>
      <c r="K120" s="127">
        <v>0</v>
      </c>
      <c r="L120" s="128">
        <f t="shared" si="43"/>
        <v>92.2</v>
      </c>
      <c r="M120" s="127">
        <f aca="true" t="shared" si="46" ref="M120:M126">J120</f>
        <v>92.2</v>
      </c>
      <c r="N120" s="130"/>
      <c r="O120" s="128">
        <f>SUM(M120:N120)</f>
        <v>92.2</v>
      </c>
      <c r="P120" s="130">
        <f t="shared" si="44"/>
        <v>59.93000000000001</v>
      </c>
      <c r="Q120" s="130"/>
      <c r="R120" s="132">
        <f t="shared" si="45"/>
        <v>59.93000000000001</v>
      </c>
      <c r="S120" s="291"/>
      <c r="T120" s="291"/>
      <c r="U120" s="136"/>
    </row>
    <row r="121" spans="1:21" s="133" customFormat="1" ht="12" customHeight="1">
      <c r="A121" s="122" t="s">
        <v>15</v>
      </c>
      <c r="B121" s="123"/>
      <c r="C121" s="124" t="s">
        <v>65</v>
      </c>
      <c r="D121" s="124" t="s">
        <v>55</v>
      </c>
      <c r="F121" s="137"/>
      <c r="G121" s="135">
        <v>38433</v>
      </c>
      <c r="H121" s="135" t="s">
        <v>58</v>
      </c>
      <c r="I121" s="126" t="s">
        <v>59</v>
      </c>
      <c r="J121" s="127">
        <v>4</v>
      </c>
      <c r="K121" s="127"/>
      <c r="L121" s="128">
        <f t="shared" si="43"/>
        <v>4</v>
      </c>
      <c r="M121" s="127">
        <f t="shared" si="46"/>
        <v>4</v>
      </c>
      <c r="N121" s="130"/>
      <c r="O121" s="128">
        <f>SUM(M121:N121)</f>
        <v>4</v>
      </c>
      <c r="P121" s="130">
        <f t="shared" si="44"/>
        <v>2.6</v>
      </c>
      <c r="Q121" s="130"/>
      <c r="R121" s="132">
        <f t="shared" si="45"/>
        <v>2.6</v>
      </c>
      <c r="S121" s="292"/>
      <c r="T121" s="292"/>
      <c r="U121" s="139"/>
    </row>
    <row r="122" spans="1:21" s="133" customFormat="1" ht="12" customHeight="1">
      <c r="A122" s="122" t="s">
        <v>15</v>
      </c>
      <c r="B122" s="123"/>
      <c r="C122" s="124" t="s">
        <v>65</v>
      </c>
      <c r="D122" s="124" t="s">
        <v>56</v>
      </c>
      <c r="E122" s="124"/>
      <c r="F122" s="137"/>
      <c r="G122" s="135">
        <v>38442</v>
      </c>
      <c r="H122" s="135">
        <v>38441</v>
      </c>
      <c r="I122" s="135" t="s">
        <v>60</v>
      </c>
      <c r="J122" s="127">
        <v>27.88</v>
      </c>
      <c r="K122" s="127">
        <v>0</v>
      </c>
      <c r="L122" s="128">
        <f t="shared" si="43"/>
        <v>27.88</v>
      </c>
      <c r="M122" s="127">
        <f t="shared" si="46"/>
        <v>27.88</v>
      </c>
      <c r="N122" s="130"/>
      <c r="O122" s="128">
        <f>SUM(M122:N122)</f>
        <v>27.88</v>
      </c>
      <c r="P122" s="130">
        <f t="shared" si="44"/>
        <v>18.122</v>
      </c>
      <c r="Q122" s="130"/>
      <c r="R122" s="132">
        <f t="shared" si="45"/>
        <v>18.122</v>
      </c>
      <c r="S122" s="292"/>
      <c r="T122" s="292"/>
      <c r="U122" s="139"/>
    </row>
    <row r="123" spans="1:21" s="133" customFormat="1" ht="12" customHeight="1">
      <c r="A123" s="122" t="s">
        <v>15</v>
      </c>
      <c r="B123" s="123"/>
      <c r="C123" s="124" t="s">
        <v>65</v>
      </c>
      <c r="D123" s="124" t="s">
        <v>55</v>
      </c>
      <c r="E123" s="124"/>
      <c r="F123" s="137"/>
      <c r="G123" s="135">
        <v>38476</v>
      </c>
      <c r="H123" s="135" t="s">
        <v>57</v>
      </c>
      <c r="I123" s="126" t="s">
        <v>59</v>
      </c>
      <c r="J123" s="127">
        <v>66.14</v>
      </c>
      <c r="K123" s="127"/>
      <c r="L123" s="128">
        <f t="shared" si="43"/>
        <v>66.14</v>
      </c>
      <c r="M123" s="127">
        <f t="shared" si="46"/>
        <v>66.14</v>
      </c>
      <c r="N123" s="140"/>
      <c r="O123" s="128">
        <f>SUM(M123:N123)</f>
        <v>66.14</v>
      </c>
      <c r="P123" s="130">
        <f t="shared" si="44"/>
        <v>42.991</v>
      </c>
      <c r="Q123" s="130"/>
      <c r="R123" s="132">
        <f t="shared" si="45"/>
        <v>42.991</v>
      </c>
      <c r="S123" s="292"/>
      <c r="T123" s="292"/>
      <c r="U123" s="139"/>
    </row>
    <row r="124" spans="1:21" s="133" customFormat="1" ht="12" customHeight="1">
      <c r="A124" s="122" t="s">
        <v>15</v>
      </c>
      <c r="B124" s="123"/>
      <c r="C124" s="124" t="s">
        <v>61</v>
      </c>
      <c r="D124" s="141" t="s">
        <v>66</v>
      </c>
      <c r="E124" s="141" t="s">
        <v>78</v>
      </c>
      <c r="F124" s="142">
        <v>63451014061</v>
      </c>
      <c r="G124" s="143">
        <v>38400</v>
      </c>
      <c r="H124" s="144">
        <v>38434</v>
      </c>
      <c r="I124" s="145" t="s">
        <v>89</v>
      </c>
      <c r="J124" s="146">
        <v>105.59</v>
      </c>
      <c r="K124" s="146">
        <v>9.62</v>
      </c>
      <c r="L124" s="147">
        <f t="shared" si="43"/>
        <v>115.21000000000001</v>
      </c>
      <c r="M124" s="140"/>
      <c r="N124" s="140"/>
      <c r="O124" s="128"/>
      <c r="P124" s="130">
        <f t="shared" si="44"/>
        <v>0</v>
      </c>
      <c r="Q124" s="130"/>
      <c r="R124" s="132">
        <f t="shared" si="45"/>
        <v>0</v>
      </c>
      <c r="S124" s="292" t="s">
        <v>97</v>
      </c>
      <c r="T124" s="292"/>
      <c r="U124" s="139"/>
    </row>
    <row r="125" spans="1:21" s="133" customFormat="1" ht="12" customHeight="1">
      <c r="A125" s="122" t="s">
        <v>15</v>
      </c>
      <c r="B125" s="123"/>
      <c r="C125" s="124" t="s">
        <v>61</v>
      </c>
      <c r="D125" s="141" t="s">
        <v>67</v>
      </c>
      <c r="E125" s="141" t="s">
        <v>79</v>
      </c>
      <c r="F125" s="148">
        <v>1</v>
      </c>
      <c r="G125" s="143">
        <v>38406</v>
      </c>
      <c r="H125" s="144">
        <v>38406</v>
      </c>
      <c r="I125" s="145" t="s">
        <v>90</v>
      </c>
      <c r="J125" s="146">
        <v>201.3</v>
      </c>
      <c r="K125" s="146"/>
      <c r="L125" s="147">
        <v>201.3</v>
      </c>
      <c r="M125" s="127">
        <f t="shared" si="46"/>
        <v>201.3</v>
      </c>
      <c r="N125" s="140"/>
      <c r="O125" s="128">
        <f>SUM(M125:N125)</f>
        <v>201.3</v>
      </c>
      <c r="P125" s="130">
        <f t="shared" si="44"/>
        <v>130.845</v>
      </c>
      <c r="Q125" s="130"/>
      <c r="R125" s="132">
        <f t="shared" si="45"/>
        <v>130.845</v>
      </c>
      <c r="S125" s="292"/>
      <c r="T125" s="292"/>
      <c r="U125" s="149"/>
    </row>
    <row r="126" spans="1:21" s="133" customFormat="1" ht="24.75" customHeight="1">
      <c r="A126" s="122" t="s">
        <v>15</v>
      </c>
      <c r="B126" s="123"/>
      <c r="C126" s="124" t="s">
        <v>61</v>
      </c>
      <c r="D126" s="141" t="s">
        <v>68</v>
      </c>
      <c r="E126" s="141" t="s">
        <v>80</v>
      </c>
      <c r="F126" s="142">
        <v>392386</v>
      </c>
      <c r="G126" s="143">
        <v>38411</v>
      </c>
      <c r="H126" s="144">
        <v>38478</v>
      </c>
      <c r="I126" s="145" t="s">
        <v>91</v>
      </c>
      <c r="J126" s="146">
        <f>23.73+280*0.6+2.02</f>
        <v>193.75</v>
      </c>
      <c r="K126" s="146">
        <f>+J126*0.2</f>
        <v>38.75</v>
      </c>
      <c r="L126" s="147">
        <f aca="true" t="shared" si="47" ref="L126:L131">SUM(J126:K126)</f>
        <v>232.5</v>
      </c>
      <c r="M126" s="127">
        <f t="shared" si="46"/>
        <v>193.75</v>
      </c>
      <c r="N126" s="146">
        <f>+M126*0.2</f>
        <v>38.75</v>
      </c>
      <c r="O126" s="147">
        <f>SUM(M126:N126)</f>
        <v>232.5</v>
      </c>
      <c r="P126" s="130">
        <f t="shared" si="44"/>
        <v>125.9375</v>
      </c>
      <c r="Q126" s="146">
        <f>+P126*0.2</f>
        <v>25.1875</v>
      </c>
      <c r="R126" s="132">
        <f t="shared" si="45"/>
        <v>151.125</v>
      </c>
      <c r="S126" s="292" t="s">
        <v>252</v>
      </c>
      <c r="T126" s="292"/>
      <c r="U126" s="149"/>
    </row>
    <row r="127" spans="1:21" s="133" customFormat="1" ht="12" customHeight="1">
      <c r="A127" s="122" t="s">
        <v>15</v>
      </c>
      <c r="B127" s="123"/>
      <c r="C127" s="124" t="s">
        <v>61</v>
      </c>
      <c r="D127" s="150" t="s">
        <v>69</v>
      </c>
      <c r="E127" s="141" t="s">
        <v>81</v>
      </c>
      <c r="F127" s="142">
        <v>464</v>
      </c>
      <c r="G127" s="143">
        <v>38436</v>
      </c>
      <c r="H127" s="144">
        <v>38436</v>
      </c>
      <c r="I127" s="145" t="s">
        <v>92</v>
      </c>
      <c r="J127" s="146">
        <v>41</v>
      </c>
      <c r="K127" s="146">
        <v>8.2</v>
      </c>
      <c r="L127" s="147">
        <f t="shared" si="47"/>
        <v>49.2</v>
      </c>
      <c r="M127" s="140"/>
      <c r="N127" s="140"/>
      <c r="O127" s="128"/>
      <c r="P127" s="130">
        <f t="shared" si="44"/>
        <v>0</v>
      </c>
      <c r="Q127" s="151"/>
      <c r="R127" s="132">
        <f t="shared" si="45"/>
        <v>0</v>
      </c>
      <c r="S127" s="335" t="s">
        <v>94</v>
      </c>
      <c r="T127" s="336"/>
      <c r="U127" s="139"/>
    </row>
    <row r="128" spans="1:21" s="133" customFormat="1" ht="12" customHeight="1">
      <c r="A128" s="122" t="s">
        <v>15</v>
      </c>
      <c r="B128" s="123"/>
      <c r="C128" s="124" t="s">
        <v>61</v>
      </c>
      <c r="D128" s="150" t="s">
        <v>69</v>
      </c>
      <c r="E128" s="141" t="s">
        <v>82</v>
      </c>
      <c r="F128" s="142">
        <v>94</v>
      </c>
      <c r="G128" s="143">
        <v>38441</v>
      </c>
      <c r="H128" s="143">
        <v>38441</v>
      </c>
      <c r="I128" s="145" t="s">
        <v>92</v>
      </c>
      <c r="J128" s="146">
        <v>11.5</v>
      </c>
      <c r="K128" s="146">
        <v>2.3</v>
      </c>
      <c r="L128" s="147">
        <f t="shared" si="47"/>
        <v>13.8</v>
      </c>
      <c r="M128" s="140"/>
      <c r="N128" s="140"/>
      <c r="O128" s="128"/>
      <c r="P128" s="130">
        <f t="shared" si="44"/>
        <v>0</v>
      </c>
      <c r="Q128" s="152"/>
      <c r="R128" s="132">
        <f t="shared" si="45"/>
        <v>0</v>
      </c>
      <c r="S128" s="236" t="s">
        <v>94</v>
      </c>
      <c r="T128" s="237"/>
      <c r="U128" s="139"/>
    </row>
    <row r="129" spans="1:21" s="133" customFormat="1" ht="12" customHeight="1">
      <c r="A129" s="122" t="s">
        <v>15</v>
      </c>
      <c r="B129" s="123"/>
      <c r="C129" s="124" t="s">
        <v>61</v>
      </c>
      <c r="D129" s="150" t="s">
        <v>70</v>
      </c>
      <c r="E129" s="141" t="s">
        <v>83</v>
      </c>
      <c r="F129" s="142">
        <v>343</v>
      </c>
      <c r="G129" s="143">
        <v>38442</v>
      </c>
      <c r="H129" s="144">
        <v>38434</v>
      </c>
      <c r="I129" s="145" t="s">
        <v>91</v>
      </c>
      <c r="J129" s="146">
        <f>109.5+125.17</f>
        <v>234.67000000000002</v>
      </c>
      <c r="K129" s="146">
        <v>21.9</v>
      </c>
      <c r="L129" s="147">
        <f t="shared" si="47"/>
        <v>256.57</v>
      </c>
      <c r="M129" s="140">
        <v>0</v>
      </c>
      <c r="N129" s="140"/>
      <c r="O129" s="128"/>
      <c r="P129" s="130">
        <f t="shared" si="44"/>
        <v>0</v>
      </c>
      <c r="Q129" s="152"/>
      <c r="R129" s="132">
        <f t="shared" si="45"/>
        <v>0</v>
      </c>
      <c r="S129" s="236" t="s">
        <v>93</v>
      </c>
      <c r="T129" s="237"/>
      <c r="U129" s="139"/>
    </row>
    <row r="130" spans="1:21" s="133" customFormat="1" ht="12" customHeight="1">
      <c r="A130" s="122" t="s">
        <v>15</v>
      </c>
      <c r="B130" s="123"/>
      <c r="C130" s="124" t="s">
        <v>61</v>
      </c>
      <c r="D130" s="150" t="s">
        <v>69</v>
      </c>
      <c r="E130" s="141" t="s">
        <v>84</v>
      </c>
      <c r="F130" s="142">
        <v>29</v>
      </c>
      <c r="G130" s="143">
        <v>38448</v>
      </c>
      <c r="H130" s="144">
        <v>38448</v>
      </c>
      <c r="I130" s="145" t="s">
        <v>92</v>
      </c>
      <c r="J130" s="146">
        <v>12.55</v>
      </c>
      <c r="K130" s="146">
        <v>2.5</v>
      </c>
      <c r="L130" s="147">
        <f t="shared" si="47"/>
        <v>15.05</v>
      </c>
      <c r="M130" s="140"/>
      <c r="N130" s="140"/>
      <c r="O130" s="128"/>
      <c r="P130" s="130">
        <f t="shared" si="44"/>
        <v>0</v>
      </c>
      <c r="Q130" s="152"/>
      <c r="R130" s="132">
        <f t="shared" si="45"/>
        <v>0</v>
      </c>
      <c r="S130" s="236" t="s">
        <v>94</v>
      </c>
      <c r="T130" s="237"/>
      <c r="U130" s="139"/>
    </row>
    <row r="131" spans="1:20" s="133" customFormat="1" ht="44.25" customHeight="1">
      <c r="A131" s="122" t="s">
        <v>15</v>
      </c>
      <c r="B131" s="123"/>
      <c r="C131" s="124" t="s">
        <v>61</v>
      </c>
      <c r="D131" s="141" t="s">
        <v>66</v>
      </c>
      <c r="E131" s="141" t="s">
        <v>78</v>
      </c>
      <c r="F131" s="142">
        <v>63451014062</v>
      </c>
      <c r="G131" s="143">
        <v>38460</v>
      </c>
      <c r="H131" s="144">
        <v>38483</v>
      </c>
      <c r="I131" s="145" t="s">
        <v>89</v>
      </c>
      <c r="J131" s="146">
        <f>8.65+4.47+25.74+13.5+4.39+2.3+5.83+71.22-0.16+13.19</f>
        <v>149.13</v>
      </c>
      <c r="K131" s="146">
        <f>+J131*0.2</f>
        <v>29.826</v>
      </c>
      <c r="L131" s="147">
        <f t="shared" si="47"/>
        <v>178.956</v>
      </c>
      <c r="M131" s="153">
        <f>8.65+4.47+25.74+13.5+4.39+2.3+5.83+71.22-0.16+13.19</f>
        <v>149.13</v>
      </c>
      <c r="N131" s="146">
        <f>+M131*0.2</f>
        <v>29.826</v>
      </c>
      <c r="O131" s="147">
        <f>SUM(M131:N131)</f>
        <v>178.956</v>
      </c>
      <c r="P131" s="130">
        <f t="shared" si="44"/>
        <v>96.9345</v>
      </c>
      <c r="Q131" s="130">
        <f>N131*0.65</f>
        <v>19.3869</v>
      </c>
      <c r="R131" s="132">
        <f t="shared" si="45"/>
        <v>116.3214</v>
      </c>
      <c r="S131" s="236" t="s">
        <v>253</v>
      </c>
      <c r="T131" s="237"/>
    </row>
    <row r="132" spans="1:20" s="133" customFormat="1" ht="12" customHeight="1">
      <c r="A132" s="122" t="s">
        <v>15</v>
      </c>
      <c r="B132" s="123"/>
      <c r="C132" s="124" t="s">
        <v>61</v>
      </c>
      <c r="D132" s="141" t="s">
        <v>71</v>
      </c>
      <c r="E132" s="141" t="s">
        <v>79</v>
      </c>
      <c r="F132" s="142">
        <v>2</v>
      </c>
      <c r="G132" s="143">
        <v>38451</v>
      </c>
      <c r="H132" s="144">
        <v>38451</v>
      </c>
      <c r="I132" s="145" t="s">
        <v>90</v>
      </c>
      <c r="J132" s="146">
        <v>320</v>
      </c>
      <c r="K132" s="146"/>
      <c r="L132" s="147">
        <v>320</v>
      </c>
      <c r="M132" s="140">
        <f>90+90*0.6+180*0.6</f>
        <v>252</v>
      </c>
      <c r="N132" s="140"/>
      <c r="O132" s="128">
        <f>SUM(M132:N132)</f>
        <v>252</v>
      </c>
      <c r="P132" s="130">
        <f t="shared" si="44"/>
        <v>163.8</v>
      </c>
      <c r="Q132" s="152"/>
      <c r="R132" s="132">
        <f t="shared" si="45"/>
        <v>163.8</v>
      </c>
      <c r="S132" s="236" t="s">
        <v>100</v>
      </c>
      <c r="T132" s="237"/>
    </row>
    <row r="133" spans="1:20" s="133" customFormat="1" ht="12" customHeight="1">
      <c r="A133" s="122" t="s">
        <v>15</v>
      </c>
      <c r="B133" s="123"/>
      <c r="C133" s="124" t="s">
        <v>61</v>
      </c>
      <c r="D133" s="141" t="s">
        <v>72</v>
      </c>
      <c r="E133" s="141" t="s">
        <v>85</v>
      </c>
      <c r="F133" s="148" t="s">
        <v>87</v>
      </c>
      <c r="G133" s="143">
        <v>38477</v>
      </c>
      <c r="H133" s="144">
        <v>38477</v>
      </c>
      <c r="I133" s="145" t="s">
        <v>92</v>
      </c>
      <c r="J133" s="146">
        <v>11</v>
      </c>
      <c r="K133" s="146"/>
      <c r="L133" s="147">
        <v>11</v>
      </c>
      <c r="M133" s="140"/>
      <c r="N133" s="140"/>
      <c r="O133" s="128"/>
      <c r="P133" s="130">
        <f t="shared" si="44"/>
        <v>0</v>
      </c>
      <c r="Q133" s="152"/>
      <c r="R133" s="132">
        <f t="shared" si="45"/>
        <v>0</v>
      </c>
      <c r="S133" s="236" t="s">
        <v>94</v>
      </c>
      <c r="T133" s="237"/>
    </row>
    <row r="134" spans="1:20" s="133" customFormat="1" ht="12" customHeight="1">
      <c r="A134" s="122" t="s">
        <v>15</v>
      </c>
      <c r="B134" s="123"/>
      <c r="C134" s="124" t="s">
        <v>61</v>
      </c>
      <c r="D134" s="141" t="s">
        <v>73</v>
      </c>
      <c r="E134" s="141" t="s">
        <v>86</v>
      </c>
      <c r="F134" s="142"/>
      <c r="G134" s="143">
        <v>38496</v>
      </c>
      <c r="H134" s="144">
        <v>38496</v>
      </c>
      <c r="I134" s="145" t="s">
        <v>90</v>
      </c>
      <c r="J134" s="146">
        <v>1860</v>
      </c>
      <c r="K134" s="146"/>
      <c r="L134" s="147">
        <f>J134</f>
        <v>1860</v>
      </c>
      <c r="M134" s="140">
        <f>620+310+310*0.6+620*0.6</f>
        <v>1488</v>
      </c>
      <c r="N134" s="140"/>
      <c r="O134" s="128">
        <f>SUM(M134:N134)</f>
        <v>1488</v>
      </c>
      <c r="P134" s="130">
        <f t="shared" si="44"/>
        <v>967.2</v>
      </c>
      <c r="Q134" s="130"/>
      <c r="R134" s="132">
        <f t="shared" si="45"/>
        <v>967.2</v>
      </c>
      <c r="S134" s="241" t="s">
        <v>100</v>
      </c>
      <c r="T134" s="293"/>
    </row>
    <row r="135" spans="1:20" s="133" customFormat="1" ht="12" customHeight="1">
      <c r="A135" s="122" t="s">
        <v>15</v>
      </c>
      <c r="B135" s="123"/>
      <c r="C135" s="124" t="s">
        <v>61</v>
      </c>
      <c r="D135" s="141" t="s">
        <v>74</v>
      </c>
      <c r="E135" s="141" t="s">
        <v>86</v>
      </c>
      <c r="F135" s="142"/>
      <c r="G135" s="143">
        <v>38474</v>
      </c>
      <c r="H135" s="144">
        <v>38474</v>
      </c>
      <c r="I135" s="145" t="s">
        <v>90</v>
      </c>
      <c r="J135" s="146">
        <v>620</v>
      </c>
      <c r="K135" s="146"/>
      <c r="L135" s="147">
        <f>J135</f>
        <v>620</v>
      </c>
      <c r="M135" s="140">
        <f>L135*0.6</f>
        <v>372</v>
      </c>
      <c r="N135" s="140"/>
      <c r="O135" s="128">
        <f>SUM(M135:N135)</f>
        <v>372</v>
      </c>
      <c r="P135" s="130">
        <f t="shared" si="44"/>
        <v>241.8</v>
      </c>
      <c r="Q135" s="130"/>
      <c r="R135" s="132">
        <f t="shared" si="45"/>
        <v>241.8</v>
      </c>
      <c r="S135" s="294"/>
      <c r="T135" s="295"/>
    </row>
    <row r="136" spans="1:20" s="133" customFormat="1" ht="12" customHeight="1">
      <c r="A136" s="122" t="s">
        <v>15</v>
      </c>
      <c r="B136" s="123"/>
      <c r="C136" s="124" t="s">
        <v>61</v>
      </c>
      <c r="D136" s="141" t="s">
        <v>75</v>
      </c>
      <c r="E136" s="141" t="s">
        <v>86</v>
      </c>
      <c r="F136" s="142"/>
      <c r="G136" s="143">
        <v>38496</v>
      </c>
      <c r="H136" s="144">
        <v>38496</v>
      </c>
      <c r="I136" s="145" t="s">
        <v>90</v>
      </c>
      <c r="J136" s="146">
        <v>620</v>
      </c>
      <c r="K136" s="146"/>
      <c r="L136" s="147">
        <f>J136</f>
        <v>620</v>
      </c>
      <c r="M136" s="140">
        <f>L136*0.6</f>
        <v>372</v>
      </c>
      <c r="N136" s="140"/>
      <c r="O136" s="128">
        <f>SUM(M136:N136)</f>
        <v>372</v>
      </c>
      <c r="P136" s="130">
        <f t="shared" si="44"/>
        <v>241.8</v>
      </c>
      <c r="Q136" s="130"/>
      <c r="R136" s="132">
        <f t="shared" si="45"/>
        <v>241.8</v>
      </c>
      <c r="S136" s="294"/>
      <c r="T136" s="295"/>
    </row>
    <row r="137" spans="1:20" s="133" customFormat="1" ht="12" customHeight="1">
      <c r="A137" s="122" t="s">
        <v>15</v>
      </c>
      <c r="B137" s="123"/>
      <c r="C137" s="124" t="s">
        <v>61</v>
      </c>
      <c r="D137" s="141" t="s">
        <v>76</v>
      </c>
      <c r="E137" s="141" t="s">
        <v>79</v>
      </c>
      <c r="F137" s="142">
        <v>3</v>
      </c>
      <c r="G137" s="143">
        <v>38496</v>
      </c>
      <c r="H137" s="144">
        <v>38496</v>
      </c>
      <c r="I137" s="145" t="s">
        <v>90</v>
      </c>
      <c r="J137" s="146">
        <v>320</v>
      </c>
      <c r="K137" s="146"/>
      <c r="L137" s="147">
        <f>J137</f>
        <v>320</v>
      </c>
      <c r="M137" s="140">
        <f>L137*0.6</f>
        <v>192</v>
      </c>
      <c r="N137" s="140"/>
      <c r="O137" s="128">
        <f>SUM(M137:N137)</f>
        <v>192</v>
      </c>
      <c r="P137" s="130">
        <f t="shared" si="44"/>
        <v>124.80000000000001</v>
      </c>
      <c r="Q137" s="130"/>
      <c r="R137" s="132">
        <f t="shared" si="45"/>
        <v>124.80000000000001</v>
      </c>
      <c r="S137" s="296"/>
      <c r="T137" s="297"/>
    </row>
    <row r="138" spans="1:20" s="133" customFormat="1" ht="36" customHeight="1">
      <c r="A138" s="122" t="s">
        <v>15</v>
      </c>
      <c r="B138" s="123"/>
      <c r="C138" s="124" t="s">
        <v>61</v>
      </c>
      <c r="D138" s="154" t="s">
        <v>77</v>
      </c>
      <c r="E138" s="141" t="s">
        <v>62</v>
      </c>
      <c r="F138" s="143" t="s">
        <v>88</v>
      </c>
      <c r="G138" s="143">
        <v>38410</v>
      </c>
      <c r="H138" s="144">
        <v>38496</v>
      </c>
      <c r="I138" s="145" t="s">
        <v>90</v>
      </c>
      <c r="J138" s="146">
        <v>391.57</v>
      </c>
      <c r="K138" s="146"/>
      <c r="L138" s="147">
        <f>J138</f>
        <v>391.57</v>
      </c>
      <c r="M138" s="140">
        <f>L138</f>
        <v>391.57</v>
      </c>
      <c r="N138" s="155"/>
      <c r="O138" s="132">
        <f>SUM(M138:N138)</f>
        <v>391.57</v>
      </c>
      <c r="P138" s="152">
        <f t="shared" si="44"/>
        <v>254.5205</v>
      </c>
      <c r="Q138" s="152"/>
      <c r="R138" s="132">
        <f t="shared" si="45"/>
        <v>254.5205</v>
      </c>
      <c r="S138" s="349" t="s">
        <v>98</v>
      </c>
      <c r="T138" s="350"/>
    </row>
    <row r="139" spans="1:20" s="222" customFormat="1" ht="12" customHeight="1">
      <c r="A139" s="214" t="s">
        <v>102</v>
      </c>
      <c r="B139" s="215"/>
      <c r="C139" s="217" t="s">
        <v>246</v>
      </c>
      <c r="D139" s="243"/>
      <c r="E139" s="244"/>
      <c r="F139" s="245"/>
      <c r="G139" s="245"/>
      <c r="H139" s="246"/>
      <c r="I139" s="247"/>
      <c r="J139" s="248"/>
      <c r="K139" s="248"/>
      <c r="L139" s="248"/>
      <c r="M139" s="249">
        <v>15148.082000000002</v>
      </c>
      <c r="N139" s="250">
        <v>742.2936</v>
      </c>
      <c r="O139" s="235">
        <v>15890.375600000001</v>
      </c>
      <c r="P139" s="250">
        <v>9846.2533</v>
      </c>
      <c r="Q139" s="250">
        <v>482.49084000000005</v>
      </c>
      <c r="R139" s="235">
        <v>10328.74414</v>
      </c>
      <c r="S139" s="251" t="s">
        <v>249</v>
      </c>
      <c r="T139" s="252"/>
    </row>
    <row r="140" spans="1:20" s="133" customFormat="1" ht="11.25" customHeight="1">
      <c r="A140" s="122" t="s">
        <v>102</v>
      </c>
      <c r="B140" s="123"/>
      <c r="C140" s="124" t="s">
        <v>61</v>
      </c>
      <c r="D140" s="154" t="s">
        <v>151</v>
      </c>
      <c r="E140" s="141" t="s">
        <v>160</v>
      </c>
      <c r="F140" s="156">
        <v>1014064</v>
      </c>
      <c r="G140" s="144">
        <v>38582</v>
      </c>
      <c r="H140" s="157">
        <v>38602</v>
      </c>
      <c r="I140" s="144" t="s">
        <v>161</v>
      </c>
      <c r="J140" s="158">
        <v>155.03</v>
      </c>
      <c r="K140" s="158">
        <f>J140*0.2</f>
        <v>31.006</v>
      </c>
      <c r="L140" s="147">
        <f>SUM(J140:K140)</f>
        <v>186.036</v>
      </c>
      <c r="M140" s="140">
        <f>J140*0.6</f>
        <v>93.018</v>
      </c>
      <c r="N140" s="155"/>
      <c r="O140" s="132">
        <f aca="true" t="shared" si="48" ref="O140:O148">SUM(M140:N140)</f>
        <v>93.018</v>
      </c>
      <c r="P140" s="130">
        <f t="shared" si="44"/>
        <v>60.4617</v>
      </c>
      <c r="Q140" s="152">
        <f>N140*0.65</f>
        <v>0</v>
      </c>
      <c r="R140" s="132">
        <f t="shared" si="45"/>
        <v>60.4617</v>
      </c>
      <c r="S140" s="236"/>
      <c r="T140" s="237"/>
    </row>
    <row r="141" spans="1:20" s="133" customFormat="1" ht="50.25" customHeight="1">
      <c r="A141" s="122" t="s">
        <v>102</v>
      </c>
      <c r="B141" s="123"/>
      <c r="C141" s="124" t="s">
        <v>61</v>
      </c>
      <c r="D141" s="154" t="s">
        <v>152</v>
      </c>
      <c r="E141" s="141" t="s">
        <v>162</v>
      </c>
      <c r="F141" s="159">
        <v>556</v>
      </c>
      <c r="G141" s="144">
        <v>38538</v>
      </c>
      <c r="H141" s="144">
        <v>38567</v>
      </c>
      <c r="I141" s="144" t="s">
        <v>136</v>
      </c>
      <c r="J141" s="158">
        <v>320</v>
      </c>
      <c r="K141" s="158"/>
      <c r="L141" s="147">
        <f aca="true" t="shared" si="49" ref="L141:L148">SUM(J141:K141)</f>
        <v>320</v>
      </c>
      <c r="M141" s="140">
        <f>J141*0.6</f>
        <v>192</v>
      </c>
      <c r="N141" s="155"/>
      <c r="O141" s="132">
        <f t="shared" si="48"/>
        <v>192</v>
      </c>
      <c r="P141" s="130">
        <f t="shared" si="44"/>
        <v>124.80000000000001</v>
      </c>
      <c r="Q141" s="152">
        <f>N141*0.65</f>
        <v>0</v>
      </c>
      <c r="R141" s="132">
        <f t="shared" si="45"/>
        <v>124.80000000000001</v>
      </c>
      <c r="S141" s="236" t="s">
        <v>236</v>
      </c>
      <c r="T141" s="237"/>
    </row>
    <row r="142" spans="1:20" s="133" customFormat="1" ht="109.5" customHeight="1">
      <c r="A142" s="122" t="s">
        <v>102</v>
      </c>
      <c r="B142" s="123"/>
      <c r="C142" s="124" t="s">
        <v>61</v>
      </c>
      <c r="D142" s="154" t="s">
        <v>153</v>
      </c>
      <c r="E142" s="141" t="s">
        <v>135</v>
      </c>
      <c r="F142" s="160">
        <v>8</v>
      </c>
      <c r="G142" s="144">
        <v>38558</v>
      </c>
      <c r="H142" s="144">
        <v>38566</v>
      </c>
      <c r="I142" s="144" t="s">
        <v>136</v>
      </c>
      <c r="J142" s="158">
        <v>2100</v>
      </c>
      <c r="K142" s="158">
        <f>J142*0.2</f>
        <v>420</v>
      </c>
      <c r="L142" s="147">
        <f t="shared" si="49"/>
        <v>2520</v>
      </c>
      <c r="M142" s="158"/>
      <c r="N142" s="158">
        <f>M142*0.2</f>
        <v>0</v>
      </c>
      <c r="O142" s="147">
        <f t="shared" si="48"/>
        <v>0</v>
      </c>
      <c r="P142" s="130">
        <f t="shared" si="44"/>
        <v>0</v>
      </c>
      <c r="Q142" s="152">
        <f>N142*0.65</f>
        <v>0</v>
      </c>
      <c r="R142" s="132">
        <f t="shared" si="45"/>
        <v>0</v>
      </c>
      <c r="S142" s="236" t="s">
        <v>234</v>
      </c>
      <c r="T142" s="237"/>
    </row>
    <row r="143" spans="1:20" s="133" customFormat="1" ht="30" customHeight="1">
      <c r="A143" s="122" t="s">
        <v>102</v>
      </c>
      <c r="B143" s="123"/>
      <c r="C143" s="124" t="s">
        <v>61</v>
      </c>
      <c r="D143" s="154" t="s">
        <v>154</v>
      </c>
      <c r="E143" s="141" t="s">
        <v>163</v>
      </c>
      <c r="F143" s="156">
        <v>1379656</v>
      </c>
      <c r="G143" s="144">
        <v>38533</v>
      </c>
      <c r="H143" s="157">
        <v>38565</v>
      </c>
      <c r="I143" s="144" t="s">
        <v>161</v>
      </c>
      <c r="J143" s="158">
        <v>683.78</v>
      </c>
      <c r="K143" s="158">
        <f>J143*0.2</f>
        <v>136.756</v>
      </c>
      <c r="L143" s="147">
        <f t="shared" si="49"/>
        <v>820.536</v>
      </c>
      <c r="M143" s="158">
        <f>683.78*0.6</f>
        <v>410.268</v>
      </c>
      <c r="N143" s="158"/>
      <c r="O143" s="147">
        <f t="shared" si="48"/>
        <v>410.268</v>
      </c>
      <c r="P143" s="130">
        <f t="shared" si="44"/>
        <v>266.6742</v>
      </c>
      <c r="Q143" s="152">
        <f>N143*0.65</f>
        <v>0</v>
      </c>
      <c r="R143" s="132">
        <f t="shared" si="45"/>
        <v>266.6742</v>
      </c>
      <c r="S143" s="236" t="s">
        <v>235</v>
      </c>
      <c r="T143" s="237"/>
    </row>
    <row r="144" spans="1:20" s="133" customFormat="1" ht="30" customHeight="1">
      <c r="A144" s="122" t="s">
        <v>102</v>
      </c>
      <c r="B144" s="123"/>
      <c r="C144" s="124" t="s">
        <v>61</v>
      </c>
      <c r="D144" s="154" t="s">
        <v>155</v>
      </c>
      <c r="E144" s="141" t="s">
        <v>160</v>
      </c>
      <c r="F144" s="156">
        <v>1014063</v>
      </c>
      <c r="G144" s="144">
        <v>38523</v>
      </c>
      <c r="H144" s="157">
        <v>38544</v>
      </c>
      <c r="I144" s="144" t="s">
        <v>161</v>
      </c>
      <c r="J144" s="158">
        <v>138.4</v>
      </c>
      <c r="K144" s="158">
        <f>J144*0.2</f>
        <v>27.680000000000003</v>
      </c>
      <c r="L144" s="147">
        <f t="shared" si="49"/>
        <v>166.08</v>
      </c>
      <c r="M144" s="140">
        <f>J144*0.6</f>
        <v>83.04</v>
      </c>
      <c r="N144" s="155"/>
      <c r="O144" s="132">
        <f t="shared" si="48"/>
        <v>83.04</v>
      </c>
      <c r="P144" s="130">
        <f t="shared" si="44"/>
        <v>53.976000000000006</v>
      </c>
      <c r="Q144" s="152">
        <f>N144*0.65</f>
        <v>0</v>
      </c>
      <c r="R144" s="132">
        <f t="shared" si="45"/>
        <v>53.976000000000006</v>
      </c>
      <c r="S144" s="238"/>
      <c r="T144" s="239"/>
    </row>
    <row r="145" spans="1:20" s="133" customFormat="1" ht="30" customHeight="1">
      <c r="A145" s="122" t="s">
        <v>102</v>
      </c>
      <c r="B145" s="123"/>
      <c r="C145" s="124" t="s">
        <v>61</v>
      </c>
      <c r="D145" s="154" t="s">
        <v>156</v>
      </c>
      <c r="E145" s="141" t="s">
        <v>163</v>
      </c>
      <c r="F145" s="156">
        <v>869325</v>
      </c>
      <c r="G145" s="144">
        <v>38472</v>
      </c>
      <c r="H145" s="144">
        <v>38502</v>
      </c>
      <c r="I145" s="144" t="s">
        <v>161</v>
      </c>
      <c r="J145" s="158">
        <v>751.63</v>
      </c>
      <c r="K145" s="158">
        <f>J145*0.2</f>
        <v>150.326</v>
      </c>
      <c r="L145" s="147">
        <f t="shared" si="49"/>
        <v>901.956</v>
      </c>
      <c r="M145" s="158">
        <f>751.63*0.6</f>
        <v>450.978</v>
      </c>
      <c r="N145" s="158"/>
      <c r="O145" s="147">
        <f t="shared" si="48"/>
        <v>450.978</v>
      </c>
      <c r="P145" s="130">
        <f aca="true" t="shared" si="50" ref="P145:P151">M145*0.65</f>
        <v>293.13570000000004</v>
      </c>
      <c r="Q145" s="152">
        <f aca="true" t="shared" si="51" ref="Q145:Q151">N145*0.65</f>
        <v>0</v>
      </c>
      <c r="R145" s="132">
        <f t="shared" si="45"/>
        <v>293.13570000000004</v>
      </c>
      <c r="S145" s="236" t="s">
        <v>235</v>
      </c>
      <c r="T145" s="237"/>
    </row>
    <row r="146" spans="1:20" s="133" customFormat="1" ht="30" customHeight="1">
      <c r="A146" s="122" t="s">
        <v>102</v>
      </c>
      <c r="B146" s="123"/>
      <c r="C146" s="124" t="s">
        <v>61</v>
      </c>
      <c r="D146" s="154" t="s">
        <v>157</v>
      </c>
      <c r="E146" s="141" t="s">
        <v>164</v>
      </c>
      <c r="F146" s="156"/>
      <c r="G146" s="144">
        <v>38619</v>
      </c>
      <c r="H146" s="157">
        <v>38619</v>
      </c>
      <c r="I146" s="144" t="s">
        <v>136</v>
      </c>
      <c r="J146" s="158">
        <f>620*2</f>
        <v>1240</v>
      </c>
      <c r="K146" s="161"/>
      <c r="L146" s="147">
        <f t="shared" si="49"/>
        <v>1240</v>
      </c>
      <c r="M146" s="140">
        <f>J146*0.6</f>
        <v>744</v>
      </c>
      <c r="N146" s="155"/>
      <c r="O146" s="132">
        <f t="shared" si="48"/>
        <v>744</v>
      </c>
      <c r="P146" s="130">
        <f t="shared" si="50"/>
        <v>483.6</v>
      </c>
      <c r="Q146" s="152">
        <f t="shared" si="51"/>
        <v>0</v>
      </c>
      <c r="R146" s="132">
        <f>SUM(P146:Q146)</f>
        <v>483.6</v>
      </c>
      <c r="S146" s="236" t="s">
        <v>236</v>
      </c>
      <c r="T146" s="237"/>
    </row>
    <row r="147" spans="1:20" s="133" customFormat="1" ht="30" customHeight="1">
      <c r="A147" s="122" t="s">
        <v>102</v>
      </c>
      <c r="B147" s="123"/>
      <c r="C147" s="124" t="s">
        <v>61</v>
      </c>
      <c r="D147" s="154" t="s">
        <v>158</v>
      </c>
      <c r="E147" s="141" t="s">
        <v>62</v>
      </c>
      <c r="F147" s="144" t="s">
        <v>165</v>
      </c>
      <c r="G147" s="162"/>
      <c r="H147" s="157">
        <v>38617</v>
      </c>
      <c r="I147" s="144" t="s">
        <v>136</v>
      </c>
      <c r="J147" s="158">
        <v>753.48</v>
      </c>
      <c r="K147" s="161"/>
      <c r="L147" s="147">
        <f t="shared" si="49"/>
        <v>753.48</v>
      </c>
      <c r="M147" s="158">
        <v>753.48</v>
      </c>
      <c r="N147" s="155"/>
      <c r="O147" s="132">
        <f t="shared" si="48"/>
        <v>753.48</v>
      </c>
      <c r="P147" s="130">
        <f t="shared" si="50"/>
        <v>489.762</v>
      </c>
      <c r="Q147" s="152">
        <f t="shared" si="51"/>
        <v>0</v>
      </c>
      <c r="R147" s="132">
        <f aca="true" t="shared" si="52" ref="R147:R152">SUM(P147:Q147)</f>
        <v>489.762</v>
      </c>
      <c r="S147" s="236" t="s">
        <v>237</v>
      </c>
      <c r="T147" s="237"/>
    </row>
    <row r="148" spans="1:20" s="133" customFormat="1" ht="48.75" customHeight="1">
      <c r="A148" s="122" t="s">
        <v>102</v>
      </c>
      <c r="B148" s="123"/>
      <c r="C148" s="124" t="s">
        <v>61</v>
      </c>
      <c r="D148" s="154" t="s">
        <v>159</v>
      </c>
      <c r="E148" s="141" t="s">
        <v>162</v>
      </c>
      <c r="F148" s="156"/>
      <c r="G148" s="144"/>
      <c r="H148" s="157">
        <v>38619</v>
      </c>
      <c r="I148" s="144" t="s">
        <v>136</v>
      </c>
      <c r="J148" s="163">
        <v>320</v>
      </c>
      <c r="K148" s="164"/>
      <c r="L148" s="147">
        <f t="shared" si="49"/>
        <v>320</v>
      </c>
      <c r="M148" s="140">
        <f>J148*0.6</f>
        <v>192</v>
      </c>
      <c r="N148" s="155"/>
      <c r="O148" s="132">
        <f t="shared" si="48"/>
        <v>192</v>
      </c>
      <c r="P148" s="130">
        <f t="shared" si="50"/>
        <v>124.80000000000001</v>
      </c>
      <c r="Q148" s="152">
        <f t="shared" si="51"/>
        <v>0</v>
      </c>
      <c r="R148" s="132">
        <f t="shared" si="52"/>
        <v>124.80000000000001</v>
      </c>
      <c r="S148" s="236" t="s">
        <v>236</v>
      </c>
      <c r="T148" s="237"/>
    </row>
    <row r="149" spans="1:20" s="133" customFormat="1" ht="12" customHeight="1">
      <c r="A149" s="122" t="s">
        <v>102</v>
      </c>
      <c r="B149" s="123"/>
      <c r="C149" s="124" t="s">
        <v>65</v>
      </c>
      <c r="D149" s="154" t="s">
        <v>202</v>
      </c>
      <c r="E149" s="156" t="s">
        <v>205</v>
      </c>
      <c r="F149" s="165" t="s">
        <v>206</v>
      </c>
      <c r="G149" s="166" t="s">
        <v>207</v>
      </c>
      <c r="H149" s="167" t="s">
        <v>208</v>
      </c>
      <c r="I149" s="145" t="s">
        <v>91</v>
      </c>
      <c r="J149" s="168">
        <v>6024.9</v>
      </c>
      <c r="K149" s="168"/>
      <c r="L149" s="169">
        <f>J149</f>
        <v>6024.9</v>
      </c>
      <c r="M149" s="140">
        <f>J149</f>
        <v>6024.9</v>
      </c>
      <c r="N149" s="155"/>
      <c r="O149" s="132">
        <f>SUM(M149:N149)</f>
        <v>6024.9</v>
      </c>
      <c r="P149" s="130">
        <f t="shared" si="50"/>
        <v>3916.185</v>
      </c>
      <c r="Q149" s="152">
        <f t="shared" si="51"/>
        <v>0</v>
      </c>
      <c r="R149" s="132">
        <f t="shared" si="52"/>
        <v>3916.185</v>
      </c>
      <c r="S149" s="238"/>
      <c r="T149" s="239"/>
    </row>
    <row r="150" spans="1:20" s="133" customFormat="1" ht="12.75" customHeight="1">
      <c r="A150" s="122" t="s">
        <v>102</v>
      </c>
      <c r="B150" s="123"/>
      <c r="C150" s="124" t="s">
        <v>65</v>
      </c>
      <c r="D150" s="154" t="s">
        <v>244</v>
      </c>
      <c r="E150" s="156" t="s">
        <v>192</v>
      </c>
      <c r="F150" s="170" t="s">
        <v>193</v>
      </c>
      <c r="G150" s="171">
        <v>38611</v>
      </c>
      <c r="H150" s="171">
        <v>38611</v>
      </c>
      <c r="I150" s="166" t="s">
        <v>191</v>
      </c>
      <c r="J150" s="168">
        <f>7.79+9.58</f>
        <v>17.37</v>
      </c>
      <c r="K150" s="168">
        <f>J150*0.2</f>
        <v>3.474</v>
      </c>
      <c r="L150" s="169">
        <f>SUM(J150:K150)</f>
        <v>20.844</v>
      </c>
      <c r="M150" s="168">
        <v>7.79</v>
      </c>
      <c r="N150" s="155"/>
      <c r="O150" s="132">
        <f>SUM(M150:N150)</f>
        <v>7.79</v>
      </c>
      <c r="P150" s="130">
        <f t="shared" si="50"/>
        <v>5.0635</v>
      </c>
      <c r="Q150" s="152">
        <f t="shared" si="51"/>
        <v>0</v>
      </c>
      <c r="R150" s="132">
        <f t="shared" si="52"/>
        <v>5.0635</v>
      </c>
      <c r="S150" s="238"/>
      <c r="T150" s="239"/>
    </row>
    <row r="151" spans="1:20" s="133" customFormat="1" ht="12" customHeight="1">
      <c r="A151" s="122" t="s">
        <v>102</v>
      </c>
      <c r="B151" s="123"/>
      <c r="C151" s="124" t="s">
        <v>65</v>
      </c>
      <c r="D151" s="172" t="s">
        <v>203</v>
      </c>
      <c r="E151" s="141" t="s">
        <v>209</v>
      </c>
      <c r="F151" s="173" t="s">
        <v>210</v>
      </c>
      <c r="G151" s="174" t="s">
        <v>211</v>
      </c>
      <c r="H151" s="175">
        <v>38490</v>
      </c>
      <c r="I151" s="166" t="s">
        <v>91</v>
      </c>
      <c r="J151" s="168">
        <v>4391.08</v>
      </c>
      <c r="K151" s="168">
        <f>J151*0.2</f>
        <v>878.216</v>
      </c>
      <c r="L151" s="169">
        <f>SUM(J151:K151)</f>
        <v>5269.296</v>
      </c>
      <c r="M151" s="140">
        <f>J151*0.4</f>
        <v>1756.432</v>
      </c>
      <c r="N151" s="155"/>
      <c r="O151" s="132">
        <f>SUM(M151:N151)</f>
        <v>1756.432</v>
      </c>
      <c r="P151" s="130">
        <f t="shared" si="50"/>
        <v>1141.6808</v>
      </c>
      <c r="Q151" s="152">
        <f t="shared" si="51"/>
        <v>0</v>
      </c>
      <c r="R151" s="132">
        <f t="shared" si="52"/>
        <v>1141.6808</v>
      </c>
      <c r="S151" s="241" t="s">
        <v>245</v>
      </c>
      <c r="T151" s="242"/>
    </row>
    <row r="152" spans="1:20" s="133" customFormat="1" ht="12.75" customHeight="1">
      <c r="A152" s="122" t="s">
        <v>102</v>
      </c>
      <c r="B152" s="123"/>
      <c r="C152" s="124" t="s">
        <v>65</v>
      </c>
      <c r="D152" s="154" t="s">
        <v>204</v>
      </c>
      <c r="E152" s="141" t="s">
        <v>209</v>
      </c>
      <c r="F152" s="170" t="s">
        <v>212</v>
      </c>
      <c r="G152" s="171">
        <v>38503</v>
      </c>
      <c r="H152" s="175">
        <v>38608</v>
      </c>
      <c r="I152" s="166" t="s">
        <v>91</v>
      </c>
      <c r="J152" s="168">
        <v>4391.08</v>
      </c>
      <c r="K152" s="168">
        <f>J152*0.2</f>
        <v>878.216</v>
      </c>
      <c r="L152" s="169">
        <f>SUM(J152:K152)</f>
        <v>5269.296</v>
      </c>
      <c r="M152" s="140">
        <f>J152*0.4</f>
        <v>1756.432</v>
      </c>
      <c r="N152" s="155"/>
      <c r="O152" s="132">
        <f>SUM(M152:N152)</f>
        <v>1756.432</v>
      </c>
      <c r="P152" s="130">
        <f>M152*0.65</f>
        <v>1141.6808</v>
      </c>
      <c r="Q152" s="152">
        <f>N152*0.65</f>
        <v>0</v>
      </c>
      <c r="R152" s="132">
        <f t="shared" si="52"/>
        <v>1141.6808</v>
      </c>
      <c r="S152" s="335"/>
      <c r="T152" s="336"/>
    </row>
    <row r="153" spans="1:20" s="265" customFormat="1" ht="12.75" customHeight="1">
      <c r="A153" s="253" t="s">
        <v>233</v>
      </c>
      <c r="B153" s="254"/>
      <c r="C153" s="266" t="s">
        <v>250</v>
      </c>
      <c r="D153" s="258"/>
      <c r="E153" s="259"/>
      <c r="F153" s="260"/>
      <c r="G153" s="261"/>
      <c r="H153" s="261"/>
      <c r="I153" s="262"/>
      <c r="J153" s="263"/>
      <c r="K153" s="263"/>
      <c r="L153" s="263"/>
      <c r="M153" s="264">
        <f aca="true" t="shared" si="53" ref="M153:R153">SUM(M140:M152)-M139</f>
        <v>-2683.7440000000006</v>
      </c>
      <c r="N153" s="264">
        <f t="shared" si="53"/>
        <v>-742.2936</v>
      </c>
      <c r="O153" s="128">
        <f t="shared" si="53"/>
        <v>-3426.0375999999997</v>
      </c>
      <c r="P153" s="264">
        <f t="shared" si="53"/>
        <v>-1744.4336000000003</v>
      </c>
      <c r="Q153" s="264">
        <f t="shared" si="53"/>
        <v>-482.49084000000005</v>
      </c>
      <c r="R153" s="128">
        <f t="shared" si="53"/>
        <v>-2226.9244400000007</v>
      </c>
      <c r="S153" s="256" t="s">
        <v>250</v>
      </c>
      <c r="T153" s="257"/>
    </row>
    <row r="154" spans="1:20" ht="12" customHeight="1">
      <c r="A154" s="49"/>
      <c r="B154" s="8"/>
      <c r="C154" s="15"/>
      <c r="D154" s="75"/>
      <c r="E154" s="62"/>
      <c r="F154" s="76"/>
      <c r="G154" s="77"/>
      <c r="H154" s="79"/>
      <c r="I154" s="78"/>
      <c r="J154" s="71"/>
      <c r="K154" s="71"/>
      <c r="L154" s="103"/>
      <c r="M154" s="23"/>
      <c r="N154" s="72"/>
      <c r="O154" s="111"/>
      <c r="P154" s="66"/>
      <c r="Q154" s="66"/>
      <c r="R154" s="111"/>
      <c r="S154" s="120"/>
      <c r="T154" s="121"/>
    </row>
    <row r="155" spans="10:20" ht="15" customHeight="1">
      <c r="J155" s="55"/>
      <c r="K155" s="58"/>
      <c r="S155" s="67"/>
      <c r="T155" s="67"/>
    </row>
  </sheetData>
  <mergeCells count="120">
    <mergeCell ref="S109:T109"/>
    <mergeCell ref="F4:G4"/>
    <mergeCell ref="F5:G5"/>
    <mergeCell ref="S48:T51"/>
    <mergeCell ref="S52:T55"/>
    <mergeCell ref="S35:T35"/>
    <mergeCell ref="C32:K32"/>
    <mergeCell ref="S19:T20"/>
    <mergeCell ref="S39:T39"/>
    <mergeCell ref="S40:T40"/>
    <mergeCell ref="S36:T36"/>
    <mergeCell ref="S143:T143"/>
    <mergeCell ref="S144:T144"/>
    <mergeCell ref="S145:T145"/>
    <mergeCell ref="S146:T146"/>
    <mergeCell ref="C28:K28"/>
    <mergeCell ref="S149:T149"/>
    <mergeCell ref="S150:T150"/>
    <mergeCell ref="S151:T152"/>
    <mergeCell ref="S138:T138"/>
    <mergeCell ref="S140:T140"/>
    <mergeCell ref="S141:T141"/>
    <mergeCell ref="S142:T142"/>
    <mergeCell ref="S148:T148"/>
    <mergeCell ref="S147:T147"/>
    <mergeCell ref="S127:T127"/>
    <mergeCell ref="A112:L112"/>
    <mergeCell ref="A6:L6"/>
    <mergeCell ref="A26:L26"/>
    <mergeCell ref="A59:L59"/>
    <mergeCell ref="A69:L69"/>
    <mergeCell ref="A81:L81"/>
    <mergeCell ref="A91:L91"/>
    <mergeCell ref="A27:B32"/>
    <mergeCell ref="C27:K27"/>
    <mergeCell ref="S121:T121"/>
    <mergeCell ref="S122:T122"/>
    <mergeCell ref="S123:T123"/>
    <mergeCell ref="S124:T124"/>
    <mergeCell ref="S119:T119"/>
    <mergeCell ref="S110:T110"/>
    <mergeCell ref="S99:T99"/>
    <mergeCell ref="S100:T100"/>
    <mergeCell ref="S101:T101"/>
    <mergeCell ref="S102:T102"/>
    <mergeCell ref="S103:T103"/>
    <mergeCell ref="S104:T104"/>
    <mergeCell ref="S105:T105"/>
    <mergeCell ref="S106:T106"/>
    <mergeCell ref="S118:T118"/>
    <mergeCell ref="S65:T65"/>
    <mergeCell ref="S66:T66"/>
    <mergeCell ref="S67:T67"/>
    <mergeCell ref="S75:T75"/>
    <mergeCell ref="S76:T76"/>
    <mergeCell ref="S77:T77"/>
    <mergeCell ref="S89:T89"/>
    <mergeCell ref="S88:T88"/>
    <mergeCell ref="S87:T87"/>
    <mergeCell ref="A1:T1"/>
    <mergeCell ref="S24:T24"/>
    <mergeCell ref="S18:T18"/>
    <mergeCell ref="S14:T14"/>
    <mergeCell ref="S15:T15"/>
    <mergeCell ref="S16:T16"/>
    <mergeCell ref="A2:B5"/>
    <mergeCell ref="S17:T17"/>
    <mergeCell ref="F2:G2"/>
    <mergeCell ref="F3:G3"/>
    <mergeCell ref="A7:B11"/>
    <mergeCell ref="S12:T12"/>
    <mergeCell ref="S21:T21"/>
    <mergeCell ref="S23:T23"/>
    <mergeCell ref="S22:T22"/>
    <mergeCell ref="A70:B74"/>
    <mergeCell ref="C70:K70"/>
    <mergeCell ref="C71:K71"/>
    <mergeCell ref="C74:K74"/>
    <mergeCell ref="A60:B64"/>
    <mergeCell ref="C60:K60"/>
    <mergeCell ref="C61:K61"/>
    <mergeCell ref="S57:T57"/>
    <mergeCell ref="C64:K64"/>
    <mergeCell ref="A92:B96"/>
    <mergeCell ref="C92:K92"/>
    <mergeCell ref="C93:K93"/>
    <mergeCell ref="C96:K96"/>
    <mergeCell ref="A82:B86"/>
    <mergeCell ref="C82:K82"/>
    <mergeCell ref="C83:K83"/>
    <mergeCell ref="C86:K86"/>
    <mergeCell ref="A113:B117"/>
    <mergeCell ref="C113:K113"/>
    <mergeCell ref="C114:K114"/>
    <mergeCell ref="C117:K117"/>
    <mergeCell ref="S130:T130"/>
    <mergeCell ref="S133:T133"/>
    <mergeCell ref="S128:T128"/>
    <mergeCell ref="S129:T129"/>
    <mergeCell ref="S132:T132"/>
    <mergeCell ref="S131:T131"/>
    <mergeCell ref="S41:T42"/>
    <mergeCell ref="S33:T33"/>
    <mergeCell ref="S34:T34"/>
    <mergeCell ref="S37:T37"/>
    <mergeCell ref="S38:T38"/>
    <mergeCell ref="S46:T46"/>
    <mergeCell ref="S45:T45"/>
    <mergeCell ref="S47:T47"/>
    <mergeCell ref="S43:T44"/>
    <mergeCell ref="S56:T56"/>
    <mergeCell ref="S153:T153"/>
    <mergeCell ref="S78:T78"/>
    <mergeCell ref="S107:T107"/>
    <mergeCell ref="S108:T108"/>
    <mergeCell ref="S97:T97"/>
    <mergeCell ref="S120:T120"/>
    <mergeCell ref="S125:T125"/>
    <mergeCell ref="S126:T126"/>
    <mergeCell ref="S134:T137"/>
  </mergeCells>
  <printOptions horizontalCentered="1"/>
  <pageMargins left="0.2" right="0.46" top="0.33" bottom="0.27" header="0.22" footer="0.17"/>
  <pageSetup horizontalDpi="300" verticalDpi="300" orientation="landscape"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sciacovelli</cp:lastModifiedBy>
  <cp:lastPrinted>2006-02-17T11:45:58Z</cp:lastPrinted>
  <dcterms:created xsi:type="dcterms:W3CDTF">2005-04-28T08:10:49Z</dcterms:created>
  <dcterms:modified xsi:type="dcterms:W3CDTF">2006-02-20T09:12:55Z</dcterms:modified>
  <cp:category/>
  <cp:version/>
  <cp:contentType/>
  <cp:contentStatus/>
</cp:coreProperties>
</file>