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oglio1" sheetId="1" r:id="rId1"/>
    <sheet name="Complessivo" sheetId="2" r:id="rId2"/>
    <sheet name="Conguagli" sheetId="3" r:id="rId3"/>
  </sheets>
  <definedNames>
    <definedName name="_xlnm._FilterDatabase" localSheetId="1" hidden="1">'Complessivo'!$A$13:$T$712</definedName>
    <definedName name="_xlnm.Print_Area" localSheetId="1">'Complessivo'!$A$1:$T$712</definedName>
    <definedName name="_xlnm.Print_Titles" localSheetId="1">'Complessivo'!$1:$6</definedName>
  </definedNames>
  <calcPr fullCalcOnLoad="1"/>
</workbook>
</file>

<file path=xl/comments2.xml><?xml version="1.0" encoding="utf-8"?>
<comments xmlns="http://schemas.openxmlformats.org/spreadsheetml/2006/main">
  <authors>
    <author>.</author>
    <author>MD</author>
  </authors>
  <commentList>
    <comment ref="S47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moduli di missione rimborsati al dipendente. OK 14/11/06</t>
        </r>
      </text>
    </comment>
    <comment ref="S26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Non viene data evidenza di utilizzo di procedure di gara; Manca contratto; Manca dimostrazione incasso assegno; Manca liberatoria del fornitore.</t>
        </r>
      </text>
    </comment>
    <comment ref="S270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Non viene data evidenza di utilizzo di procedure di gara; Manca contratto; Manca dimostrazione incasso assegno; Manca liberatoria del fornitore.</t>
        </r>
      </text>
    </comment>
  </commentList>
</comments>
</file>

<file path=xl/sharedStrings.xml><?xml version="1.0" encoding="utf-8"?>
<sst xmlns="http://schemas.openxmlformats.org/spreadsheetml/2006/main" count="3722" uniqueCount="767">
  <si>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</si>
  <si>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</si>
  <si>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</si>
  <si>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</si>
  <si>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</si>
  <si>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</si>
  <si>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</si>
  <si>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</si>
  <si>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</si>
  <si>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</si>
  <si>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</si>
  <si>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</si>
  <si>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</si>
  <si>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</si>
  <si>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</si>
  <si>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</si>
  <si>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</si>
  <si>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</si>
  <si>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</si>
  <si>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</si>
  <si>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</si>
  <si>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</si>
  <si>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</si>
  <si>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</si>
  <si>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</si>
  <si>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</si>
  <si>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</si>
  <si>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</si>
  <si>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</si>
  <si>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</si>
  <si>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</si>
  <si>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</si>
  <si>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</si>
  <si>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TOT PROGETTO=</t>
  </si>
  <si>
    <t>CONTRIBUTO=</t>
  </si>
  <si>
    <t>CONTRIBUTO IVA=</t>
  </si>
  <si>
    <t>TOT CONTRIBUTO=</t>
  </si>
  <si>
    <t>CNA PUGLIA  28 - RIEPILOGO SPESE</t>
  </si>
  <si>
    <t>@ssonet</t>
  </si>
  <si>
    <t>SAL 1 - 01/09/04 - 31/12/04</t>
  </si>
  <si>
    <t>CNA PUGLIA</t>
  </si>
  <si>
    <t>K-solutions Spa</t>
  </si>
  <si>
    <t>CNA Bari</t>
  </si>
  <si>
    <t>CNA Foggia</t>
  </si>
  <si>
    <t>CNA Brindisi</t>
  </si>
  <si>
    <t>CNA Lecce</t>
  </si>
  <si>
    <t>Università Lecce</t>
  </si>
  <si>
    <t>Università di Bari</t>
  </si>
  <si>
    <t>Cancelleria</t>
  </si>
  <si>
    <t>Laterza F.lli snc</t>
  </si>
  <si>
    <t>Bonifico</t>
  </si>
  <si>
    <t>Quietanza allo sportello</t>
  </si>
  <si>
    <t>CNA Interpreta srl</t>
  </si>
  <si>
    <t>Viaggi e missioni personale dipendente</t>
  </si>
  <si>
    <t>CNA Ass Prov. Modena</t>
  </si>
  <si>
    <t>???</t>
  </si>
  <si>
    <t>??</t>
  </si>
  <si>
    <t>Robintur</t>
  </si>
  <si>
    <t>Manca fattura</t>
  </si>
  <si>
    <t>SIAPI scrl</t>
  </si>
  <si>
    <t>02/05</t>
  </si>
  <si>
    <t>AB</t>
  </si>
  <si>
    <t>UNIPOL Assicurazioni</t>
  </si>
  <si>
    <t>Spese di fideiussine</t>
  </si>
  <si>
    <t>96/42486503</t>
  </si>
  <si>
    <t>Spese notarili</t>
  </si>
  <si>
    <t>Notaio Rosa Metromile</t>
  </si>
  <si>
    <t>1204</t>
  </si>
  <si>
    <t>Contanti</t>
  </si>
  <si>
    <t>Spese notarili e pagamento in contanti non ammissibili</t>
  </si>
  <si>
    <t xml:space="preserve">Spese benzina </t>
  </si>
  <si>
    <t>dipendente Delucia</t>
  </si>
  <si>
    <t>AB ??</t>
  </si>
  <si>
    <t>Martincart srl</t>
  </si>
  <si>
    <t>65529</t>
  </si>
  <si>
    <t>Rimborso spese benzina Modena</t>
  </si>
  <si>
    <t>Carta di credito</t>
  </si>
  <si>
    <t>spese viaggio aereo Torino dipendente Riccardi Giuseppe</t>
  </si>
  <si>
    <t>Travelmar srl</t>
  </si>
  <si>
    <t>112/04</t>
  </si>
  <si>
    <t>AB 0245</t>
  </si>
  <si>
    <t>1-2</t>
  </si>
  <si>
    <t>COFIDI Puglia scarl</t>
  </si>
  <si>
    <t>Unità Artigiana Salentina scarl</t>
  </si>
  <si>
    <t xml:space="preserve">Manca nome dipendente, dimostrazione di pagamento: inammissibile </t>
  </si>
  <si>
    <t>Iva Ammessa</t>
  </si>
  <si>
    <t>TOT Contributo</t>
  </si>
  <si>
    <t>TOT Ammesso</t>
  </si>
  <si>
    <t>IVA Contributo</t>
  </si>
  <si>
    <t>Mancano alcuni costo orario e foglio presenze (non necessario in primo rendiconto)</t>
  </si>
  <si>
    <t>Spesa inferiore a 516,46 inammissibile. Inoltre manca: 1)liberatoria, 2)dimostrazione pagamento, 3) timbro annull. fattura</t>
  </si>
  <si>
    <t>Manca timbro annullamento fattura.</t>
  </si>
  <si>
    <t>Inammissibile in quanto non dispone di una sede operativa in Puglia.</t>
  </si>
  <si>
    <t>Manca foglio presenze</t>
  </si>
  <si>
    <t>Manca foglio presenze,costo orario utilizzato più basso del calcolato</t>
  </si>
  <si>
    <t>Manca foglio presenze,costo orario utilizzato leggermente più alto del calcolato</t>
  </si>
  <si>
    <t xml:space="preserve">Mancano alcuni costo orario e foglio presenze, costo orario utilizzato più basso del calcolato </t>
  </si>
  <si>
    <t>Consulenza non nominativa. Manca curriculum consulente. Manca rendiconto impegno consulente. Fattura non firmata e senza timbro di annullamento. Liberatoria non conforme allo schema predefinito. Manca estratto conto per dimostrazione liquidazione assegno emesso. Fuori periodo di rendicontazione. Non ammesso</t>
  </si>
  <si>
    <t>Spese di missione valgono solo per personale del partner rendicontato nelle spese di personale</t>
  </si>
  <si>
    <t>Manca 1)liberatoria 2)dimostrazione pagamento 3)timbro annull. Fattura. Il Beneficiario comunica l'impossibilità di esporre la fattura alla spesa</t>
  </si>
  <si>
    <t>Manca copia assegno bancario e dimostrazione di pagamento.</t>
  </si>
  <si>
    <t>Manca foglio missione, copia assegno bancario e dimostrazione di pagamento.</t>
  </si>
  <si>
    <t>Pagamento in contanti e sotto i 512,46. Inoltre manca; liberatoria, dimostrazione di pagamento, timbro annullamento fattura.</t>
  </si>
  <si>
    <t>Tolte le tasse per euro 1.997,22</t>
  </si>
  <si>
    <t>Spesa ammessa</t>
  </si>
  <si>
    <t>Iva ammessa</t>
  </si>
  <si>
    <t>TOT ammes</t>
  </si>
  <si>
    <t>Contrib. Costi</t>
  </si>
  <si>
    <t>Contrib. Iva</t>
  </si>
  <si>
    <t>TOT CONTR</t>
  </si>
  <si>
    <t>II</t>
  </si>
  <si>
    <t>Provvisorio</t>
  </si>
  <si>
    <t>Ammessi provvisoriamente. In attesa di verifica Eliminati costi società senza sede operativa in Puglia</t>
  </si>
  <si>
    <t>Ammessi provvisoriamente. In attesa di verifica. Eliminati costi società senza sede operativa in Puglia</t>
  </si>
  <si>
    <t>SAL 2 - 01/01/05 - 30/04/05</t>
  </si>
  <si>
    <t>SAL 3 - 01/05/05 - 31/08/05</t>
  </si>
  <si>
    <t>III</t>
  </si>
  <si>
    <t>Ammessi provvisoriamente. In attesa di verifica.</t>
  </si>
  <si>
    <t>ARREDI UFFICIO</t>
  </si>
  <si>
    <t>Papiro di Sollazzo Margherita</t>
  </si>
  <si>
    <t>A/B N° -9093; -4392</t>
  </si>
  <si>
    <t>SAL 3</t>
  </si>
  <si>
    <t>Indicare la percentuale di addebito sul progetto</t>
  </si>
  <si>
    <t>S.IN.TE.S.I. srl</t>
  </si>
  <si>
    <t>Un.Bari - Dip. Di Informatica</t>
  </si>
  <si>
    <t>Universita' Studi Lecce</t>
  </si>
  <si>
    <t>TOT SAL 3</t>
  </si>
  <si>
    <t>Marcello De Giorgi</t>
  </si>
  <si>
    <t>Manca calcolo costo orario</t>
  </si>
  <si>
    <t>Panico, Chiriatti, De Maria</t>
  </si>
  <si>
    <t>CSAD - Foggia</t>
  </si>
  <si>
    <t>Pinto, Creta</t>
  </si>
  <si>
    <t>Severo, Valletta, Penna, Trombetta</t>
  </si>
  <si>
    <t>Bartoli, Lassandro</t>
  </si>
  <si>
    <t>CNA Ambiente e qualità srl - BR</t>
  </si>
  <si>
    <t>Tomaselli, Piscopiello, Pugliese, Gullotta, Rubini</t>
  </si>
  <si>
    <t>Greco Nunzia</t>
  </si>
  <si>
    <t>Universita' Studi Lecce - Dip.Ing.</t>
  </si>
  <si>
    <t>Elia, Gnoni, Marsella, Cavaliere</t>
  </si>
  <si>
    <t>N.ro 14 nominativi</t>
  </si>
  <si>
    <t>N.ro  8 nominativi</t>
  </si>
  <si>
    <t>N.ro 7 nominativi</t>
  </si>
  <si>
    <t>Chiaromonte, Pellegrino, Sardone, Lorusso</t>
  </si>
  <si>
    <t>Ribezzo, De Lucia, Di Comite, Riccardi, Merchic</t>
  </si>
  <si>
    <t>1° acc. "definizione modello di cooperazione" e "definizione della architettura"</t>
  </si>
  <si>
    <t>Rimborso spese benzina (Di Comite)</t>
  </si>
  <si>
    <t>IV</t>
  </si>
  <si>
    <t>Conguaglio post-verifica sul II sal</t>
  </si>
  <si>
    <t>Ribezzo, Morea, Di Comite,  Merchic</t>
  </si>
  <si>
    <t>Manca calcolo costo orario di Merchic e Di Comite</t>
  </si>
  <si>
    <t>CANCELLERIA</t>
  </si>
  <si>
    <t>MARTINCART SRL</t>
  </si>
  <si>
    <t>881A</t>
  </si>
  <si>
    <t>CONTANTI</t>
  </si>
  <si>
    <t>MATERIALE DI CONSUMO</t>
  </si>
  <si>
    <t>A.R.T. SERVICE S.A.S.</t>
  </si>
  <si>
    <t>A/B N° -15/02</t>
  </si>
  <si>
    <t>VARIE</t>
  </si>
  <si>
    <t>IMP. GEN. SRL</t>
  </si>
  <si>
    <t>A/B N° --7593</t>
  </si>
  <si>
    <t>TELEFONICHE</t>
  </si>
  <si>
    <t>VODAFONE SPA</t>
  </si>
  <si>
    <t>ADD. IN CONTO</t>
  </si>
  <si>
    <t>SGOBBA SRL</t>
  </si>
  <si>
    <t>OTTOMANO DAVIDE</t>
  </si>
  <si>
    <t>A/B N° -7595</t>
  </si>
  <si>
    <t>TELECOM IT. SPA</t>
  </si>
  <si>
    <t>8S00706645</t>
  </si>
  <si>
    <t>7073317379</t>
  </si>
  <si>
    <t>8S00706665</t>
  </si>
  <si>
    <t>CHITANI GIANNI</t>
  </si>
  <si>
    <t>RAPPRESENTANZA</t>
  </si>
  <si>
    <t>GARRAPA SRL</t>
  </si>
  <si>
    <t>13/A</t>
  </si>
  <si>
    <t>A/B -8649</t>
  </si>
  <si>
    <t>TIM IT SPA</t>
  </si>
  <si>
    <t>7X01226857</t>
  </si>
  <si>
    <t>CONDOMINIO</t>
  </si>
  <si>
    <t>CON. V.LE EINAUDI</t>
  </si>
  <si>
    <t>BONIFICO</t>
  </si>
  <si>
    <t>SPESE BANCARIE</t>
  </si>
  <si>
    <t>SU CONDOMINIO</t>
  </si>
  <si>
    <t>ENERGIA ELETTRICA</t>
  </si>
  <si>
    <t>ENEL SPA</t>
  </si>
  <si>
    <t>A/B N° -9095</t>
  </si>
  <si>
    <t>1368A</t>
  </si>
  <si>
    <t>A/B N° -3503</t>
  </si>
  <si>
    <t>A/B N° -3506</t>
  </si>
  <si>
    <t>PULIZIE</t>
  </si>
  <si>
    <t>CO.AN. SCARL</t>
  </si>
  <si>
    <t>A/B N° -3504</t>
  </si>
  <si>
    <t>8S00824678</t>
  </si>
  <si>
    <t>C.C.P.</t>
  </si>
  <si>
    <t>8S00896394</t>
  </si>
  <si>
    <t>7X01671462</t>
  </si>
  <si>
    <t>8S00946266</t>
  </si>
  <si>
    <t>Oneri bancari non ammissibili</t>
  </si>
  <si>
    <t>Indicare la percentuale di addebito sul progetto (V.le Einaudi 51 !)</t>
  </si>
  <si>
    <t>7073439870</t>
  </si>
  <si>
    <t>Indicare la percentuale di addebito sul progetto (Via Tridente 2/I !)</t>
  </si>
  <si>
    <t>Indicare la percentuale di addebito sul progetto (Via Tridente 2/I !) Manca dimostrazione di pagamento</t>
  </si>
  <si>
    <t>Indicare la percentuale di addebito sul progetto (Via Tridente 2/I !) Manca dimostrazione di pagamento. La fattura si riferisce a n.ro due telefonini (chi sono Teresa Pellegrino e Ciliberti?)</t>
  </si>
  <si>
    <t>AFFITTO SEDE</t>
  </si>
  <si>
    <t>CIRILLO ETTORE</t>
  </si>
  <si>
    <t>SU AFFITTO</t>
  </si>
  <si>
    <t>ONERI BANCARI</t>
  </si>
  <si>
    <t>MPS</t>
  </si>
  <si>
    <t>Non sono ammissibili gli oneri bancari</t>
  </si>
  <si>
    <t>8S00896365</t>
  </si>
  <si>
    <t>BOLLATI</t>
  </si>
  <si>
    <t>LEONARDO DICARLO</t>
  </si>
  <si>
    <t>RIVISTE</t>
  </si>
  <si>
    <t>LATERZA</t>
  </si>
  <si>
    <t>DAVIDE OTTOMANO</t>
  </si>
  <si>
    <t>541/04</t>
  </si>
  <si>
    <t>ALBEROSOLE</t>
  </si>
  <si>
    <t>882/04</t>
  </si>
  <si>
    <t>ROSA DEI VENTI</t>
  </si>
  <si>
    <t>564/03</t>
  </si>
  <si>
    <t>IL PEPE FINTO</t>
  </si>
  <si>
    <t>827/03</t>
  </si>
  <si>
    <t>EXECUTIVE</t>
  </si>
  <si>
    <t>Conguaglio post-verifica sul III sal</t>
  </si>
  <si>
    <t>Tomaselli, Piscopiello, Pugliese, Gullotta</t>
  </si>
  <si>
    <t>N.ro 15 nominativi</t>
  </si>
  <si>
    <t>Elia Valerio</t>
  </si>
  <si>
    <t>De Giorgi</t>
  </si>
  <si>
    <t>Greco Nunzia, Buongiorno Maria</t>
  </si>
  <si>
    <t>Frisullo, Chiriatti, Tremolizzo, Negro</t>
  </si>
  <si>
    <t>Bartoli, Lassandro, Abbattista</t>
  </si>
  <si>
    <t>Chiaromonte, Pellegrino</t>
  </si>
  <si>
    <t>TOT SAL 4</t>
  </si>
  <si>
    <t>SAL 4</t>
  </si>
  <si>
    <t xml:space="preserve">conguaglio per errata somma in tabella riepilogativa II sal </t>
  </si>
  <si>
    <t>Non ammesse spese per opere murarie</t>
  </si>
  <si>
    <t>Non ammesse. Via Tridente 2/I ??</t>
  </si>
  <si>
    <t>Spesa inferiore a 516,46 inammissibile.</t>
  </si>
  <si>
    <t>spese telefoniche da cellulare di personale non imputato al progetto</t>
  </si>
  <si>
    <t>spese relative a personale non in missione e imputato sul progetto</t>
  </si>
  <si>
    <t>Indicare la percentuale di addebito sul progetto e le sedi di sviluppo delle attività se V.le Einaudi 51 (sede legale CNA) ovvero via Tridente.</t>
  </si>
  <si>
    <t>Indicare la percentuale di addebito sul progetto. Indicare sede operativa  (V.le Einaudi 51 o via Tridente e comunque non sono ammissibili le spese di bolli e registrazione contratto (Euro 507,72)</t>
  </si>
  <si>
    <t>Pagamenti in contanti non ammessi</t>
  </si>
  <si>
    <t>ammesse solo spese per fotocopiatore</t>
  </si>
  <si>
    <t>ammesse provvisoriamente</t>
  </si>
  <si>
    <t>SAL 4 - 01/09/05 - 31/12/05</t>
  </si>
  <si>
    <t>Rettifiche sul II sal</t>
  </si>
  <si>
    <t>Ribezzo, Morea, Di Comite,  Merchic, Spizzico</t>
  </si>
  <si>
    <t>Mobili</t>
  </si>
  <si>
    <t>Buffetti di Solazzo Margherita</t>
  </si>
  <si>
    <t>FI 001773</t>
  </si>
  <si>
    <t>a/b n. 3980 mps</t>
  </si>
  <si>
    <t>Centrale telefonica (LAN+fonia)</t>
  </si>
  <si>
    <t>Cripta sistemi srl</t>
  </si>
  <si>
    <t>a/b n. 4393/04 mps</t>
  </si>
  <si>
    <t>Video proiettore + rete internet</t>
  </si>
  <si>
    <t>Cripta Sistemi srl</t>
  </si>
  <si>
    <t>server + licenze + software</t>
  </si>
  <si>
    <t>318/2005</t>
  </si>
  <si>
    <t>28/10/2005</t>
  </si>
  <si>
    <t>a/b n. 4394/05 mps</t>
  </si>
  <si>
    <t>monitor+mouse+photosmart</t>
  </si>
  <si>
    <t>315/2005</t>
  </si>
  <si>
    <t>Manca liberatoria del fornitore</t>
  </si>
  <si>
    <t>241/2005</t>
  </si>
  <si>
    <t>240/2005</t>
  </si>
  <si>
    <t>Analisi dei bisogni delle PMI artigiane pugliesi  e analisi organizzativa e dei processi</t>
  </si>
  <si>
    <t>Siapi srl</t>
  </si>
  <si>
    <t>n°2/2005</t>
  </si>
  <si>
    <t>a/b n. 0684253259-01</t>
  </si>
  <si>
    <t>Gestione progetto (amministrazione, reporting, monitoring)</t>
  </si>
  <si>
    <t>n° 10/05</t>
  </si>
  <si>
    <t>Consulenza di marketing internazionale</t>
  </si>
  <si>
    <t>DIVA ERIS sas</t>
  </si>
  <si>
    <t>n° 12/05</t>
  </si>
  <si>
    <t>a/b 4398-09 mps</t>
  </si>
  <si>
    <t>Si ammette max 300 euro /gg o 37,50 euro/ora. Manca liberatoria del fornitore</t>
  </si>
  <si>
    <t>Manca dimostrazione di pagamento e liberatoria del fornitore</t>
  </si>
  <si>
    <t>Si ammette max 180 euro /gg o 22,50 euro/ora. Manca liberatoria del fornitore</t>
  </si>
  <si>
    <t>UTENZE TELEFONE</t>
  </si>
  <si>
    <t>VODAFONE</t>
  </si>
  <si>
    <t>ADD. C/C</t>
  </si>
  <si>
    <t>ABBONAMENTO</t>
  </si>
  <si>
    <t>ITALIA OGGI</t>
  </si>
  <si>
    <t>TELECOM SPA</t>
  </si>
  <si>
    <t>8S01021983</t>
  </si>
  <si>
    <t>TIM SPA</t>
  </si>
  <si>
    <t>7X02011833</t>
  </si>
  <si>
    <t>FRANCOBOLLI</t>
  </si>
  <si>
    <t>A/B N° - 4685</t>
  </si>
  <si>
    <t>8S00095388</t>
  </si>
  <si>
    <t>8S00095389</t>
  </si>
  <si>
    <t>7X02422133</t>
  </si>
  <si>
    <t>8S00239103</t>
  </si>
  <si>
    <t>8S00239230</t>
  </si>
  <si>
    <t>IL SOLE 24 ORE</t>
  </si>
  <si>
    <t>7X00387575</t>
  </si>
  <si>
    <t>8S00504321</t>
  </si>
  <si>
    <t>8S00504320</t>
  </si>
  <si>
    <t>7X00807720</t>
  </si>
  <si>
    <t>CONTANTE</t>
  </si>
  <si>
    <t>6073 529991</t>
  </si>
  <si>
    <t>Spesa non direttamente riconducibile al progetto</t>
  </si>
  <si>
    <t>607364 4980</t>
  </si>
  <si>
    <t>70730 82308</t>
  </si>
  <si>
    <t>7073 197698</t>
  </si>
  <si>
    <t>FITTO AGOSTO</t>
  </si>
  <si>
    <t>Cirillo Ettore</t>
  </si>
  <si>
    <t>7073 317379</t>
  </si>
  <si>
    <t>70734 39870</t>
  </si>
  <si>
    <t>Ricalcolato l'85% sull'imponibile</t>
  </si>
  <si>
    <t>Già liquidata in terzo sal</t>
  </si>
  <si>
    <t>Manca dimostrazione pagamento</t>
  </si>
  <si>
    <t>Spese di registrazione contratto non ammesse</t>
  </si>
  <si>
    <t>Utenze telefoniche</t>
  </si>
  <si>
    <t>Vodafone spa</t>
  </si>
  <si>
    <t>addebito in conto</t>
  </si>
  <si>
    <t>Telecom spa</t>
  </si>
  <si>
    <t>8S01135119</t>
  </si>
  <si>
    <t>8S01133584</t>
  </si>
  <si>
    <t>Utenze elettriche</t>
  </si>
  <si>
    <t>Enel spa</t>
  </si>
  <si>
    <t>ccp</t>
  </si>
  <si>
    <t>fitto settembre</t>
  </si>
  <si>
    <t>fitto ottobre</t>
  </si>
  <si>
    <t>fitto novembre</t>
  </si>
  <si>
    <t>fitto dicembre</t>
  </si>
  <si>
    <t>condominiali</t>
  </si>
  <si>
    <t>viale Einaudi, 51</t>
  </si>
  <si>
    <t>bonifico</t>
  </si>
  <si>
    <t>spese pulizia</t>
  </si>
  <si>
    <t>CO.AN. S.C. A R.L.</t>
  </si>
  <si>
    <t>a/b 3534 mps</t>
  </si>
  <si>
    <t>a/b 3428 mps</t>
  </si>
  <si>
    <t>a/b 7598 mps</t>
  </si>
  <si>
    <t>a/b 5799 msp</t>
  </si>
  <si>
    <t>cancelleria</t>
  </si>
  <si>
    <t>F 1995</t>
  </si>
  <si>
    <t>a/b 3540 mps</t>
  </si>
  <si>
    <t>viaggi e soggiorno</t>
  </si>
  <si>
    <t>91/05</t>
  </si>
  <si>
    <t>a/b 7592</t>
  </si>
  <si>
    <t>Postali</t>
  </si>
  <si>
    <t>Poste Italiane spa</t>
  </si>
  <si>
    <t>Rimborso personale</t>
  </si>
  <si>
    <t>Vari</t>
  </si>
  <si>
    <t>2004</t>
  </si>
  <si>
    <t>contanti</t>
  </si>
  <si>
    <t>vari</t>
  </si>
  <si>
    <t>01/01-30/04/05</t>
  </si>
  <si>
    <t>1/05-31/08/05</t>
  </si>
  <si>
    <t>70735 63530</t>
  </si>
  <si>
    <t>Assistenza presentazione progetto</t>
  </si>
  <si>
    <t>E.T. Eventi top</t>
  </si>
  <si>
    <t>14/2005</t>
  </si>
  <si>
    <t>a/b n. 4396/07</t>
  </si>
  <si>
    <t>N.ro 12 nominativi</t>
  </si>
  <si>
    <t>Integrazione sul II sal</t>
  </si>
  <si>
    <t>Rettifica sul II sal</t>
  </si>
  <si>
    <t>Pugliese</t>
  </si>
  <si>
    <t>SAL 5 - 01/01/06 - 30/04/06</t>
  </si>
  <si>
    <t>TOT SAL 5</t>
  </si>
  <si>
    <t>V</t>
  </si>
  <si>
    <t>SAL 5</t>
  </si>
  <si>
    <t>02/06</t>
  </si>
  <si>
    <t>Bonifico bancario</t>
  </si>
  <si>
    <t>09/06</t>
  </si>
  <si>
    <t>04/06</t>
  </si>
  <si>
    <t xml:space="preserve">Consulenza Gestione finanziaria ed amministrativa </t>
  </si>
  <si>
    <t>SIAPI SRL</t>
  </si>
  <si>
    <t>01/06</t>
  </si>
  <si>
    <t>A/B n. -816 mps</t>
  </si>
  <si>
    <t>Kit Sistema CRIPTA high performance, TV Plasma 42'', Vaio Istallazione e trasferte</t>
  </si>
  <si>
    <t>Cripta Sistemi SRL</t>
  </si>
  <si>
    <t>378/2005</t>
  </si>
  <si>
    <t>A/B N. 5761/07</t>
  </si>
  <si>
    <t>Martincart SRL</t>
  </si>
  <si>
    <t>340A</t>
  </si>
  <si>
    <t>A/B N. 284271/09</t>
  </si>
  <si>
    <t>A.R.T. Service SAS</t>
  </si>
  <si>
    <t>23/2006</t>
  </si>
  <si>
    <t>A/B N. 29122/05</t>
  </si>
  <si>
    <t>Utenze enel</t>
  </si>
  <si>
    <t>Enel SPA</t>
  </si>
  <si>
    <t>4615/06</t>
  </si>
  <si>
    <t>add. in conto</t>
  </si>
  <si>
    <t>Utenze Vodafone</t>
  </si>
  <si>
    <t>Vodafone SPA</t>
  </si>
  <si>
    <t>4555/06</t>
  </si>
  <si>
    <t>88531/05</t>
  </si>
  <si>
    <t>Utenze Telecom SPA</t>
  </si>
  <si>
    <t>Telecom SPA</t>
  </si>
  <si>
    <t>6034/05</t>
  </si>
  <si>
    <t>1920/05</t>
  </si>
  <si>
    <t>Utenza Telecom SPA</t>
  </si>
  <si>
    <t>0168/06</t>
  </si>
  <si>
    <t>7668/06</t>
  </si>
  <si>
    <t>3149/06</t>
  </si>
  <si>
    <t>3878/06</t>
  </si>
  <si>
    <t>bollettino postale</t>
  </si>
  <si>
    <t>Pulizia locali</t>
  </si>
  <si>
    <t xml:space="preserve">CO.AN A R.L. </t>
  </si>
  <si>
    <t>305</t>
  </si>
  <si>
    <t>A/B N. - 60632</t>
  </si>
  <si>
    <t>A/B N. 62505/04</t>
  </si>
  <si>
    <t>A/B N. 62380/09</t>
  </si>
  <si>
    <t>A/B N. - 9126</t>
  </si>
  <si>
    <t>Fitto locale</t>
  </si>
  <si>
    <t>Mese aprile</t>
  </si>
  <si>
    <t>Mese marzo</t>
  </si>
  <si>
    <t>Mese febbraio</t>
  </si>
  <si>
    <t>Mese gennaio</t>
  </si>
  <si>
    <t>Condominiale</t>
  </si>
  <si>
    <t>Viale Einaudi, 51</t>
  </si>
  <si>
    <t>gennaio</t>
  </si>
  <si>
    <t>febbraio</t>
  </si>
  <si>
    <t>marzo</t>
  </si>
  <si>
    <t>Condominale</t>
  </si>
  <si>
    <t>aprile</t>
  </si>
  <si>
    <t>4614/06</t>
  </si>
  <si>
    <t>Rimborsi spese personale</t>
  </si>
  <si>
    <t>Pinto, Creta, D'Aloia</t>
  </si>
  <si>
    <t>Manca liberatoria del fornitore e dimostrazione del pagamento</t>
  </si>
  <si>
    <t>Dimostrazione del pagamento</t>
  </si>
  <si>
    <t>Stornata iva non ammissibile.</t>
  </si>
  <si>
    <t>SAL 6 - 01/05/06 - 31/08/06</t>
  </si>
  <si>
    <t>TOT SAL 6</t>
  </si>
  <si>
    <t>SAL 6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</si>
  <si>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</si>
  <si>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</si>
  <si>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</si>
  <si>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</si>
  <si>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</si>
  <si>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</si>
  <si>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</si>
  <si>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</si>
  <si>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</si>
  <si>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</si>
  <si>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</si>
  <si>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</si>
  <si>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</si>
  <si>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</si>
  <si>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</si>
  <si>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</si>
  <si>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</si>
  <si>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</si>
  <si>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</si>
  <si>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</si>
  <si>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</si>
  <si>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</si>
  <si>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</si>
  <si>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</si>
  <si>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</si>
  <si>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CNA PUGLIA  28</t>
  </si>
  <si>
    <t>'@ssonet</t>
  </si>
  <si>
    <t>PL6 (01/06/06-31/08/06)</t>
  </si>
  <si>
    <t>VI</t>
  </si>
  <si>
    <t>Ribezzo, Morea, Di Comite,  Merchic, Spizzico, Colagrande</t>
  </si>
  <si>
    <t>Consulenza linquistica</t>
  </si>
  <si>
    <t>Worldwide Links</t>
  </si>
  <si>
    <t>3/06</t>
  </si>
  <si>
    <t>Assegno Bancario</t>
  </si>
  <si>
    <t>Manca contratto e curruculum di Iacobazzi(180 euro x 3,25 gg)</t>
  </si>
  <si>
    <t xml:space="preserve">NOLEGGIO CONTRATTO RMO1/905 PERIODO 1/03/2006 - 30/08/2006 NOLEGGIO CONTRATTO RMO1/905 PERIODO 1/09/2005 - 28/02/2006 </t>
  </si>
  <si>
    <t>CRIPTA SISTEMI SRL</t>
  </si>
  <si>
    <t>76/2006</t>
  </si>
  <si>
    <t>75/2006</t>
  </si>
  <si>
    <t>NOLEGGIO Hardware</t>
  </si>
  <si>
    <t>a/b n. 6842/00  6843/01 mps</t>
  </si>
  <si>
    <t>Manca dimostrazione incasso assegno; Iva ammessa fuori budget  (300 euro x 72 giorni)</t>
  </si>
  <si>
    <t xml:space="preserve">Pagamento contanti </t>
  </si>
  <si>
    <t>Pagamento contanti</t>
  </si>
  <si>
    <t>VAIO A517M PM750 1,86GHZ 1 GB 100 GB DOUBLE - STARTER KIT WIRELESS ROUTER + WIRELESS ADAPTER 2</t>
  </si>
  <si>
    <t>22/2006</t>
  </si>
  <si>
    <t>SONY VAIO VGN-FS315H - WEBCAM QUICKCAM FOR NOTEBOOJ PRO -MS OFFICE 2003- BORSA PER NOTEBOOK - HD ESTERNO</t>
  </si>
  <si>
    <t>44/2006</t>
  </si>
  <si>
    <t>30/08/206</t>
  </si>
  <si>
    <t>HD ESTERNO MINI SLIM 60GB UBS 2.0 1.8 - NX9420 CORE DUO T2400 CENTRINO 17 WSXGA +POTATILE CONSOLE X CONTROLLO REMOTO FARMASERVER - OFFICE 2003- RICONFIGURAZIONE</t>
  </si>
  <si>
    <t>124/2006</t>
  </si>
  <si>
    <t>PROILANT ML570T G2, XEON MP 2 - HD 145.6 GB PROILANT ML 530 G2- CPU XEON MP 2.8 GHZ/2MB SCHEDA CONTROLLER RAID CACHE 4 CANALI</t>
  </si>
  <si>
    <t>59/2006</t>
  </si>
  <si>
    <t>Non viene data evidenza di utilizzo di procedure di gara; Manca dimostrazione incasso assegni; Manca liberatoria del fornitore; Iva fuori budget</t>
  </si>
  <si>
    <t>Add. In banca</t>
  </si>
  <si>
    <t>Add. In Banca</t>
  </si>
  <si>
    <t>Utenze Telecom</t>
  </si>
  <si>
    <t>CO. AN. S.C.A R.L</t>
  </si>
  <si>
    <t>A/B N°-4272</t>
  </si>
  <si>
    <t>A/B N°-9974</t>
  </si>
  <si>
    <t>A/B N°-6419</t>
  </si>
  <si>
    <t>A/B N°-3191</t>
  </si>
  <si>
    <t>Viale Einaudi, n°51</t>
  </si>
  <si>
    <t>GIUGNO</t>
  </si>
  <si>
    <t>LUGLIO</t>
  </si>
  <si>
    <t>Viale Einaudi, n°53</t>
  </si>
  <si>
    <t>MAGGIO</t>
  </si>
  <si>
    <t>Fitto maggio</t>
  </si>
  <si>
    <t>Fitto giugno</t>
  </si>
  <si>
    <t>Fitto Luglio</t>
  </si>
  <si>
    <t>Fitto Agosto</t>
  </si>
  <si>
    <t>AGOSTO</t>
  </si>
  <si>
    <t>Rimborso personale Ribezzo</t>
  </si>
  <si>
    <t>Rimborso personale Merchich</t>
  </si>
  <si>
    <t>Rimborso personale Di Comite</t>
  </si>
  <si>
    <t>Rimborso personale Morea</t>
  </si>
  <si>
    <t>Rimborso personale Colagrande</t>
  </si>
  <si>
    <t>Elia Valerio, Gnoni Maria, Marsella Giovanni</t>
  </si>
  <si>
    <t>N.ro 10 nominativi</t>
  </si>
  <si>
    <t>licenze software</t>
  </si>
  <si>
    <t>EXHICON I.C.T. srl</t>
  </si>
  <si>
    <t>BB</t>
  </si>
  <si>
    <t>N.ro 8 nominativi</t>
  </si>
  <si>
    <t>N.ro 6 nominativi</t>
  </si>
  <si>
    <t>N.ro 4 nominativi</t>
  </si>
  <si>
    <t>N.ro 5 nominativi</t>
  </si>
  <si>
    <t>TOT SAL 7</t>
  </si>
  <si>
    <t>SAL 7 - 01/09/06 - 31/12/06</t>
  </si>
  <si>
    <t>Dopo la correzione delle formule</t>
  </si>
  <si>
    <t>Importo pagato</t>
  </si>
  <si>
    <t>Conguaglio nel VII sal</t>
  </si>
  <si>
    <t>VII</t>
  </si>
  <si>
    <t>Conguaglio sul V sal</t>
  </si>
  <si>
    <t>Mancano i timesheet firmati dal consulente, comunque il contratto si riferisce a 3,25 gg. Max 180 euro</t>
  </si>
  <si>
    <t>PULIZIA UFFICI</t>
  </si>
  <si>
    <t>CO.AN. COOP. DI SERVIZI</t>
  </si>
  <si>
    <t>24/12/06</t>
  </si>
  <si>
    <t>ASS. BANCARIO</t>
  </si>
  <si>
    <t>24/11/2006</t>
  </si>
  <si>
    <t>30/11/2006</t>
  </si>
  <si>
    <t>24/10/2006</t>
  </si>
  <si>
    <t>02/11/2006</t>
  </si>
  <si>
    <t>24/09/2006</t>
  </si>
  <si>
    <t>03/10/2006</t>
  </si>
  <si>
    <t>CONDOMINIO-VIALE EINAUDI 51</t>
  </si>
  <si>
    <t>AGO-SETT/2006</t>
  </si>
  <si>
    <t>08/09/2006</t>
  </si>
  <si>
    <t>OTTOBRE</t>
  </si>
  <si>
    <t>4/10/2006</t>
  </si>
  <si>
    <t>06/10/2006</t>
  </si>
  <si>
    <t>NOVEMBRE</t>
  </si>
  <si>
    <t>15/11/2006</t>
  </si>
  <si>
    <t>16/11/2006</t>
  </si>
  <si>
    <t>DICEMBRE</t>
  </si>
  <si>
    <t>11/12/2006</t>
  </si>
  <si>
    <t>12/12/2006</t>
  </si>
  <si>
    <t>FITTO UFFICIO</t>
  </si>
  <si>
    <t>SETTEMBRE</t>
  </si>
  <si>
    <t>5/09/2006</t>
  </si>
  <si>
    <t>31/08/2006</t>
  </si>
  <si>
    <t>5/10/2006</t>
  </si>
  <si>
    <t>02/10/2006</t>
  </si>
  <si>
    <t>3/11/2006</t>
  </si>
  <si>
    <t>30/10/2006</t>
  </si>
  <si>
    <t>5/12/2006</t>
  </si>
  <si>
    <t>UTELENZE TELEFONICHE</t>
  </si>
  <si>
    <t>18/08/2006</t>
  </si>
  <si>
    <t>07/09/2006</t>
  </si>
  <si>
    <t>17/10/2006</t>
  </si>
  <si>
    <t>06/11/2006</t>
  </si>
  <si>
    <t>UTENZE ELETTRICHE</t>
  </si>
  <si>
    <t>27/11/2006</t>
  </si>
  <si>
    <t>14/09/2006</t>
  </si>
  <si>
    <t>UTENZE TELEFONICHE</t>
  </si>
  <si>
    <t>TELECOM ITALIA SPA</t>
  </si>
  <si>
    <t>07/08/2006</t>
  </si>
  <si>
    <t>13/09/2006</t>
  </si>
  <si>
    <t>RIMBORSO RIBEZZO P.</t>
  </si>
  <si>
    <t>RIMBORSO DI COMITE S.</t>
  </si>
  <si>
    <t>RIMBORSO  COLAGRANDE G.</t>
  </si>
  <si>
    <t>RIMBORSO ZUCCARO O.</t>
  </si>
  <si>
    <t>RIMBORSO MOREA C.</t>
  </si>
  <si>
    <t>SAL 7</t>
  </si>
  <si>
    <t>si</t>
  </si>
  <si>
    <t>Manca dichiarazione calcolo costo orario</t>
  </si>
  <si>
    <t>Affitto sede operativa Bari</t>
  </si>
  <si>
    <t xml:space="preserve">m.o.d.a </t>
  </si>
  <si>
    <t>rimborso spese traferta 30/11-01/12</t>
  </si>
  <si>
    <t>hotel Adria</t>
  </si>
  <si>
    <t>carta di credito</t>
  </si>
  <si>
    <t>pedaggi autostradali</t>
  </si>
  <si>
    <t>autostrade</t>
  </si>
  <si>
    <t>Manca la documentazione</t>
  </si>
  <si>
    <t>Smontaggio prese interbloccate presso laboratorio impianti</t>
  </si>
  <si>
    <t>Rucco impianti elettrici</t>
  </si>
  <si>
    <t>sportello - titolare medesimo</t>
  </si>
  <si>
    <t>Riunione di ricerca presso CNA Bari</t>
  </si>
  <si>
    <t>prot. 76/06</t>
  </si>
  <si>
    <t>Riunione di ricerca presso Università Sapienza di Roma</t>
  </si>
  <si>
    <t>prot. 461/06</t>
  </si>
  <si>
    <t>Riunione presso CNA Nazionale</t>
  </si>
  <si>
    <t>prot. 439/06</t>
  </si>
  <si>
    <t>n° 7 toner Prink nero per hp laserjet 5p/5mp/6p/6mp                                            n° 4 toner Prink nero per HP LJ 1160/1320</t>
  </si>
  <si>
    <t>INNOBOX s.r.l.</t>
  </si>
  <si>
    <t>Quietanza allo Sportello</t>
  </si>
  <si>
    <t>Universita' Studi Bari</t>
  </si>
  <si>
    <t>N.ro 3 nominativi</t>
  </si>
  <si>
    <t>VIII</t>
  </si>
  <si>
    <t>LIQUIDAZIONE PROVVISORIA IN ATTESA DI ISTRUTTORIA CON IL PROSSIMO SAL</t>
  </si>
  <si>
    <t>TOT SAL 8</t>
  </si>
  <si>
    <t>SAL 8</t>
  </si>
  <si>
    <t>SAL 8 - 01/01/07 - 30/04/07</t>
  </si>
  <si>
    <t>Licenza d'uso per scopi di ricerca MULTIWORDNET</t>
  </si>
  <si>
    <t>ITC-ISTITUTO TRENTINO DI CULTURA</t>
  </si>
  <si>
    <t>Bonifico Bancario</t>
  </si>
  <si>
    <t>CARTA A4 gr. 80 FABRIANO COPY2 Fg. 500</t>
  </si>
  <si>
    <t>Costanzo Ranieri</t>
  </si>
  <si>
    <t>FA 4541</t>
  </si>
  <si>
    <t>Rinnovo licenza biennale SW SIMAPRO</t>
  </si>
  <si>
    <t>2B Consulenza Ambientale</t>
  </si>
  <si>
    <t>ANALISI SOFTWARE</t>
  </si>
  <si>
    <t>CRIPTA SISTEMI S.R.L</t>
  </si>
  <si>
    <t>06/02/2007  16/01/2007</t>
  </si>
  <si>
    <t>A/B n°     -5768-01 -5767-00</t>
  </si>
  <si>
    <t>progetto di 36 + 6 + 2 mesi</t>
  </si>
  <si>
    <t>11/10/2006  11/10/2006</t>
  </si>
  <si>
    <t>A/B N. -770-03 A/B N. 769 -02</t>
  </si>
  <si>
    <t>TOT SAL 9</t>
  </si>
  <si>
    <t>SAL 9 - 01/05/07 - 31/12/07</t>
  </si>
  <si>
    <t>SAL 9</t>
  </si>
  <si>
    <t>IX</t>
  </si>
  <si>
    <t>Licenza Software SW EXCH11 - Expert Choise 11 For Win EDU</t>
  </si>
  <si>
    <t>Sistemi informativi s.r.l.</t>
  </si>
  <si>
    <t>63/V1</t>
  </si>
  <si>
    <t>Access Point wireless Linksys USB</t>
  </si>
  <si>
    <t>Infocom s.r.l.</t>
  </si>
  <si>
    <t>Adattatore</t>
  </si>
  <si>
    <t>Schermo protezione</t>
  </si>
  <si>
    <t>Lavagna magnetica 90*180 bianca</t>
  </si>
  <si>
    <t>Hard disk esterno</t>
  </si>
  <si>
    <t>Toner samsung</t>
  </si>
  <si>
    <t>Mouse wireless</t>
  </si>
  <si>
    <t>Mouse ottico n. 5</t>
  </si>
  <si>
    <t>Patch cord n. 5</t>
  </si>
  <si>
    <t>Adattatore portatile</t>
  </si>
  <si>
    <t>settembre</t>
  </si>
  <si>
    <t>ottobre</t>
  </si>
  <si>
    <t>novermbre</t>
  </si>
  <si>
    <t>dicembre</t>
  </si>
  <si>
    <t>31/08/2007</t>
  </si>
  <si>
    <t>02/10/2007</t>
  </si>
  <si>
    <t>novembre</t>
  </si>
  <si>
    <t>30/10/2007</t>
  </si>
  <si>
    <t>30/11/2007</t>
  </si>
  <si>
    <t>8065390031</t>
  </si>
  <si>
    <t>8065509619</t>
  </si>
  <si>
    <t>720350512444616</t>
  </si>
  <si>
    <t>720350512444617</t>
  </si>
  <si>
    <t>03/11/2007</t>
  </si>
  <si>
    <t>8S00992868</t>
  </si>
  <si>
    <t>8S00996785</t>
  </si>
  <si>
    <t>8S00993370</t>
  </si>
  <si>
    <t>8S00813822</t>
  </si>
  <si>
    <t>06/08/2007</t>
  </si>
  <si>
    <t>8S00816783</t>
  </si>
  <si>
    <t>8S00815287</t>
  </si>
  <si>
    <t>Realizzazione di una componente applicativa in grado di raccogliere un giudizio di gradimento espresso dagli utenti di sistema</t>
  </si>
  <si>
    <t>EXHICON I.C.T. s.r.l.</t>
  </si>
  <si>
    <t>58-2007</t>
  </si>
  <si>
    <t>Stampante SAMSUNG SCX-4720 FNC con assistenza per 24 mesi</t>
  </si>
  <si>
    <t>MC Informatica e Telec. S.r.l.</t>
  </si>
  <si>
    <t>N. 6 cartucce Toner</t>
  </si>
  <si>
    <t>Contratto manutenzione software ESRI sino al 31.12.2007</t>
  </si>
  <si>
    <t>SIT S.r.l.</t>
  </si>
  <si>
    <t>31S</t>
  </si>
  <si>
    <t>C.F.</t>
  </si>
  <si>
    <t>P.I.</t>
  </si>
  <si>
    <t>01214650507</t>
  </si>
  <si>
    <t>S.IN.TE.S.I srl</t>
  </si>
  <si>
    <t>01792020743</t>
  </si>
  <si>
    <t>04900250723</t>
  </si>
  <si>
    <t>Ribezzo, Morea, Di Comite, Zuccaro, Trotta, Perrelli, Averna, Pinto, Gadaleta, Colagrande</t>
  </si>
  <si>
    <t>n.ro 132 ore x 300 euro (39.600,00 iva inclusa) del timesheet di PERRELLI verranno stornate se non si esibisce il contratto a progetto tra Cripta e Perrelli e relativa busta paga</t>
  </si>
  <si>
    <t>8064 509945</t>
  </si>
  <si>
    <t>806 5067683</t>
  </si>
  <si>
    <t>894 742445</t>
  </si>
  <si>
    <t>Manca estratto conto 07/06;</t>
  </si>
  <si>
    <t>Indicare la percentuale di addebito sul progetto (Via Tridente 2/I !) Manca dimostrazione di pag.</t>
  </si>
  <si>
    <t>Pagamento contanti non ammesso</t>
  </si>
  <si>
    <t>Santamaria, Pellegrino</t>
  </si>
  <si>
    <t>Trattasi di licenza d'uso softw. sino al 01/01/09</t>
  </si>
  <si>
    <t>Pulvirenti, Leone, Papandrea, Mensini, Gargano, DeSantis</t>
  </si>
  <si>
    <t>FORNITURA DEL SEGUENTE MATERIALE:ROUTER CISCO, PROILANT HOT PLUG U ULTRA320; 512MB PROILANT ML530; SCHEDA CONTROLLER RAID 64MB CACHE; CPU XEON MP 2.8 GHZ/2MB; RED HAT ENTERPRICE 9.0 E; STORAGEWORKS ENCLOSURE MODEL; GRUPPO CONTINUITA'; PROCURE SWITCH; ARMADIO RACK;KVM SPLITTER MILTISERVER</t>
  </si>
  <si>
    <t>SOFTWARE ANTIVIRUS</t>
  </si>
  <si>
    <t>vedi sal VIII (consulenze)</t>
  </si>
  <si>
    <t>vedi sal VIII (infrastr. e software)</t>
  </si>
  <si>
    <t>Conguaglio post-verifica sul VIII sal</t>
  </si>
  <si>
    <t>Rubini, Piscopiello, Pugliese, Gullotta, Moscara, Miraglia</t>
  </si>
  <si>
    <t>Mancano:
Calcolo costo orario
Copia libro matricola
Copia (eventuale) co.co.pro
Timesheet mensili</t>
  </si>
  <si>
    <t>CO.FIDI Puglia scarl</t>
  </si>
  <si>
    <t>Bartoli, Tisci, Abbattista, Negro</t>
  </si>
  <si>
    <t>Semeraro, DiNanna, Annese</t>
  </si>
  <si>
    <t>Gnoni</t>
  </si>
  <si>
    <t>Frisullo, Chiriatti, Tremolizzo, Negro, Tornese, DeMaria</t>
  </si>
  <si>
    <t>Pulvirenti, Leone, Papandrea</t>
  </si>
  <si>
    <t>Mancano i documenti</t>
  </si>
  <si>
    <t>Ribezzo, Morea, Di Comite, Zuccaro, Trotta, Perrelli, Averna, Pinto, Gadaleta, Colagrande, Merchich</t>
  </si>
  <si>
    <t>Manca la dim pagamento</t>
  </si>
  <si>
    <t>Severo, Valletta, Penna</t>
  </si>
  <si>
    <t>Semeraro, DiNanna, Redavid</t>
  </si>
  <si>
    <t>Ribezzo, Morea, Di Comite, Gadaleta, Colagrande, Merchich</t>
  </si>
  <si>
    <t>CNA Interpreta srl (Fuori dal 22/02/08)</t>
  </si>
  <si>
    <t>SAL10 - 01/01/08 - 30/04/08</t>
  </si>
  <si>
    <t>TOT SAL 10</t>
  </si>
  <si>
    <t>liquidato</t>
  </si>
  <si>
    <t>&lt;---80%</t>
  </si>
  <si>
    <t>X</t>
  </si>
  <si>
    <t>Verificare</t>
  </si>
  <si>
    <t>Consulenza in materia contabile, fiscale, lavoro e contrattualistica, ambiente e sicurezza, privacy e affari generali</t>
  </si>
  <si>
    <t>CNA INTERPRETA SRL</t>
  </si>
  <si>
    <t>175/000</t>
  </si>
  <si>
    <t xml:space="preserve">Consulenza tecnica </t>
  </si>
  <si>
    <t>LUCA GIUSEPPE ANNESE</t>
  </si>
  <si>
    <t>N°1</t>
  </si>
  <si>
    <t>N.25 LICENZA SOFTWARE EW2 VERSIONE 3.0 COMPLETE DEL SERVIZIO DI MANUTENZIONE SW E ASSISTENZA AL CLIENTE</t>
  </si>
  <si>
    <t>176/000</t>
  </si>
  <si>
    <t>LICENZA SOFTWARE S.I.R -SPORTELLO ISTRUTTORE IN RETE COMPLETA DEL SERVIZIO MANUTENZIONE SW E ASSISTENZA AL CLIENTE</t>
  </si>
  <si>
    <t>177/000</t>
  </si>
  <si>
    <t>PROGETTAZIONE E REALIZZAZIONE DEL PORTALE REGIONALE E PROGETTAZIONE E REALIZZAZIONE DI PORTALE PROVINCIALE</t>
  </si>
  <si>
    <t>178/000</t>
  </si>
  <si>
    <t>720350512444618</t>
  </si>
  <si>
    <t>720350512444619</t>
  </si>
  <si>
    <t>8S51184754</t>
  </si>
  <si>
    <t>8S51180227</t>
  </si>
  <si>
    <t>8S511836355</t>
  </si>
  <si>
    <t>8S00125458</t>
  </si>
  <si>
    <t>8S00131781</t>
  </si>
  <si>
    <t>8S00131505</t>
  </si>
  <si>
    <t>Pulvirenti Salvatore rimborso spese</t>
  </si>
  <si>
    <t>Leone Eugenio rimborso spese</t>
  </si>
  <si>
    <t>Calì Federico rimborso spese</t>
  </si>
  <si>
    <t>SAL 10</t>
  </si>
  <si>
    <t>&lt;---95%</t>
  </si>
  <si>
    <t>Rubini, Piscopiello, Pugliese, Gullotta</t>
  </si>
  <si>
    <t>Frisullo, Chiriatti, Negro, Tornese</t>
  </si>
  <si>
    <t>01/05/2006 - 31/08/2006; 01/09/06-31/12/06; 01/01/07-30/04/07; 01/05-31/08/07; 01/09-31/12/07,-30/04/08</t>
  </si>
  <si>
    <t xml:space="preserve">SONY VAIO S5HP/b </t>
  </si>
  <si>
    <t>CDC SPA</t>
  </si>
  <si>
    <t>572/BA</t>
  </si>
  <si>
    <t>ASS/BPPB</t>
  </si>
  <si>
    <t>Quota software sis CNA + Remotizzazione Cna</t>
  </si>
  <si>
    <t>Centro Regionale Toscano</t>
  </si>
  <si>
    <t>Volantini F.to A/4 stampati</t>
  </si>
  <si>
    <t>Grafica 080 di Frisone Rosanna</t>
  </si>
  <si>
    <t xml:space="preserve">Blocchi f.to 21*29,7 da 25 fogli </t>
  </si>
  <si>
    <t>Volantini + inviti</t>
  </si>
  <si>
    <t>Buste stampate</t>
  </si>
  <si>
    <t>Locandine stampate</t>
  </si>
  <si>
    <t>Bigliettini</t>
  </si>
  <si>
    <t>Pieghevoli e manifesti</t>
  </si>
  <si>
    <t>Pieghevoli e buste</t>
  </si>
  <si>
    <t>Toner + etichette+risme+toner</t>
  </si>
  <si>
    <t xml:space="preserve">Corporate Express </t>
  </si>
  <si>
    <t>Toner</t>
  </si>
  <si>
    <t>Titanedi s.a.</t>
  </si>
  <si>
    <t>Registratore exp protoc. Dorso+toner laser nero+ marcatori edding</t>
  </si>
  <si>
    <t>Cancelleria + toner nero</t>
  </si>
  <si>
    <t xml:space="preserve">Cancelleria </t>
  </si>
  <si>
    <t>a/b n. 8469-09</t>
  </si>
  <si>
    <t>Post service</t>
  </si>
  <si>
    <t>a/b n. 8856-06</t>
  </si>
  <si>
    <t>Toner + cancelleria varia</t>
  </si>
  <si>
    <t>Rubitecna</t>
  </si>
  <si>
    <t>Imatca srl</t>
  </si>
  <si>
    <t>9586/A</t>
  </si>
  <si>
    <t>10145/A</t>
  </si>
  <si>
    <t>Blocchi da 25 fogli f.to 1/4 stampati</t>
  </si>
  <si>
    <t xml:space="preserve"> bonifico</t>
  </si>
  <si>
    <t xml:space="preserve">Pieghevoli f.to </t>
  </si>
  <si>
    <t>storno per liq. Errata VIII sal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</si>
</sst>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[$-410]dddd\ d\ mmmm\ yyyy"/>
    <numFmt numFmtId="175" formatCode="dd/mm/yy;@"/>
  </numFmts>
  <fonts count="23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8"/>
      <color indexed="20"/>
      <name val="Arial"/>
      <family val="2"/>
    </font>
    <font>
      <b/>
      <sz val="8"/>
      <name val="Tahoma"/>
      <family val="0"/>
    </font>
    <font>
      <sz val="8"/>
      <color indexed="57"/>
      <name val="Tahoma"/>
      <family val="2"/>
    </font>
    <font>
      <sz val="10"/>
      <color indexed="57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wrapText="1"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4" fillId="0" borderId="0" xfId="0" applyNumberFormat="1" applyFont="1" applyBorder="1" applyAlignment="1" quotePrefix="1">
      <alignment horizontal="left"/>
    </xf>
    <xf numFmtId="4" fontId="10" fillId="0" borderId="0" xfId="0" applyNumberFormat="1" applyFont="1" applyBorder="1" applyAlignment="1">
      <alignment/>
    </xf>
    <xf numFmtId="16" fontId="3" fillId="0" borderId="2" xfId="0" applyNumberFormat="1" applyFont="1" applyBorder="1" applyAlignment="1" quotePrefix="1">
      <alignment wrapText="1"/>
    </xf>
    <xf numFmtId="0" fontId="3" fillId="0" borderId="2" xfId="0" applyFont="1" applyFill="1" applyBorder="1" applyAlignment="1" quotePrefix="1">
      <alignment wrapText="1"/>
    </xf>
    <xf numFmtId="16" fontId="3" fillId="0" borderId="2" xfId="0" applyNumberFormat="1" applyFont="1" applyBorder="1" applyAlignment="1" quotePrefix="1">
      <alignment horizontal="center"/>
    </xf>
    <xf numFmtId="0" fontId="1" fillId="3" borderId="4" xfId="0" applyFont="1" applyFill="1" applyBorder="1" applyAlignment="1">
      <alignment horizontal="left"/>
    </xf>
    <xf numFmtId="4" fontId="4" fillId="0" borderId="2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 horizontal="left" wrapText="1"/>
    </xf>
    <xf numFmtId="4" fontId="2" fillId="0" borderId="5" xfId="0" applyNumberFormat="1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14" fontId="3" fillId="4" borderId="2" xfId="0" applyNumberFormat="1" applyFont="1" applyFill="1" applyBorder="1" applyAlignment="1">
      <alignment/>
    </xf>
    <xf numFmtId="14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9" fillId="5" borderId="0" xfId="0" applyFont="1" applyFill="1" applyBorder="1" applyAlignment="1">
      <alignment/>
    </xf>
    <xf numFmtId="4" fontId="4" fillId="5" borderId="1" xfId="0" applyNumberFormat="1" applyFont="1" applyFill="1" applyBorder="1" applyAlignment="1" applyProtection="1">
      <alignment horizontal="right"/>
      <protection/>
    </xf>
    <xf numFmtId="4" fontId="5" fillId="5" borderId="4" xfId="0" applyNumberFormat="1" applyFont="1" applyFill="1" applyBorder="1" applyAlignment="1" applyProtection="1">
      <alignment horizontal="right"/>
      <protection/>
    </xf>
    <xf numFmtId="4" fontId="7" fillId="5" borderId="4" xfId="0" applyNumberFormat="1" applyFont="1" applyFill="1" applyBorder="1" applyAlignment="1" applyProtection="1">
      <alignment horizontal="right"/>
      <protection/>
    </xf>
    <xf numFmtId="0" fontId="8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/>
    </xf>
    <xf numFmtId="4" fontId="4" fillId="5" borderId="2" xfId="0" applyNumberFormat="1" applyFont="1" applyFill="1" applyBorder="1" applyAlignment="1" applyProtection="1">
      <alignment horizontal="right"/>
      <protection/>
    </xf>
    <xf numFmtId="4" fontId="5" fillId="5" borderId="2" xfId="0" applyNumberFormat="1" applyFont="1" applyFill="1" applyBorder="1" applyAlignment="1" applyProtection="1">
      <alignment horizontal="right"/>
      <protection/>
    </xf>
    <xf numFmtId="4" fontId="7" fillId="5" borderId="2" xfId="0" applyNumberFormat="1" applyFont="1" applyFill="1" applyBorder="1" applyAlignment="1" applyProtection="1">
      <alignment horizontal="right"/>
      <protection/>
    </xf>
    <xf numFmtId="4" fontId="4" fillId="5" borderId="9" xfId="0" applyNumberFormat="1" applyFont="1" applyFill="1" applyBorder="1" applyAlignment="1" applyProtection="1">
      <alignment horizontal="right"/>
      <protection/>
    </xf>
    <xf numFmtId="170" fontId="3" fillId="5" borderId="2" xfId="0" applyNumberFormat="1" applyFont="1" applyFill="1" applyBorder="1" applyAlignment="1">
      <alignment/>
    </xf>
    <xf numFmtId="171" fontId="3" fillId="5" borderId="2" xfId="18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/>
    </xf>
    <xf numFmtId="4" fontId="9" fillId="5" borderId="2" xfId="0" applyNumberFormat="1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/>
    </xf>
    <xf numFmtId="4" fontId="5" fillId="5" borderId="2" xfId="0" applyNumberFormat="1" applyFont="1" applyFill="1" applyBorder="1" applyAlignment="1">
      <alignment/>
    </xf>
    <xf numFmtId="4" fontId="7" fillId="5" borderId="2" xfId="0" applyNumberFormat="1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3" fillId="4" borderId="2" xfId="0" applyFont="1" applyFill="1" applyBorder="1" applyAlignment="1" quotePrefix="1">
      <alignment wrapText="1"/>
    </xf>
    <xf numFmtId="14" fontId="3" fillId="4" borderId="2" xfId="0" applyNumberFormat="1" applyFont="1" applyFill="1" applyBorder="1" applyAlignment="1">
      <alignment wrapText="1"/>
    </xf>
    <xf numFmtId="4" fontId="3" fillId="4" borderId="2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14" fontId="3" fillId="6" borderId="2" xfId="0" applyNumberFormat="1" applyFont="1" applyFill="1" applyBorder="1" applyAlignment="1">
      <alignment/>
    </xf>
    <xf numFmtId="14" fontId="3" fillId="6" borderId="2" xfId="0" applyNumberFormat="1" applyFont="1" applyFill="1" applyBorder="1" applyAlignment="1">
      <alignment/>
    </xf>
    <xf numFmtId="4" fontId="3" fillId="6" borderId="2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9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1" fontId="3" fillId="0" borderId="9" xfId="0" applyNumberFormat="1" applyFont="1" applyBorder="1" applyAlignment="1" quotePrefix="1">
      <alignment horizontal="right" wrapText="1"/>
    </xf>
    <xf numFmtId="2" fontId="3" fillId="0" borderId="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" xfId="0" applyNumberFormat="1" applyFont="1" applyBorder="1" applyAlignment="1" quotePrefix="1">
      <alignment horizontal="right" wrapText="1"/>
    </xf>
    <xf numFmtId="14" fontId="3" fillId="0" borderId="10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 quotePrefix="1">
      <alignment horizontal="right"/>
    </xf>
    <xf numFmtId="4" fontId="3" fillId="6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horizontal="right" wrapText="1"/>
    </xf>
    <xf numFmtId="14" fontId="3" fillId="6" borderId="2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left" wrapText="1"/>
    </xf>
    <xf numFmtId="9" fontId="10" fillId="0" borderId="15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 quotePrefix="1">
      <alignment wrapText="1"/>
    </xf>
    <xf numFmtId="14" fontId="3" fillId="0" borderId="2" xfId="0" applyNumberFormat="1" applyFont="1" applyBorder="1" applyAlignment="1" quotePrefix="1">
      <alignment horizontal="right" wrapText="1"/>
    </xf>
    <xf numFmtId="0" fontId="3" fillId="0" borderId="16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wrapText="1"/>
    </xf>
    <xf numFmtId="4" fontId="3" fillId="5" borderId="3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vertical="center" wrapText="1"/>
    </xf>
    <xf numFmtId="175" fontId="3" fillId="0" borderId="9" xfId="0" applyNumberFormat="1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wrapText="1"/>
    </xf>
    <xf numFmtId="0" fontId="3" fillId="0" borderId="3" xfId="0" applyNumberFormat="1" applyFont="1" applyBorder="1" applyAlignment="1">
      <alignment horizontal="right" wrapText="1"/>
    </xf>
    <xf numFmtId="14" fontId="3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2" fontId="3" fillId="0" borderId="9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3" fillId="0" borderId="9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 horizontal="left" wrapText="1"/>
    </xf>
    <xf numFmtId="17" fontId="3" fillId="0" borderId="9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14" fontId="3" fillId="0" borderId="1" xfId="0" applyNumberFormat="1" applyFont="1" applyBorder="1" applyAlignment="1" quotePrefix="1">
      <alignment horizontal="left" wrapText="1"/>
    </xf>
    <xf numFmtId="4" fontId="3" fillId="5" borderId="2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wrapText="1"/>
    </xf>
    <xf numFmtId="4" fontId="3" fillId="5" borderId="9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vertical="justify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wrapText="1"/>
    </xf>
    <xf numFmtId="14" fontId="3" fillId="0" borderId="15" xfId="0" applyNumberFormat="1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3" fillId="0" borderId="14" xfId="0" applyFont="1" applyBorder="1" applyAlignment="1">
      <alignment vertical="justify" wrapText="1"/>
    </xf>
    <xf numFmtId="0" fontId="3" fillId="0" borderId="2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170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vertical="justify" wrapText="1"/>
    </xf>
    <xf numFmtId="0" fontId="3" fillId="0" borderId="3" xfId="0" applyFont="1" applyBorder="1" applyAlignment="1">
      <alignment/>
    </xf>
    <xf numFmtId="14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2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right"/>
    </xf>
    <xf numFmtId="14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9" xfId="0" applyNumberFormat="1" applyFont="1" applyBorder="1" applyAlignment="1" quotePrefix="1">
      <alignment horizontal="right"/>
    </xf>
    <xf numFmtId="0" fontId="3" fillId="0" borderId="14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9" xfId="0" applyNumberFormat="1" applyFont="1" applyFill="1" applyBorder="1" applyAlignment="1" quotePrefix="1">
      <alignment horizontal="right"/>
    </xf>
    <xf numFmtId="14" fontId="3" fillId="0" borderId="2" xfId="0" applyNumberFormat="1" applyFont="1" applyFill="1" applyBorder="1" applyAlignment="1">
      <alignment vertical="center"/>
    </xf>
    <xf numFmtId="14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vertical="center" wrapText="1"/>
    </xf>
    <xf numFmtId="4" fontId="3" fillId="5" borderId="3" xfId="0" applyNumberFormat="1" applyFont="1" applyFill="1" applyBorder="1" applyAlignment="1">
      <alignment/>
    </xf>
    <xf numFmtId="14" fontId="3" fillId="0" borderId="3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2" borderId="2" xfId="18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9" xfId="0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17" fillId="0" borderId="15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0" fontId="15" fillId="0" borderId="7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15" fillId="0" borderId="7" xfId="0" applyNumberFormat="1" applyFont="1" applyFill="1" applyBorder="1" applyAlignment="1">
      <alignment/>
    </xf>
    <xf numFmtId="0" fontId="17" fillId="0" borderId="8" xfId="0" applyFont="1" applyFill="1" applyBorder="1" applyAlignment="1">
      <alignment/>
    </xf>
    <xf numFmtId="4" fontId="15" fillId="0" borderId="9" xfId="0" applyNumberFormat="1" applyFont="1" applyFill="1" applyBorder="1" applyAlignment="1">
      <alignment/>
    </xf>
    <xf numFmtId="10" fontId="15" fillId="0" borderId="10" xfId="0" applyNumberFormat="1" applyFont="1" applyFill="1" applyBorder="1" applyAlignment="1">
      <alignment/>
    </xf>
    <xf numFmtId="9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16" xfId="0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18" fillId="0" borderId="2" xfId="0" applyFont="1" applyFill="1" applyBorder="1" applyAlignment="1">
      <alignment horizontal="center" vertical="center" wrapText="1"/>
    </xf>
    <xf numFmtId="10" fontId="17" fillId="0" borderId="0" xfId="0" applyNumberFormat="1" applyFont="1" applyFill="1" applyAlignment="1">
      <alignment/>
    </xf>
    <xf numFmtId="0" fontId="17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10" fontId="19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 quotePrefix="1">
      <alignment horizontal="center"/>
    </xf>
    <xf numFmtId="4" fontId="21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6" borderId="14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left" wrapText="1"/>
    </xf>
    <xf numFmtId="4" fontId="3" fillId="6" borderId="5" xfId="0" applyNumberFormat="1" applyFont="1" applyFill="1" applyBorder="1" applyAlignment="1">
      <alignment horizontal="left" wrapText="1"/>
    </xf>
    <xf numFmtId="4" fontId="3" fillId="4" borderId="14" xfId="0" applyNumberFormat="1" applyFont="1" applyFill="1" applyBorder="1" applyAlignment="1">
      <alignment horizontal="left" wrapText="1"/>
    </xf>
    <xf numFmtId="4" fontId="3" fillId="4" borderId="5" xfId="0" applyNumberFormat="1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 quotePrefix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workbookViewId="0" topLeftCell="A10">
      <selection activeCell="I23" sqref="I23"/>
    </sheetView>
  </sheetViews>
  <sheetFormatPr defaultColWidth="9.140625" defaultRowHeight="12.75"/>
  <cols>
    <col min="1" max="1" width="9.140625" style="264" customWidth="1"/>
    <col min="2" max="2" width="9.7109375" style="264" customWidth="1"/>
    <col min="3" max="3" width="9.421875" style="264" customWidth="1"/>
    <col min="4" max="4" width="11.140625" style="264" customWidth="1"/>
    <col min="5" max="5" width="10.8515625" style="264" customWidth="1"/>
    <col min="6" max="6" width="10.57421875" style="264" customWidth="1"/>
    <col min="7" max="7" width="13.28125" style="264" customWidth="1"/>
    <col min="8" max="8" width="12.8515625" style="264" customWidth="1"/>
    <col min="9" max="9" width="11.28125" style="264" customWidth="1"/>
    <col min="10" max="10" width="10.140625" style="264" customWidth="1"/>
    <col min="11" max="11" width="11.140625" style="264" customWidth="1"/>
    <col min="12" max="12" width="11.7109375" style="264" bestFit="1" customWidth="1"/>
    <col min="13" max="16384" width="9.140625" style="264" customWidth="1"/>
  </cols>
  <sheetData>
    <row r="2" spans="1:11" ht="12.75">
      <c r="A2" s="339" t="s">
        <v>452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5" spans="3:4" ht="12.75">
      <c r="C5" s="265"/>
      <c r="D5" s="265"/>
    </row>
    <row r="6" spans="1:10" ht="12.75">
      <c r="A6" s="266" t="s">
        <v>0</v>
      </c>
      <c r="B6" s="267"/>
      <c r="D6" s="268" t="s">
        <v>453</v>
      </c>
      <c r="E6" s="269"/>
      <c r="I6" s="264" t="s">
        <v>427</v>
      </c>
      <c r="J6" s="270">
        <v>38231</v>
      </c>
    </row>
    <row r="7" spans="1:10" ht="12.75">
      <c r="A7" s="271" t="s">
        <v>33</v>
      </c>
      <c r="B7" s="272"/>
      <c r="C7" s="272"/>
      <c r="D7" s="273">
        <f>+Complessivo!F2</f>
        <v>3842070.0000000005</v>
      </c>
      <c r="E7" s="274">
        <f>+Complessivo!H2</f>
        <v>0.958885072951126</v>
      </c>
      <c r="G7" s="275"/>
      <c r="I7" s="264" t="s">
        <v>428</v>
      </c>
      <c r="J7" s="270">
        <v>39569</v>
      </c>
    </row>
    <row r="8" spans="1:9" ht="12.75">
      <c r="A8" s="271" t="s">
        <v>34</v>
      </c>
      <c r="B8" s="272"/>
      <c r="C8" s="272"/>
      <c r="D8" s="273">
        <f>+Complessivo!F3</f>
        <v>2497345.5000000005</v>
      </c>
      <c r="E8" s="274">
        <f>+Complessivo!H3</f>
        <v>0.9588850729511259</v>
      </c>
      <c r="I8" s="276" t="s">
        <v>611</v>
      </c>
    </row>
    <row r="9" spans="1:5" ht="12.75">
      <c r="A9" s="271" t="s">
        <v>35</v>
      </c>
      <c r="B9" s="272"/>
      <c r="C9" s="272"/>
      <c r="D9" s="273">
        <f>+Complessivo!F4</f>
        <v>2654.4999999995343</v>
      </c>
      <c r="E9" s="274">
        <f>+Complessivo!H4</f>
        <v>26.597240323982817</v>
      </c>
    </row>
    <row r="10" spans="1:10" ht="12.75">
      <c r="A10" s="278" t="s">
        <v>36</v>
      </c>
      <c r="B10" s="265"/>
      <c r="C10" s="265"/>
      <c r="D10" s="279">
        <f>+Complessivo!F5</f>
        <v>2500000</v>
      </c>
      <c r="E10" s="280">
        <f>+Complessivo!H5</f>
        <v>0.9861078785566665</v>
      </c>
      <c r="I10" s="276" t="s">
        <v>429</v>
      </c>
      <c r="J10" s="281">
        <v>0.65</v>
      </c>
    </row>
    <row r="12" spans="4:6" ht="12.75">
      <c r="D12" s="282" t="s">
        <v>430</v>
      </c>
      <c r="E12" s="282" t="s">
        <v>431</v>
      </c>
      <c r="F12" s="282" t="s">
        <v>432</v>
      </c>
    </row>
    <row r="13" spans="1:7" ht="12.75">
      <c r="A13" s="283" t="s">
        <v>6</v>
      </c>
      <c r="B13" s="267"/>
      <c r="C13" s="267"/>
      <c r="D13" s="284">
        <f>+Complessivo!M15</f>
        <v>2765624.88</v>
      </c>
      <c r="E13" s="285">
        <f>+Complessivo!M26</f>
        <v>-14282.655399999901</v>
      </c>
      <c r="F13" s="273">
        <f>+D13-E13</f>
        <v>2779907.5354</v>
      </c>
      <c r="G13" s="287"/>
    </row>
    <row r="14" spans="1:7" ht="12.75">
      <c r="A14" s="271" t="s">
        <v>7</v>
      </c>
      <c r="B14" s="272"/>
      <c r="C14" s="272"/>
      <c r="D14" s="273">
        <f>+Complessivo!M171</f>
        <v>245366.74</v>
      </c>
      <c r="E14" s="277">
        <f>+Complessivo!M182</f>
        <v>56172.340000000026</v>
      </c>
      <c r="F14" s="273">
        <f aca="true" t="shared" si="0" ref="F14:F19">+D14-E14</f>
        <v>189194.39999999997</v>
      </c>
      <c r="G14" s="287"/>
    </row>
    <row r="15" spans="1:7" ht="12.75">
      <c r="A15" s="271" t="s">
        <v>1</v>
      </c>
      <c r="B15" s="272"/>
      <c r="C15" s="272"/>
      <c r="D15" s="273">
        <f>+Complessivo!M204</f>
        <v>0</v>
      </c>
      <c r="E15" s="277">
        <f>+Complessivo!M215</f>
        <v>0</v>
      </c>
      <c r="F15" s="273">
        <f t="shared" si="0"/>
        <v>0</v>
      </c>
      <c r="G15" s="287"/>
    </row>
    <row r="16" spans="1:7" ht="12.75">
      <c r="A16" s="271" t="s">
        <v>8</v>
      </c>
      <c r="B16" s="272"/>
      <c r="C16" s="272"/>
      <c r="D16" s="273">
        <f>+Complessivo!M221</f>
        <v>329505.6</v>
      </c>
      <c r="E16" s="277">
        <f>+Complessivo!M232</f>
        <v>54917.59999999998</v>
      </c>
      <c r="F16" s="273">
        <f t="shared" si="0"/>
        <v>274588</v>
      </c>
      <c r="G16" s="287"/>
    </row>
    <row r="17" spans="1:7" ht="12.75">
      <c r="A17" s="271" t="s">
        <v>23</v>
      </c>
      <c r="B17" s="272"/>
      <c r="C17" s="272"/>
      <c r="D17" s="273">
        <f>+Complessivo!M256</f>
        <v>0</v>
      </c>
      <c r="E17" s="277">
        <f>+Complessivo!M267</f>
        <v>0</v>
      </c>
      <c r="F17" s="273">
        <f t="shared" si="0"/>
        <v>0</v>
      </c>
      <c r="G17" s="287"/>
    </row>
    <row r="18" spans="1:7" ht="12.75">
      <c r="A18" s="271" t="s">
        <v>9</v>
      </c>
      <c r="B18" s="272"/>
      <c r="C18" s="272"/>
      <c r="D18" s="273">
        <f>+Complessivo!M275</f>
        <v>257493.18</v>
      </c>
      <c r="E18" s="277">
        <f>+Complessivo!M286</f>
        <v>51908.659999999974</v>
      </c>
      <c r="F18" s="273">
        <f t="shared" si="0"/>
        <v>205584.52000000002</v>
      </c>
      <c r="G18" s="287"/>
    </row>
    <row r="19" spans="1:8" ht="12.75">
      <c r="A19" s="278" t="s">
        <v>10</v>
      </c>
      <c r="B19" s="265"/>
      <c r="C19" s="265"/>
      <c r="D19" s="279">
        <f>+Complessivo!M305</f>
        <v>244079.6</v>
      </c>
      <c r="E19" s="286">
        <f>+Complessivo!M316</f>
        <v>9250.483166666687</v>
      </c>
      <c r="F19" s="273">
        <f t="shared" si="0"/>
        <v>234829.11683333333</v>
      </c>
      <c r="G19" s="287"/>
      <c r="H19" s="275"/>
    </row>
    <row r="20" spans="4:12" ht="12.75">
      <c r="D20" s="287">
        <f>SUM(D13:D19)</f>
        <v>3842070.0000000005</v>
      </c>
      <c r="E20" s="287">
        <f>SUM(E13:E19)</f>
        <v>157966.42776666675</v>
      </c>
      <c r="F20" s="287">
        <f>SUM(F13:F19)</f>
        <v>3684103.5722333333</v>
      </c>
      <c r="G20" s="287"/>
      <c r="L20" s="275"/>
    </row>
    <row r="22" spans="4:12" ht="21">
      <c r="D22" s="288" t="s">
        <v>21</v>
      </c>
      <c r="E22" s="288" t="s">
        <v>433</v>
      </c>
      <c r="F22" s="288" t="s">
        <v>434</v>
      </c>
      <c r="G22" s="288" t="s">
        <v>22</v>
      </c>
      <c r="H22" s="288" t="s">
        <v>88</v>
      </c>
      <c r="I22" s="288" t="s">
        <v>435</v>
      </c>
      <c r="J22" s="288" t="s">
        <v>436</v>
      </c>
      <c r="K22" s="288" t="s">
        <v>437</v>
      </c>
      <c r="L22" s="282" t="s">
        <v>701</v>
      </c>
    </row>
    <row r="23" spans="1:12" ht="12.75">
      <c r="A23" s="264" t="s">
        <v>438</v>
      </c>
      <c r="D23" s="287">
        <f>+Complessivo!M2</f>
        <v>3684103.5722333333</v>
      </c>
      <c r="E23" s="287">
        <f>+Complessivo!N2</f>
        <v>108619.03760000001</v>
      </c>
      <c r="F23" s="287">
        <f>+Complessivo!O2</f>
        <v>3792722.609833333</v>
      </c>
      <c r="G23" s="287">
        <f>+Complessivo!P2</f>
        <v>2394667.3219516664</v>
      </c>
      <c r="H23" s="287">
        <f>+Complessivo!Q2</f>
        <v>70602.37444</v>
      </c>
      <c r="I23" s="287">
        <f>+Complessivo!R2</f>
        <v>2465269.6963916663</v>
      </c>
      <c r="J23" s="287">
        <f>+Complessivo!S2</f>
        <v>749203.51</v>
      </c>
      <c r="K23" s="287">
        <f>+Complessivo!T2</f>
        <v>1716066.1863916665</v>
      </c>
      <c r="L23" s="287">
        <v>749203.51</v>
      </c>
    </row>
    <row r="24" spans="1:12" ht="12.75">
      <c r="A24" s="275" t="s">
        <v>39</v>
      </c>
      <c r="B24" s="275"/>
      <c r="D24" s="287">
        <f>+Complessivo!M3</f>
        <v>241550.03</v>
      </c>
      <c r="E24" s="287">
        <f>+Complessivo!N3</f>
        <v>0</v>
      </c>
      <c r="F24" s="287">
        <f>+Complessivo!O3</f>
        <v>241550.03</v>
      </c>
      <c r="G24" s="287">
        <f>+Complessivo!P3</f>
        <v>157007.51950000002</v>
      </c>
      <c r="H24" s="287">
        <f>+Complessivo!Q3</f>
        <v>0</v>
      </c>
      <c r="I24" s="287">
        <f>+Complessivo!R3</f>
        <v>157007.51950000002</v>
      </c>
      <c r="J24" s="287">
        <f>+Complessivo!S3</f>
        <v>58877.81981250001</v>
      </c>
      <c r="K24" s="287">
        <f>+Complessivo!T3</f>
        <v>98129.69968750003</v>
      </c>
      <c r="L24" s="287">
        <v>98129.69968750003</v>
      </c>
    </row>
    <row r="25" spans="1:12" ht="12.75">
      <c r="A25" s="275" t="s">
        <v>114</v>
      </c>
      <c r="B25" s="287"/>
      <c r="D25" s="287">
        <f>+Complessivo!M4</f>
        <v>195351.37000000002</v>
      </c>
      <c r="E25" s="287">
        <f>+Complessivo!N4</f>
        <v>0</v>
      </c>
      <c r="F25" s="287">
        <f>+Complessivo!O4</f>
        <v>195351.37000000002</v>
      </c>
      <c r="G25" s="287">
        <f>+Complessivo!P4</f>
        <v>126978.39050000002</v>
      </c>
      <c r="H25" s="287">
        <f>+Complessivo!Q4</f>
        <v>0</v>
      </c>
      <c r="I25" s="287">
        <f>+Complessivo!R4</f>
        <v>126978.39050000002</v>
      </c>
      <c r="J25" s="287">
        <f>+Complessivo!S4</f>
        <v>47616.89643750001</v>
      </c>
      <c r="K25" s="287">
        <f>+Complessivo!T4</f>
        <v>79361.4940625</v>
      </c>
      <c r="L25" s="287">
        <v>79361.4940625</v>
      </c>
    </row>
    <row r="26" spans="1:12" ht="12.75">
      <c r="A26" s="275" t="s">
        <v>115</v>
      </c>
      <c r="B26" s="287"/>
      <c r="D26" s="287">
        <f>+Complessivo!M5</f>
        <v>230177.01</v>
      </c>
      <c r="E26" s="287">
        <f>+Complessivo!N5</f>
        <v>3157.2</v>
      </c>
      <c r="F26" s="287">
        <f>+Complessivo!O5</f>
        <v>233334.21000000002</v>
      </c>
      <c r="G26" s="287">
        <f>+Complessivo!P5</f>
        <v>149615.0565</v>
      </c>
      <c r="H26" s="287">
        <f>+Complessivo!Q5</f>
        <v>2052.18</v>
      </c>
      <c r="I26" s="287">
        <f>+Complessivo!R5</f>
        <v>151667.2365</v>
      </c>
      <c r="J26" s="287">
        <f>+Complessivo!S5</f>
        <v>56875.2136875</v>
      </c>
      <c r="K26" s="287">
        <f>+Complessivo!T5</f>
        <v>94792.02281250001</v>
      </c>
      <c r="L26" s="287">
        <v>94792.02281250001</v>
      </c>
    </row>
    <row r="27" spans="1:12" ht="12.75">
      <c r="A27" s="275" t="s">
        <v>244</v>
      </c>
      <c r="B27" s="287"/>
      <c r="D27" s="287">
        <f>+Complessivo!M6</f>
        <v>333129.5061666667</v>
      </c>
      <c r="E27" s="287">
        <f>+Complessivo!N6</f>
        <v>900.3</v>
      </c>
      <c r="F27" s="287">
        <f>+Complessivo!O6</f>
        <v>334029.8061666666</v>
      </c>
      <c r="G27" s="287">
        <f>+Complessivo!P6</f>
        <v>216534.1790083333</v>
      </c>
      <c r="H27" s="287">
        <f>+Complessivo!Q6</f>
        <v>585.195</v>
      </c>
      <c r="I27" s="287">
        <f>+Complessivo!R6</f>
        <v>217119.3740083333</v>
      </c>
      <c r="J27" s="287">
        <f>+Complessivo!S6</f>
        <v>81419.765253125</v>
      </c>
      <c r="K27" s="287">
        <f>+Complessivo!T6</f>
        <v>135699.60875520832</v>
      </c>
      <c r="L27" s="287">
        <v>135699.60875520832</v>
      </c>
    </row>
    <row r="28" spans="1:12" ht="12.75">
      <c r="A28" s="275" t="s">
        <v>359</v>
      </c>
      <c r="B28" s="287"/>
      <c r="D28" s="287">
        <f>+Complessivo!M7</f>
        <v>346287.0520833334</v>
      </c>
      <c r="E28" s="287">
        <f>+Complessivo!N7</f>
        <v>0</v>
      </c>
      <c r="F28" s="287">
        <f>+Complessivo!O7</f>
        <v>346287.0520833334</v>
      </c>
      <c r="G28" s="287">
        <f>+Complessivo!P7</f>
        <v>225086.58385416667</v>
      </c>
      <c r="H28" s="287">
        <f>+Complessivo!Q7</f>
        <v>0</v>
      </c>
      <c r="I28" s="287">
        <f>+Complessivo!R7</f>
        <v>225086.58385416667</v>
      </c>
      <c r="J28" s="287">
        <f>+Complessivo!S7</f>
        <v>84407.4689453125</v>
      </c>
      <c r="K28" s="287">
        <f>+Complessivo!T7</f>
        <v>140679.1149088542</v>
      </c>
      <c r="L28" s="287">
        <v>140679.1149088542</v>
      </c>
    </row>
    <row r="29" spans="1:12" ht="12.75">
      <c r="A29" s="275" t="s">
        <v>424</v>
      </c>
      <c r="B29" s="287"/>
      <c r="D29" s="287">
        <f>+Complessivo!M8</f>
        <v>406597.463</v>
      </c>
      <c r="E29" s="287">
        <f>+Complessivo!N8</f>
        <v>16291.0525</v>
      </c>
      <c r="F29" s="287">
        <f>+Complessivo!O8</f>
        <v>422888.5155</v>
      </c>
      <c r="G29" s="287">
        <f>+Complessivo!P8</f>
        <v>264288.35094999993</v>
      </c>
      <c r="H29" s="287">
        <f>+Complessivo!Q8</f>
        <v>10589.184125</v>
      </c>
      <c r="I29" s="287">
        <f>+Complessivo!R8</f>
        <v>274877.5350749999</v>
      </c>
      <c r="J29" s="287">
        <f>+Complessivo!S8</f>
        <v>103079.075653125</v>
      </c>
      <c r="K29" s="287">
        <f>+Complessivo!T8</f>
        <v>171798.45942187498</v>
      </c>
      <c r="L29" s="287">
        <v>171798.45942187498</v>
      </c>
    </row>
    <row r="30" spans="1:12" ht="12.75">
      <c r="A30" s="275" t="str">
        <f>+Complessivo!C9</f>
        <v>SAL 7 - 01/09/06 - 31/12/06</v>
      </c>
      <c r="B30" s="287"/>
      <c r="D30" s="287">
        <f>+Complessivo!M9</f>
        <v>442201.5825833332</v>
      </c>
      <c r="E30" s="287">
        <f>+Complessivo!N9</f>
        <v>1340.6072999999997</v>
      </c>
      <c r="F30" s="287">
        <f>+Complessivo!O9</f>
        <v>443542.18988333317</v>
      </c>
      <c r="G30" s="287">
        <f>+Complessivo!P9</f>
        <v>287431.0286791667</v>
      </c>
      <c r="H30" s="287">
        <f>+Complessivo!Q9</f>
        <v>871.394745</v>
      </c>
      <c r="I30" s="287">
        <f>+Complessivo!R9</f>
        <v>288302.4234241667</v>
      </c>
      <c r="J30" s="287">
        <f>+Complessivo!S9</f>
        <v>108113.4087840625</v>
      </c>
      <c r="K30" s="287">
        <f>+Complessivo!T9</f>
        <v>180189.01464010417</v>
      </c>
      <c r="L30" s="287">
        <v>180189.01464010417</v>
      </c>
    </row>
    <row r="31" spans="1:12" ht="12.75">
      <c r="A31" s="275" t="str">
        <f>+Complessivo!C10</f>
        <v>SAL 8 - 01/01/07 - 30/04/07</v>
      </c>
      <c r="B31" s="287"/>
      <c r="D31" s="287">
        <f>+Complessivo!M10</f>
        <v>392536.83</v>
      </c>
      <c r="E31" s="287">
        <f>+Complessivo!N10</f>
        <v>9262.4</v>
      </c>
      <c r="F31" s="287">
        <f>+Complessivo!O10</f>
        <v>401799.23000000004</v>
      </c>
      <c r="G31" s="287">
        <f>+Complessivo!P10</f>
        <v>255148.93949999998</v>
      </c>
      <c r="H31" s="287">
        <f>+Complessivo!Q10</f>
        <v>6020.56</v>
      </c>
      <c r="I31" s="287">
        <f>+Complessivo!R10</f>
        <v>261169.49949999998</v>
      </c>
      <c r="J31" s="287">
        <f>+Complessivo!S10</f>
        <v>97938.56231249998</v>
      </c>
      <c r="K31" s="287">
        <f>+Complessivo!T10</f>
        <v>163230.93718749998</v>
      </c>
      <c r="L31" s="287">
        <v>163230.93718749998</v>
      </c>
    </row>
    <row r="32" spans="1:13" ht="12.75">
      <c r="A32" s="275" t="str">
        <f>+Complessivo!C11</f>
        <v>SAL 9 - 01/05/07 - 31/12/07</v>
      </c>
      <c r="B32" s="287"/>
      <c r="D32" s="287">
        <f>+Complessivo!M11</f>
        <v>602128.7039</v>
      </c>
      <c r="E32" s="287">
        <f>+Complessivo!N11</f>
        <v>15432.5078</v>
      </c>
      <c r="F32" s="287">
        <f>+Complessivo!O11</f>
        <v>617561.2117</v>
      </c>
      <c r="G32" s="287">
        <f>+Complessivo!P11</f>
        <v>391383.657535</v>
      </c>
      <c r="H32" s="287">
        <f>+Complessivo!Q11</f>
        <v>10031.13007</v>
      </c>
      <c r="I32" s="287">
        <f>+Complessivo!R11</f>
        <v>401414.787605</v>
      </c>
      <c r="J32" s="287">
        <f>+Complessivo!S11</f>
        <v>110875.29911437506</v>
      </c>
      <c r="K32" s="287">
        <f>+Complessivo!T11</f>
        <v>290539.48849062494</v>
      </c>
      <c r="L32" s="287">
        <v>16312.53852395853</v>
      </c>
      <c r="M32" s="281" t="s">
        <v>702</v>
      </c>
    </row>
    <row r="33" spans="1:14" ht="12.75">
      <c r="A33" s="275" t="str">
        <f>+Complessivo!C12</f>
        <v>SAL10 - 01/01/08 - 30/04/08</v>
      </c>
      <c r="B33" s="287"/>
      <c r="D33" s="287">
        <f>+Complessivo!M12</f>
        <v>494144.0245</v>
      </c>
      <c r="E33" s="287">
        <f>+Complessivo!N12</f>
        <v>62234.97000000001</v>
      </c>
      <c r="F33" s="287">
        <f>+Complessivo!O12</f>
        <v>556378.9945</v>
      </c>
      <c r="G33" s="287">
        <f>+Complessivo!P12</f>
        <v>321193.615925</v>
      </c>
      <c r="H33" s="287">
        <f>+Complessivo!Q12</f>
        <v>40452.7305</v>
      </c>
      <c r="I33" s="287">
        <f>+Complessivo!R12</f>
        <v>361646.346425</v>
      </c>
      <c r="J33" s="287">
        <f>+Complessivo!S12</f>
        <v>0</v>
      </c>
      <c r="K33" s="287">
        <f>+Complessivo!T12</f>
        <v>361646.346425</v>
      </c>
      <c r="L33" s="273">
        <f>2231996.37689167*0.95-SUM(L23:L32)</f>
        <v>291000.1580470856</v>
      </c>
      <c r="M33" s="281" t="s">
        <v>729</v>
      </c>
      <c r="N33" s="272"/>
    </row>
    <row r="34" spans="1:12" ht="12.75">
      <c r="A34" s="275"/>
      <c r="B34" s="287"/>
      <c r="D34" s="287"/>
      <c r="E34" s="287"/>
      <c r="F34" s="287"/>
      <c r="G34" s="287"/>
      <c r="H34" s="287"/>
      <c r="I34" s="287"/>
      <c r="J34" s="287"/>
      <c r="K34" s="296"/>
      <c r="L34" s="401">
        <f>SUM(L23:L33)</f>
        <v>2120396.558047086</v>
      </c>
    </row>
    <row r="35" spans="1:12" ht="12.75">
      <c r="A35" s="275"/>
      <c r="B35" s="287"/>
      <c r="D35" s="287"/>
      <c r="E35" s="287"/>
      <c r="F35" s="287"/>
      <c r="G35" s="287"/>
      <c r="H35" s="287"/>
      <c r="I35" s="287"/>
      <c r="J35" s="287"/>
      <c r="K35" s="296"/>
      <c r="L35" s="275"/>
    </row>
    <row r="36" spans="5:11" ht="12.75">
      <c r="E36" s="289"/>
      <c r="K36" s="275"/>
    </row>
    <row r="37" ht="12.75">
      <c r="E37" s="289"/>
    </row>
    <row r="38" spans="1:11" ht="38.25">
      <c r="A38" s="332" t="s">
        <v>439</v>
      </c>
      <c r="B38" s="333"/>
      <c r="C38" s="333"/>
      <c r="D38" s="333"/>
      <c r="E38" s="333"/>
      <c r="F38" s="333"/>
      <c r="G38" s="333"/>
      <c r="H38" s="334"/>
      <c r="I38" s="290" t="s">
        <v>440</v>
      </c>
      <c r="J38" s="290" t="s">
        <v>441</v>
      </c>
      <c r="K38" s="291" t="s">
        <v>442</v>
      </c>
    </row>
    <row r="39" spans="1:11" ht="12.75">
      <c r="A39" s="272" t="s">
        <v>40</v>
      </c>
      <c r="B39" s="272"/>
      <c r="C39" s="272"/>
      <c r="D39" s="294" t="s">
        <v>662</v>
      </c>
      <c r="E39" s="343">
        <v>80026120727</v>
      </c>
      <c r="F39" s="343"/>
      <c r="G39" s="297"/>
      <c r="H39" s="272"/>
      <c r="I39" s="263" t="s">
        <v>570</v>
      </c>
      <c r="J39" s="340"/>
      <c r="K39" s="272"/>
    </row>
    <row r="40" spans="1:11" ht="12.75">
      <c r="A40" s="272" t="s">
        <v>130</v>
      </c>
      <c r="B40" s="272"/>
      <c r="C40" s="272"/>
      <c r="D40" s="294" t="s">
        <v>662</v>
      </c>
      <c r="E40" s="344"/>
      <c r="F40" s="344"/>
      <c r="G40" s="297"/>
      <c r="H40" s="272"/>
      <c r="I40" s="263"/>
      <c r="J40" s="341"/>
      <c r="K40" s="272"/>
    </row>
    <row r="41" spans="1:11" ht="12.75">
      <c r="A41" s="272" t="s">
        <v>686</v>
      </c>
      <c r="B41" s="272"/>
      <c r="C41" s="272"/>
      <c r="D41" s="294" t="s">
        <v>663</v>
      </c>
      <c r="E41" s="345" t="s">
        <v>667</v>
      </c>
      <c r="F41" s="344"/>
      <c r="G41" s="297"/>
      <c r="H41" s="272"/>
      <c r="I41" s="263"/>
      <c r="J41" s="341"/>
      <c r="K41" s="272"/>
    </row>
    <row r="42" spans="1:11" ht="12.75">
      <c r="A42" s="272" t="s">
        <v>41</v>
      </c>
      <c r="B42" s="272"/>
      <c r="C42" s="272"/>
      <c r="D42" s="294" t="s">
        <v>663</v>
      </c>
      <c r="E42" s="345" t="s">
        <v>664</v>
      </c>
      <c r="F42" s="344"/>
      <c r="G42" s="297"/>
      <c r="H42" s="272"/>
      <c r="I42" s="263"/>
      <c r="J42" s="341"/>
      <c r="K42" s="272"/>
    </row>
    <row r="43" spans="1:11" ht="12.75">
      <c r="A43" s="272" t="s">
        <v>83</v>
      </c>
      <c r="B43" s="272"/>
      <c r="C43" s="272"/>
      <c r="D43" s="294" t="s">
        <v>662</v>
      </c>
      <c r="E43" s="344">
        <v>80016670756</v>
      </c>
      <c r="F43" s="344"/>
      <c r="G43" s="297"/>
      <c r="H43" s="272"/>
      <c r="I43" s="263"/>
      <c r="J43" s="341"/>
      <c r="K43" s="272"/>
    </row>
    <row r="44" spans="1:11" ht="12.75">
      <c r="A44" s="272" t="s">
        <v>134</v>
      </c>
      <c r="B44" s="272"/>
      <c r="C44" s="272"/>
      <c r="D44" s="294" t="s">
        <v>662</v>
      </c>
      <c r="E44" s="344"/>
      <c r="F44" s="344"/>
      <c r="G44" s="297"/>
      <c r="H44" s="272"/>
      <c r="I44" s="263"/>
      <c r="J44" s="341"/>
      <c r="K44" s="272"/>
    </row>
    <row r="45" spans="1:11" ht="12.75">
      <c r="A45" s="272" t="s">
        <v>42</v>
      </c>
      <c r="B45" s="272"/>
      <c r="C45" s="272"/>
      <c r="D45" s="294" t="s">
        <v>662</v>
      </c>
      <c r="E45" s="344"/>
      <c r="F45" s="344"/>
      <c r="G45" s="297"/>
      <c r="H45" s="272"/>
      <c r="I45" s="263"/>
      <c r="J45" s="341"/>
      <c r="K45" s="272"/>
    </row>
    <row r="46" spans="1:11" ht="12.75">
      <c r="A46" s="272" t="s">
        <v>43</v>
      </c>
      <c r="B46" s="272"/>
      <c r="C46" s="272"/>
      <c r="D46" s="294" t="s">
        <v>662</v>
      </c>
      <c r="E46" s="344">
        <v>80003830710</v>
      </c>
      <c r="F46" s="344"/>
      <c r="G46" s="297"/>
      <c r="H46" s="272"/>
      <c r="I46" s="263"/>
      <c r="J46" s="341"/>
      <c r="K46" s="272"/>
    </row>
    <row r="47" spans="1:11" ht="12.75">
      <c r="A47" s="272" t="s">
        <v>44</v>
      </c>
      <c r="B47" s="272"/>
      <c r="C47" s="272"/>
      <c r="D47" s="294" t="s">
        <v>662</v>
      </c>
      <c r="E47" s="346">
        <v>80008280747</v>
      </c>
      <c r="F47" s="346"/>
      <c r="G47" s="297"/>
      <c r="H47" s="272"/>
      <c r="I47" s="263"/>
      <c r="J47" s="341"/>
      <c r="K47" s="272"/>
    </row>
    <row r="48" spans="1:11" ht="12.75">
      <c r="A48" s="272" t="s">
        <v>45</v>
      </c>
      <c r="B48" s="272"/>
      <c r="C48" s="272"/>
      <c r="D48" s="294" t="s">
        <v>662</v>
      </c>
      <c r="E48" s="344">
        <v>80017240757</v>
      </c>
      <c r="F48" s="344"/>
      <c r="G48" s="297"/>
      <c r="H48" s="272"/>
      <c r="I48" s="263"/>
      <c r="J48" s="341"/>
      <c r="K48" s="272"/>
    </row>
    <row r="49" spans="1:11" ht="12.75">
      <c r="A49" s="272" t="s">
        <v>124</v>
      </c>
      <c r="B49" s="272"/>
      <c r="C49" s="272"/>
      <c r="D49" s="294" t="s">
        <v>662</v>
      </c>
      <c r="E49" s="344"/>
      <c r="F49" s="344"/>
      <c r="G49" s="297"/>
      <c r="H49" s="272"/>
      <c r="I49" s="263"/>
      <c r="J49" s="341"/>
      <c r="K49" s="272"/>
    </row>
    <row r="50" spans="1:11" ht="12.75">
      <c r="A50" s="272" t="s">
        <v>46</v>
      </c>
      <c r="B50" s="272"/>
      <c r="C50" s="272"/>
      <c r="D50" s="294" t="s">
        <v>662</v>
      </c>
      <c r="E50" s="344"/>
      <c r="F50" s="344"/>
      <c r="G50" s="297"/>
      <c r="H50" s="272"/>
      <c r="I50" s="263"/>
      <c r="J50" s="341"/>
      <c r="K50" s="272"/>
    </row>
    <row r="51" spans="1:11" ht="12.75">
      <c r="A51" s="272" t="s">
        <v>698</v>
      </c>
      <c r="B51" s="272"/>
      <c r="C51" s="272"/>
      <c r="D51" s="294"/>
      <c r="E51" s="344"/>
      <c r="F51" s="344"/>
      <c r="G51" s="297"/>
      <c r="H51" s="272"/>
      <c r="I51" s="263"/>
      <c r="J51" s="341"/>
      <c r="K51" s="272"/>
    </row>
    <row r="52" spans="1:11" ht="12.75">
      <c r="A52" s="272" t="s">
        <v>665</v>
      </c>
      <c r="B52" s="272"/>
      <c r="C52" s="272"/>
      <c r="D52" s="294" t="s">
        <v>663</v>
      </c>
      <c r="E52" s="345" t="s">
        <v>666</v>
      </c>
      <c r="F52" s="344"/>
      <c r="G52" s="297"/>
      <c r="H52" s="272"/>
      <c r="I52" s="263"/>
      <c r="J52" s="341"/>
      <c r="K52" s="272"/>
    </row>
    <row r="53" spans="1:11" ht="12.75">
      <c r="A53" s="272"/>
      <c r="B53" s="272"/>
      <c r="C53" s="272"/>
      <c r="D53" s="294"/>
      <c r="E53" s="295"/>
      <c r="F53" s="293"/>
      <c r="G53" s="298"/>
      <c r="H53" s="272"/>
      <c r="I53" s="263"/>
      <c r="J53" s="341"/>
      <c r="K53" s="272"/>
    </row>
    <row r="54" spans="1:11" ht="12.75">
      <c r="A54" s="272"/>
      <c r="B54" s="272"/>
      <c r="C54" s="272"/>
      <c r="D54" s="272"/>
      <c r="E54" s="272"/>
      <c r="F54" s="272"/>
      <c r="G54" s="298"/>
      <c r="H54" s="299"/>
      <c r="I54" s="263"/>
      <c r="J54" s="341"/>
      <c r="K54" s="272"/>
    </row>
    <row r="55" ht="12.75">
      <c r="E55" s="289"/>
    </row>
    <row r="56" spans="1:11" ht="12.75">
      <c r="A56" s="342" t="s">
        <v>443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</row>
    <row r="59" spans="1:11" ht="23.25" customHeight="1">
      <c r="A59" s="335" t="s">
        <v>444</v>
      </c>
      <c r="B59" s="335"/>
      <c r="C59" s="335"/>
      <c r="D59" s="335"/>
      <c r="E59" s="335"/>
      <c r="F59" s="335"/>
      <c r="G59" s="336" t="s">
        <v>732</v>
      </c>
      <c r="H59" s="337"/>
      <c r="I59" s="337"/>
      <c r="J59" s="337"/>
      <c r="K59" s="338"/>
    </row>
    <row r="60" spans="1:11" ht="25.5" customHeight="1">
      <c r="A60" s="335" t="s">
        <v>445</v>
      </c>
      <c r="B60" s="335"/>
      <c r="C60" s="335"/>
      <c r="D60" s="335"/>
      <c r="E60" s="335"/>
      <c r="F60" s="335"/>
      <c r="G60" s="331"/>
      <c r="H60" s="331"/>
      <c r="I60" s="331"/>
      <c r="J60" s="331"/>
      <c r="K60" s="331"/>
    </row>
    <row r="61" spans="1:11" ht="23.25" customHeight="1">
      <c r="A61" s="335" t="s">
        <v>446</v>
      </c>
      <c r="B61" s="335"/>
      <c r="C61" s="335"/>
      <c r="D61" s="335"/>
      <c r="E61" s="335"/>
      <c r="F61" s="335"/>
      <c r="G61" s="332" t="s">
        <v>454</v>
      </c>
      <c r="H61" s="333"/>
      <c r="I61" s="333"/>
      <c r="J61" s="333"/>
      <c r="K61" s="334"/>
    </row>
    <row r="62" ht="26.25" customHeight="1">
      <c r="A62" s="264" t="s">
        <v>447</v>
      </c>
    </row>
    <row r="63" spans="1:11" ht="12.7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</row>
    <row r="64" spans="1:11" ht="24.7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</row>
    <row r="65" spans="1:11" ht="24.75" customHeight="1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</row>
    <row r="66" spans="1:11" ht="24.75" customHeight="1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</row>
    <row r="67" spans="1:11" ht="24.75" customHeight="1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</row>
    <row r="68" spans="1:11" ht="12.7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</row>
    <row r="69" spans="1:11" ht="12.7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</row>
    <row r="70" spans="1:11" ht="12.7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</row>
    <row r="72" spans="1:9" ht="12.75">
      <c r="A72" s="331" t="s">
        <v>448</v>
      </c>
      <c r="B72" s="331"/>
      <c r="C72" s="331"/>
      <c r="D72" s="331" t="s">
        <v>449</v>
      </c>
      <c r="E72" s="331"/>
      <c r="F72" s="331"/>
      <c r="G72" s="331" t="s">
        <v>450</v>
      </c>
      <c r="H72" s="331"/>
      <c r="I72" s="331"/>
    </row>
    <row r="73" spans="1:9" ht="23.25" customHeight="1">
      <c r="A73" s="331"/>
      <c r="B73" s="331"/>
      <c r="C73" s="331"/>
      <c r="D73" s="332" t="s">
        <v>451</v>
      </c>
      <c r="E73" s="333"/>
      <c r="F73" s="334"/>
      <c r="G73" s="331"/>
      <c r="H73" s="331"/>
      <c r="I73" s="331"/>
    </row>
    <row r="74" spans="1:9" ht="23.25" customHeight="1">
      <c r="A74" s="331"/>
      <c r="B74" s="331"/>
      <c r="C74" s="331"/>
      <c r="D74" s="331"/>
      <c r="E74" s="331"/>
      <c r="F74" s="331"/>
      <c r="G74" s="331"/>
      <c r="H74" s="331"/>
      <c r="I74" s="331"/>
    </row>
    <row r="75" spans="1:9" ht="23.25" customHeight="1">
      <c r="A75" s="331"/>
      <c r="B75" s="331"/>
      <c r="C75" s="331"/>
      <c r="D75" s="331"/>
      <c r="E75" s="331"/>
      <c r="F75" s="331"/>
      <c r="G75" s="331"/>
      <c r="H75" s="331"/>
      <c r="I75" s="331"/>
    </row>
  </sheetData>
  <sheetProtection/>
  <mergeCells count="36">
    <mergeCell ref="E49:F49"/>
    <mergeCell ref="E50:F50"/>
    <mergeCell ref="E51:F51"/>
    <mergeCell ref="E52:F52"/>
    <mergeCell ref="E45:F45"/>
    <mergeCell ref="E46:F46"/>
    <mergeCell ref="E47:F47"/>
    <mergeCell ref="E48:F48"/>
    <mergeCell ref="A2:K2"/>
    <mergeCell ref="A38:H38"/>
    <mergeCell ref="J39:J54"/>
    <mergeCell ref="A56:K56"/>
    <mergeCell ref="E39:F39"/>
    <mergeCell ref="E40:F40"/>
    <mergeCell ref="E41:F41"/>
    <mergeCell ref="E42:F42"/>
    <mergeCell ref="E43:F43"/>
    <mergeCell ref="E44:F44"/>
    <mergeCell ref="A59:F59"/>
    <mergeCell ref="G59:K59"/>
    <mergeCell ref="A60:F60"/>
    <mergeCell ref="G60:K60"/>
    <mergeCell ref="A61:F61"/>
    <mergeCell ref="G61:K61"/>
    <mergeCell ref="A72:C72"/>
    <mergeCell ref="D72:F72"/>
    <mergeCell ref="G72:I72"/>
    <mergeCell ref="A75:C75"/>
    <mergeCell ref="D75:F75"/>
    <mergeCell ref="G75:I75"/>
    <mergeCell ref="A73:C73"/>
    <mergeCell ref="D73:F73"/>
    <mergeCell ref="G73:I73"/>
    <mergeCell ref="A74:C74"/>
    <mergeCell ref="D74:F74"/>
    <mergeCell ref="G74:I74"/>
  </mergeCells>
  <printOptions/>
  <pageMargins left="0.35" right="0.46" top="0.66" bottom="0.6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3"/>
  <sheetViews>
    <sheetView showGridLines="0" showZeros="0" tabSelected="1" zoomScale="85" zoomScaleNormal="85" workbookViewId="0" topLeftCell="A1">
      <pane xSplit="3" ySplit="12" topLeftCell="D27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269" sqref="D269"/>
    </sheetView>
  </sheetViews>
  <sheetFormatPr defaultColWidth="9.140625" defaultRowHeight="12.75"/>
  <cols>
    <col min="1" max="1" width="3.7109375" style="1" customWidth="1"/>
    <col min="2" max="2" width="3.57421875" style="61" customWidth="1"/>
    <col min="3" max="3" width="13.140625" style="2" customWidth="1"/>
    <col min="4" max="4" width="19.28125" style="2" customWidth="1"/>
    <col min="5" max="5" width="16.7109375" style="2" customWidth="1"/>
    <col min="6" max="6" width="7.7109375" style="2" customWidth="1"/>
    <col min="7" max="7" width="10.00390625" style="2" customWidth="1"/>
    <col min="8" max="8" width="9.7109375" style="2" customWidth="1"/>
    <col min="9" max="9" width="10.28125" style="2" customWidth="1"/>
    <col min="10" max="10" width="8.8515625" style="2" customWidth="1"/>
    <col min="11" max="11" width="9.00390625" style="2" customWidth="1"/>
    <col min="12" max="12" width="10.57421875" style="120" customWidth="1"/>
    <col min="13" max="13" width="12.28125" style="2" customWidth="1"/>
    <col min="14" max="14" width="10.57421875" style="2" customWidth="1"/>
    <col min="15" max="15" width="12.28125" style="120" customWidth="1"/>
    <col min="16" max="16" width="12.421875" style="2" customWidth="1"/>
    <col min="17" max="17" width="10.00390625" style="2" customWidth="1"/>
    <col min="18" max="18" width="12.28125" style="120" customWidth="1"/>
    <col min="19" max="19" width="11.140625" style="2" customWidth="1"/>
    <col min="20" max="20" width="14.57421875" style="29" customWidth="1"/>
    <col min="21" max="21" width="12.57421875" style="2" bestFit="1" customWidth="1"/>
    <col min="22" max="16384" width="9.140625" style="2" customWidth="1"/>
  </cols>
  <sheetData>
    <row r="1" spans="1:20" s="1" customFormat="1" ht="18">
      <c r="A1" s="378" t="s">
        <v>37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80"/>
    </row>
    <row r="2" spans="1:21" ht="12.75" customHeight="1">
      <c r="A2" s="75"/>
      <c r="B2" s="70"/>
      <c r="C2" s="71" t="s">
        <v>0</v>
      </c>
      <c r="D2" s="77" t="s">
        <v>38</v>
      </c>
      <c r="E2" s="66" t="s">
        <v>33</v>
      </c>
      <c r="F2" s="387">
        <f>+M15+M171+M204+M221+M256+M275+M305</f>
        <v>3842070.0000000005</v>
      </c>
      <c r="G2" s="387"/>
      <c r="H2" s="171">
        <f>M2/F2</f>
        <v>0.958885072951126</v>
      </c>
      <c r="I2" s="68"/>
      <c r="J2" s="69"/>
      <c r="K2" s="78"/>
      <c r="L2" s="106" t="s">
        <v>30</v>
      </c>
      <c r="M2" s="60">
        <f>SUM(M3:M12)</f>
        <v>3684103.5722333333</v>
      </c>
      <c r="N2" s="60">
        <f>SUM(N3:N12)</f>
        <v>108619.03760000001</v>
      </c>
      <c r="O2" s="60">
        <f>+N2+M2</f>
        <v>3792722.609833333</v>
      </c>
      <c r="P2" s="60">
        <f>SUM(P3:P12)</f>
        <v>2394667.3219516664</v>
      </c>
      <c r="Q2" s="60">
        <f>SUM(Q3:Q12)</f>
        <v>70602.37444</v>
      </c>
      <c r="R2" s="60">
        <f>+Q2+P2</f>
        <v>2465269.6963916663</v>
      </c>
      <c r="S2" s="60">
        <f>SUM(S3:S12)</f>
        <v>749203.51</v>
      </c>
      <c r="T2" s="60">
        <f>SUM(T3:T12)</f>
        <v>1716066.1863916665</v>
      </c>
      <c r="U2" s="105">
        <v>749203.51</v>
      </c>
    </row>
    <row r="3" spans="1:21" s="30" customFormat="1" ht="12.75" customHeight="1">
      <c r="A3" s="57"/>
      <c r="B3" s="70"/>
      <c r="C3" s="36" t="s">
        <v>39</v>
      </c>
      <c r="D3" s="37"/>
      <c r="E3" s="73" t="s">
        <v>34</v>
      </c>
      <c r="F3" s="388">
        <f>+F2*0.65</f>
        <v>2497345.5000000005</v>
      </c>
      <c r="G3" s="388"/>
      <c r="H3" s="84">
        <f>P2/F3</f>
        <v>0.9588850729511259</v>
      </c>
      <c r="J3" s="72"/>
      <c r="K3" s="74"/>
      <c r="L3" s="106" t="s">
        <v>31</v>
      </c>
      <c r="M3" s="60">
        <f>M16+M172+M205+M222+M257+M276+M306</f>
        <v>241550.03</v>
      </c>
      <c r="N3" s="60">
        <f>N16+N172+N205+N222+N257+N276+N306</f>
        <v>0</v>
      </c>
      <c r="O3" s="121">
        <f>O16+O172+O205+O222+O257+O276+O306</f>
        <v>241550.03</v>
      </c>
      <c r="P3" s="60">
        <f>P16+P172+P205+P222+P257+P276+P306</f>
        <v>157007.51950000002</v>
      </c>
      <c r="Q3" s="60">
        <f>Q16+Q172+Q205+Q222+Q257+Q276+Q306</f>
        <v>0</v>
      </c>
      <c r="R3" s="121">
        <f>R16+R172+R205+R222+R257+R276+R306</f>
        <v>157007.51950000002</v>
      </c>
      <c r="S3" s="60">
        <f>S16+S172+S205+S222+S257+S276+S306</f>
        <v>58877.81981250001</v>
      </c>
      <c r="T3" s="60">
        <f>T16+T172+T205+T222+T257+T276+T306</f>
        <v>98129.69968750003</v>
      </c>
      <c r="U3" s="74">
        <f>157007.5195-R3</f>
        <v>0</v>
      </c>
    </row>
    <row r="4" spans="1:21" s="30" customFormat="1" ht="12.75" customHeight="1">
      <c r="A4" s="57"/>
      <c r="B4" s="70"/>
      <c r="C4" s="36" t="s">
        <v>114</v>
      </c>
      <c r="D4" s="37"/>
      <c r="E4" s="73" t="s">
        <v>35</v>
      </c>
      <c r="F4" s="388">
        <f>2500000-F3</f>
        <v>2654.4999999995343</v>
      </c>
      <c r="G4" s="388"/>
      <c r="H4" s="292">
        <f>+Q2/F4</f>
        <v>26.597240323982817</v>
      </c>
      <c r="I4" s="252"/>
      <c r="J4" s="253"/>
      <c r="K4" s="74"/>
      <c r="L4" s="106" t="s">
        <v>32</v>
      </c>
      <c r="M4" s="60">
        <f>M17+M173+M206+M223+M258+M277+M307</f>
        <v>195351.37000000002</v>
      </c>
      <c r="N4" s="60">
        <f>N17+N173+N206+N223+N258+N277+N307</f>
        <v>0</v>
      </c>
      <c r="O4" s="121">
        <f>O17+O173+O206+O223+O258+O277+O307</f>
        <v>195351.37000000002</v>
      </c>
      <c r="P4" s="60">
        <f>P17+P173+P206+P223+P258+P277+P307</f>
        <v>126978.39050000002</v>
      </c>
      <c r="Q4" s="60">
        <f>Q17+Q173+Q206+Q223+Q258+Q277+Q307</f>
        <v>0</v>
      </c>
      <c r="R4" s="121">
        <f>R17+R173+R206+R223+R258+R277+R307</f>
        <v>126978.39050000002</v>
      </c>
      <c r="S4" s="60">
        <f>S17+S173+S206+S223+S258+S277+S307</f>
        <v>47616.89643750001</v>
      </c>
      <c r="T4" s="60">
        <f>T17+T173+T206+T223+T258+T277+T307</f>
        <v>79361.4940625</v>
      </c>
      <c r="U4" s="74">
        <f>126978.3905-R4</f>
        <v>0</v>
      </c>
    </row>
    <row r="5" spans="1:21" s="30" customFormat="1" ht="12.75" customHeight="1">
      <c r="A5" s="57"/>
      <c r="B5" s="70"/>
      <c r="C5" s="36" t="s">
        <v>115</v>
      </c>
      <c r="D5" s="37"/>
      <c r="E5" s="73" t="s">
        <v>36</v>
      </c>
      <c r="F5" s="388">
        <f>+F4+F3</f>
        <v>2500000</v>
      </c>
      <c r="G5" s="388"/>
      <c r="H5" s="84">
        <f>R2/F5</f>
        <v>0.9861078785566665</v>
      </c>
      <c r="J5" s="253"/>
      <c r="L5" s="106" t="s">
        <v>126</v>
      </c>
      <c r="M5" s="60">
        <f>M18+M174+M207+M224+M259+M278+M308</f>
        <v>230177.01</v>
      </c>
      <c r="N5" s="60">
        <f>N18+N174+N207+N224+N259+N278+N308</f>
        <v>3157.2</v>
      </c>
      <c r="O5" s="121">
        <f>O18+O174+O207+O224+O259+O278+O308</f>
        <v>233334.21000000002</v>
      </c>
      <c r="P5" s="60">
        <f>P18+P174+P207+P224+P259+P278+P308</f>
        <v>149615.0565</v>
      </c>
      <c r="Q5" s="60">
        <f>Q18+Q174+Q207+Q224+Q259+Q278+Q308</f>
        <v>2052.18</v>
      </c>
      <c r="R5" s="121">
        <f>R18+R174+R207+R224+R259+R278+R308</f>
        <v>151667.2365</v>
      </c>
      <c r="S5" s="60">
        <f>S18+S174+S207+S224+S259+S278+S308</f>
        <v>56875.2136875</v>
      </c>
      <c r="T5" s="60">
        <f>T18+T174+T207+T224+T259+T278+T308</f>
        <v>94792.02281250001</v>
      </c>
      <c r="U5" s="74">
        <f>151667.2365-R5</f>
        <v>0</v>
      </c>
    </row>
    <row r="6" spans="1:21" s="30" customFormat="1" ht="11.25" customHeight="1">
      <c r="A6" s="57"/>
      <c r="B6" s="70"/>
      <c r="C6" s="36" t="s">
        <v>244</v>
      </c>
      <c r="D6" s="37"/>
      <c r="E6" s="73"/>
      <c r="F6" s="39"/>
      <c r="G6" s="72"/>
      <c r="H6" s="84"/>
      <c r="J6" s="253"/>
      <c r="L6" s="106" t="s">
        <v>231</v>
      </c>
      <c r="M6" s="60">
        <f>M19+M175+M208+M225+M260+M279+M309</f>
        <v>333129.5061666667</v>
      </c>
      <c r="N6" s="60">
        <f>N19+N175+N208+N225+N260+N279+N309</f>
        <v>900.3</v>
      </c>
      <c r="O6" s="121">
        <f>O19+O175+O208+O225+O260+O279+O309</f>
        <v>334029.8061666666</v>
      </c>
      <c r="P6" s="60">
        <f>P19+P175+P208+P225+P260+P279+P309</f>
        <v>216534.1790083333</v>
      </c>
      <c r="Q6" s="60">
        <f>Q19+Q175+Q208+Q225+Q260+Q279+Q309</f>
        <v>585.195</v>
      </c>
      <c r="R6" s="121">
        <f>R19+R175+R208+R225+R260+R279+R309</f>
        <v>217119.3740083333</v>
      </c>
      <c r="S6" s="60">
        <f>S19+S175+S208+S225+S260+S279+S309</f>
        <v>81419.765253125</v>
      </c>
      <c r="T6" s="60">
        <f>T19+T175+T208+T225+T260+T279+T309</f>
        <v>135699.60875520832</v>
      </c>
      <c r="U6" s="74">
        <v>135699.608755208</v>
      </c>
    </row>
    <row r="7" spans="1:21" s="30" customFormat="1" ht="11.25">
      <c r="A7" s="57"/>
      <c r="B7" s="70"/>
      <c r="C7" s="36" t="s">
        <v>359</v>
      </c>
      <c r="D7" s="37"/>
      <c r="E7" s="38"/>
      <c r="F7" s="39"/>
      <c r="G7" s="72"/>
      <c r="H7" s="40"/>
      <c r="J7" s="253"/>
      <c r="L7" s="106" t="s">
        <v>360</v>
      </c>
      <c r="M7" s="60">
        <f>M20+M176+M209+M226+M261+M280+M310</f>
        <v>346287.0520833334</v>
      </c>
      <c r="N7" s="60">
        <f>N20+N176+N209+N226+N261+N280+N310</f>
        <v>0</v>
      </c>
      <c r="O7" s="121">
        <f aca="true" t="shared" si="0" ref="O7:O12">+N7+M7</f>
        <v>346287.0520833334</v>
      </c>
      <c r="P7" s="60">
        <f>P20+P176+P209+P226+P261+P280+P310</f>
        <v>225086.58385416667</v>
      </c>
      <c r="Q7" s="60">
        <f>Q20+Q176+Q209+Q226+Q261+Q280+Q310</f>
        <v>0</v>
      </c>
      <c r="R7" s="121">
        <f aca="true" t="shared" si="1" ref="R7:R12">+Q7+P7</f>
        <v>225086.58385416667</v>
      </c>
      <c r="S7" s="60">
        <f>S20+S176+S209+S226+S261+S280+S310</f>
        <v>84407.4689453125</v>
      </c>
      <c r="T7" s="60">
        <f>T20+T176+T209+T226+T261+T280+T310</f>
        <v>140679.1149088542</v>
      </c>
      <c r="U7" s="74">
        <v>140679.114908854</v>
      </c>
    </row>
    <row r="8" spans="1:21" s="30" customFormat="1" ht="11.25">
      <c r="A8" s="57"/>
      <c r="B8" s="70"/>
      <c r="C8" s="36" t="s">
        <v>424</v>
      </c>
      <c r="D8" s="37"/>
      <c r="E8" s="38"/>
      <c r="F8" s="39"/>
      <c r="G8" s="72"/>
      <c r="H8" s="40"/>
      <c r="L8" s="106" t="s">
        <v>425</v>
      </c>
      <c r="M8" s="60">
        <f>M21+M177+M210+M227+M262+M281+M311</f>
        <v>406597.463</v>
      </c>
      <c r="N8" s="60">
        <f>N21+N177+N210+N227+N262+N281+N311</f>
        <v>16291.0525</v>
      </c>
      <c r="O8" s="121">
        <f t="shared" si="0"/>
        <v>422888.5155</v>
      </c>
      <c r="P8" s="60">
        <f>P21+P177+P210+P227+P262+P281+P311</f>
        <v>264288.35094999993</v>
      </c>
      <c r="Q8" s="60">
        <f>Q21+Q177+Q210+Q227+Q262+Q281+Q311</f>
        <v>10589.184125</v>
      </c>
      <c r="R8" s="121">
        <f t="shared" si="1"/>
        <v>274877.5350749999</v>
      </c>
      <c r="S8" s="60">
        <f>S21+S177+S210+S227+S262+S281+S311</f>
        <v>103079.075653125</v>
      </c>
      <c r="T8" s="60">
        <f>T21+T177+T210+T227+T262+T281+T311</f>
        <v>171798.45942187498</v>
      </c>
      <c r="U8" s="74">
        <v>171798.46</v>
      </c>
    </row>
    <row r="9" spans="1:21" s="30" customFormat="1" ht="11.25">
      <c r="A9" s="57"/>
      <c r="B9" s="70"/>
      <c r="C9" s="36" t="s">
        <v>514</v>
      </c>
      <c r="D9" s="37"/>
      <c r="E9" s="38"/>
      <c r="F9" s="39"/>
      <c r="G9" s="72"/>
      <c r="H9" s="40"/>
      <c r="L9" s="106" t="s">
        <v>513</v>
      </c>
      <c r="M9" s="60">
        <f>M22+M178+M211+M228+M263+M282+M312</f>
        <v>442201.5825833332</v>
      </c>
      <c r="N9" s="60">
        <f>N22+N178+N211+N228+N263+N282+N312</f>
        <v>1340.6072999999997</v>
      </c>
      <c r="O9" s="121">
        <f t="shared" si="0"/>
        <v>443542.18988333317</v>
      </c>
      <c r="P9" s="60">
        <f>P22+P178+P211+P228+P263+P282+P312</f>
        <v>287431.0286791667</v>
      </c>
      <c r="Q9" s="60">
        <f>Q22+Q178+Q211+Q228+Q263+Q282+Q312</f>
        <v>871.394745</v>
      </c>
      <c r="R9" s="121">
        <f t="shared" si="1"/>
        <v>288302.4234241667</v>
      </c>
      <c r="S9" s="60">
        <f>S22+S178+S211+S228+S263+S282+S312</f>
        <v>108113.4087840625</v>
      </c>
      <c r="T9" s="60">
        <f>T22+T178+T211+T228+T263+T282+T312</f>
        <v>180189.01464010417</v>
      </c>
      <c r="U9" s="74">
        <v>180189.01</v>
      </c>
    </row>
    <row r="10" spans="1:21" s="30" customFormat="1" ht="11.25">
      <c r="A10" s="57"/>
      <c r="B10" s="70"/>
      <c r="C10" s="36" t="s">
        <v>598</v>
      </c>
      <c r="D10" s="37"/>
      <c r="E10" s="38"/>
      <c r="F10" s="39"/>
      <c r="G10" s="72"/>
      <c r="H10" s="40"/>
      <c r="L10" s="106" t="s">
        <v>596</v>
      </c>
      <c r="M10" s="60">
        <f>M23+M179+M212+M229+M264+M283+M313</f>
        <v>392536.83</v>
      </c>
      <c r="N10" s="60">
        <f>N23+N179+N212+N229+N264+N283+N313</f>
        <v>9262.4</v>
      </c>
      <c r="O10" s="121">
        <f t="shared" si="0"/>
        <v>401799.23000000004</v>
      </c>
      <c r="P10" s="60">
        <f>P23+P179+P212+P229+P264+P283+P313</f>
        <v>255148.93949999998</v>
      </c>
      <c r="Q10" s="60">
        <f>Q23+Q179+Q212+Q229+Q264+Q283+Q313</f>
        <v>6020.56</v>
      </c>
      <c r="R10" s="121">
        <f t="shared" si="1"/>
        <v>261169.49949999998</v>
      </c>
      <c r="S10" s="60">
        <f>S23+S179+S212+S229+S264+S283+S313</f>
        <v>97938.56231249998</v>
      </c>
      <c r="T10" s="60">
        <f>T23+T179+T212+T229+T264+T283+T313</f>
        <v>163230.93718749998</v>
      </c>
      <c r="U10" s="74">
        <v>163230.9371875</v>
      </c>
    </row>
    <row r="11" spans="1:21" s="30" customFormat="1" ht="11.25">
      <c r="A11" s="57"/>
      <c r="B11" s="70"/>
      <c r="C11" s="36" t="s">
        <v>615</v>
      </c>
      <c r="D11" s="37"/>
      <c r="E11" s="38"/>
      <c r="F11" s="39"/>
      <c r="G11" s="72"/>
      <c r="H11" s="40"/>
      <c r="L11" s="106" t="s">
        <v>614</v>
      </c>
      <c r="M11" s="60">
        <f>M24+M180+M213+M230+M265+M284+M314</f>
        <v>602128.7039</v>
      </c>
      <c r="N11" s="60">
        <f>N24+N180+N213+N230+N265+N284+N314</f>
        <v>15432.5078</v>
      </c>
      <c r="O11" s="121">
        <f t="shared" si="0"/>
        <v>617561.2117</v>
      </c>
      <c r="P11" s="60">
        <f>P24+P180+P213+P230+P265+P284+P314</f>
        <v>391383.657535</v>
      </c>
      <c r="Q11" s="60">
        <f>Q24+Q180+Q213+Q230+Q265+Q284+Q314</f>
        <v>10031.13007</v>
      </c>
      <c r="R11" s="121">
        <f t="shared" si="1"/>
        <v>401414.787605</v>
      </c>
      <c r="S11" s="60">
        <f>749203.51-S10-S9-S8-S7-S6-S5-S4-S3</f>
        <v>110875.29911437506</v>
      </c>
      <c r="T11" s="60">
        <f>+R11-S11</f>
        <v>290539.48849062494</v>
      </c>
      <c r="U11" s="74">
        <v>289726.988490625</v>
      </c>
    </row>
    <row r="12" spans="1:21" s="30" customFormat="1" ht="11.25">
      <c r="A12" s="57"/>
      <c r="B12" s="70"/>
      <c r="C12" s="36" t="s">
        <v>699</v>
      </c>
      <c r="D12" s="37"/>
      <c r="E12" s="38"/>
      <c r="F12" s="39"/>
      <c r="G12" s="72"/>
      <c r="H12" s="40"/>
      <c r="L12" s="106" t="s">
        <v>700</v>
      </c>
      <c r="M12" s="60">
        <f>M25+M181+M214+M231+M266+M285+M315</f>
        <v>494144.0245</v>
      </c>
      <c r="N12" s="60">
        <f>N25+N181+N214+N231+N266+N285+N315</f>
        <v>62234.97000000001</v>
      </c>
      <c r="O12" s="121">
        <f t="shared" si="0"/>
        <v>556378.9945</v>
      </c>
      <c r="P12" s="60">
        <f>P25+P181+P214+P231+P266+P285+P315</f>
        <v>321193.615925</v>
      </c>
      <c r="Q12" s="60">
        <f>Q25+Q181+Q214+Q231+Q266+Q285+Q315</f>
        <v>40452.7305</v>
      </c>
      <c r="R12" s="121">
        <f t="shared" si="1"/>
        <v>361646.346425</v>
      </c>
      <c r="S12" s="60"/>
      <c r="T12" s="60">
        <f>+R12</f>
        <v>361646.346425</v>
      </c>
      <c r="U12" s="74"/>
    </row>
    <row r="13" spans="1:20" s="30" customFormat="1" ht="11.25">
      <c r="A13" s="57"/>
      <c r="B13" s="76"/>
      <c r="D13" s="37"/>
      <c r="E13" s="38"/>
      <c r="F13" s="39"/>
      <c r="G13" s="39"/>
      <c r="H13" s="40"/>
      <c r="L13" s="106"/>
      <c r="M13" s="60"/>
      <c r="N13" s="60"/>
      <c r="O13" s="121"/>
      <c r="P13" s="60"/>
      <c r="Q13" s="60"/>
      <c r="R13" s="121"/>
      <c r="S13" s="60"/>
      <c r="T13" s="60"/>
    </row>
    <row r="14" spans="1:20" ht="11.25">
      <c r="A14" s="314" t="s">
        <v>6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3"/>
      <c r="M14" s="82" t="s">
        <v>104</v>
      </c>
      <c r="N14" s="28" t="s">
        <v>105</v>
      </c>
      <c r="O14" s="122" t="s">
        <v>106</v>
      </c>
      <c r="P14" s="28" t="s">
        <v>107</v>
      </c>
      <c r="Q14" s="28" t="s">
        <v>108</v>
      </c>
      <c r="R14" s="122" t="s">
        <v>109</v>
      </c>
      <c r="S14" s="32" t="s">
        <v>25</v>
      </c>
      <c r="T14" s="33" t="s">
        <v>26</v>
      </c>
    </row>
    <row r="15" spans="1:18" s="1" customFormat="1" ht="11.25">
      <c r="A15" s="370"/>
      <c r="B15" s="371"/>
      <c r="C15" s="52"/>
      <c r="D15" s="42"/>
      <c r="E15" s="42"/>
      <c r="F15" s="42"/>
      <c r="G15" s="42"/>
      <c r="H15" s="42"/>
      <c r="I15" s="42"/>
      <c r="J15" s="42"/>
      <c r="K15" s="53"/>
      <c r="L15" s="107" t="s">
        <v>12</v>
      </c>
      <c r="M15" s="3">
        <v>2765624.88</v>
      </c>
      <c r="N15" s="3"/>
      <c r="O15" s="123"/>
      <c r="P15" s="83"/>
      <c r="Q15" s="3"/>
      <c r="R15" s="123"/>
    </row>
    <row r="16" spans="1:20" s="1" customFormat="1" ht="11.25">
      <c r="A16" s="370"/>
      <c r="B16" s="371"/>
      <c r="C16" s="44"/>
      <c r="D16" s="43"/>
      <c r="E16" s="43"/>
      <c r="F16" s="43"/>
      <c r="G16" s="43"/>
      <c r="H16" s="43"/>
      <c r="I16" s="43"/>
      <c r="J16" s="43"/>
      <c r="K16" s="4">
        <f>SUM(K28:K40)</f>
        <v>0</v>
      </c>
      <c r="L16" s="108" t="s">
        <v>28</v>
      </c>
      <c r="M16" s="4">
        <f aca="true" t="shared" si="2" ref="M16:R16">SUM(M28:M40)</f>
        <v>225440.84</v>
      </c>
      <c r="N16" s="4">
        <f t="shared" si="2"/>
        <v>0</v>
      </c>
      <c r="O16" s="124">
        <f t="shared" si="2"/>
        <v>225440.84</v>
      </c>
      <c r="P16" s="4">
        <f t="shared" si="2"/>
        <v>146536.54600000003</v>
      </c>
      <c r="Q16" s="4">
        <f t="shared" si="2"/>
        <v>0</v>
      </c>
      <c r="R16" s="124">
        <f t="shared" si="2"/>
        <v>146536.54600000003</v>
      </c>
      <c r="S16" s="5">
        <f aca="true" t="shared" si="3" ref="S16:S24">R16*0.375</f>
        <v>54951.20475000001</v>
      </c>
      <c r="T16" s="5">
        <f aca="true" t="shared" si="4" ref="T16:T21">R16-S16</f>
        <v>91585.34125000003</v>
      </c>
    </row>
    <row r="17" spans="1:20" s="1" customFormat="1" ht="11.25">
      <c r="A17" s="370"/>
      <c r="B17" s="371"/>
      <c r="C17" s="44"/>
      <c r="D17" s="43"/>
      <c r="E17" s="43"/>
      <c r="F17" s="43"/>
      <c r="G17" s="43"/>
      <c r="H17" s="43"/>
      <c r="I17" s="43"/>
      <c r="J17" s="43"/>
      <c r="K17" s="45"/>
      <c r="L17" s="108" t="s">
        <v>29</v>
      </c>
      <c r="M17" s="4">
        <f aca="true" t="shared" si="5" ref="M17:R17">+M41</f>
        <v>195146.49000000002</v>
      </c>
      <c r="N17" s="4">
        <f t="shared" si="5"/>
        <v>0</v>
      </c>
      <c r="O17" s="124">
        <f t="shared" si="5"/>
        <v>195146.49000000002</v>
      </c>
      <c r="P17" s="4">
        <f t="shared" si="5"/>
        <v>126845.21850000002</v>
      </c>
      <c r="Q17" s="4">
        <f t="shared" si="5"/>
        <v>0</v>
      </c>
      <c r="R17" s="124">
        <f t="shared" si="5"/>
        <v>126845.21850000002</v>
      </c>
      <c r="S17" s="5">
        <f t="shared" si="3"/>
        <v>47566.95693750001</v>
      </c>
      <c r="T17" s="5">
        <f t="shared" si="4"/>
        <v>79278.2615625</v>
      </c>
    </row>
    <row r="18" spans="1:20" s="1" customFormat="1" ht="11.25">
      <c r="A18" s="370"/>
      <c r="B18" s="371"/>
      <c r="C18" s="44"/>
      <c r="D18" s="43"/>
      <c r="E18" s="43"/>
      <c r="F18" s="43"/>
      <c r="G18" s="43"/>
      <c r="H18" s="43"/>
      <c r="I18" s="43"/>
      <c r="J18" s="43"/>
      <c r="K18" s="45"/>
      <c r="L18" s="108" t="s">
        <v>121</v>
      </c>
      <c r="M18" s="4">
        <f aca="true" t="shared" si="6" ref="M18:R18">+M55</f>
        <v>214391.01</v>
      </c>
      <c r="N18" s="4">
        <f t="shared" si="6"/>
        <v>0</v>
      </c>
      <c r="O18" s="124">
        <f t="shared" si="6"/>
        <v>214391.01</v>
      </c>
      <c r="P18" s="4">
        <f t="shared" si="6"/>
        <v>139354.1565</v>
      </c>
      <c r="Q18" s="4">
        <f t="shared" si="6"/>
        <v>0</v>
      </c>
      <c r="R18" s="124">
        <f t="shared" si="6"/>
        <v>139354.1565</v>
      </c>
      <c r="S18" s="5">
        <f t="shared" si="3"/>
        <v>52257.8086875</v>
      </c>
      <c r="T18" s="5">
        <f t="shared" si="4"/>
        <v>87096.34781250001</v>
      </c>
    </row>
    <row r="19" spans="1:20" s="1" customFormat="1" ht="11.25">
      <c r="A19" s="370"/>
      <c r="B19" s="371"/>
      <c r="C19" s="44"/>
      <c r="D19" s="43"/>
      <c r="E19" s="43"/>
      <c r="F19" s="43"/>
      <c r="G19" s="43"/>
      <c r="H19" s="43"/>
      <c r="I19" s="43"/>
      <c r="J19" s="43"/>
      <c r="K19" s="45"/>
      <c r="L19" s="108" t="s">
        <v>232</v>
      </c>
      <c r="M19" s="4">
        <f aca="true" t="shared" si="7" ref="M19:R19">SUM(M67:M86)</f>
        <v>205002.22999999998</v>
      </c>
      <c r="N19" s="4">
        <f t="shared" si="7"/>
        <v>0</v>
      </c>
      <c r="O19" s="124">
        <f t="shared" si="7"/>
        <v>205002.22999999998</v>
      </c>
      <c r="P19" s="4">
        <f t="shared" si="7"/>
        <v>133251.4495</v>
      </c>
      <c r="Q19" s="4">
        <f t="shared" si="7"/>
        <v>0</v>
      </c>
      <c r="R19" s="124">
        <f t="shared" si="7"/>
        <v>133251.4495</v>
      </c>
      <c r="S19" s="5">
        <f t="shared" si="3"/>
        <v>49969.293562499995</v>
      </c>
      <c r="T19" s="5">
        <f t="shared" si="4"/>
        <v>83282.15593749999</v>
      </c>
    </row>
    <row r="20" spans="1:20" s="1" customFormat="1" ht="11.25">
      <c r="A20" s="370"/>
      <c r="B20" s="371"/>
      <c r="C20" s="44"/>
      <c r="D20" s="43"/>
      <c r="E20" s="43"/>
      <c r="F20" s="43"/>
      <c r="G20" s="43"/>
      <c r="H20" s="43"/>
      <c r="I20" s="43"/>
      <c r="J20" s="43"/>
      <c r="K20" s="45"/>
      <c r="L20" s="108" t="s">
        <v>362</v>
      </c>
      <c r="M20" s="4">
        <f>SUM(M87:M97)</f>
        <v>228038.46</v>
      </c>
      <c r="N20" s="4">
        <f>SUM(N87:N97)</f>
        <v>0</v>
      </c>
      <c r="O20" s="124">
        <f aca="true" t="shared" si="8" ref="O20:O25">+N20+M20</f>
        <v>228038.46</v>
      </c>
      <c r="P20" s="4">
        <f>SUM(P87:P97)</f>
        <v>148224.999</v>
      </c>
      <c r="Q20" s="4">
        <f>SUM(Q87:Q97)</f>
        <v>0</v>
      </c>
      <c r="R20" s="124">
        <f aca="true" t="shared" si="9" ref="R20:R25">+Q20+P20</f>
        <v>148224.999</v>
      </c>
      <c r="S20" s="5">
        <f t="shared" si="3"/>
        <v>55584.374625000004</v>
      </c>
      <c r="T20" s="5">
        <f t="shared" si="4"/>
        <v>92640.62437500001</v>
      </c>
    </row>
    <row r="21" spans="1:20" s="1" customFormat="1" ht="11.25">
      <c r="A21" s="370"/>
      <c r="B21" s="371"/>
      <c r="C21" s="44"/>
      <c r="D21" s="43"/>
      <c r="E21" s="43"/>
      <c r="F21" s="43"/>
      <c r="G21" s="43"/>
      <c r="H21" s="43"/>
      <c r="I21" s="43"/>
      <c r="J21" s="43"/>
      <c r="K21" s="45"/>
      <c r="L21" s="108" t="s">
        <v>426</v>
      </c>
      <c r="M21" s="4">
        <f>SUM(M98:M109)</f>
        <v>306877.04</v>
      </c>
      <c r="N21" s="4">
        <f>SUM(N98:N109)</f>
        <v>0</v>
      </c>
      <c r="O21" s="124">
        <f t="shared" si="8"/>
        <v>306877.04</v>
      </c>
      <c r="P21" s="4">
        <f>SUM(P98:P109)</f>
        <v>199470.07599999997</v>
      </c>
      <c r="Q21" s="4">
        <f>SUM(Q98:Q109)</f>
        <v>0</v>
      </c>
      <c r="R21" s="124">
        <f t="shared" si="9"/>
        <v>199470.07599999997</v>
      </c>
      <c r="S21" s="5">
        <f t="shared" si="3"/>
        <v>74801.27849999999</v>
      </c>
      <c r="T21" s="5">
        <f t="shared" si="4"/>
        <v>124668.79749999999</v>
      </c>
    </row>
    <row r="22" spans="1:20" s="1" customFormat="1" ht="11.25">
      <c r="A22" s="370"/>
      <c r="B22" s="371"/>
      <c r="C22" s="44"/>
      <c r="D22" s="43"/>
      <c r="E22" s="43"/>
      <c r="F22" s="43"/>
      <c r="G22" s="43"/>
      <c r="H22" s="43"/>
      <c r="I22" s="43"/>
      <c r="J22" s="43"/>
      <c r="K22" s="45"/>
      <c r="L22" s="108" t="s">
        <v>569</v>
      </c>
      <c r="M22" s="4">
        <f>SUM(M110:M122)</f>
        <v>413834.66999999987</v>
      </c>
      <c r="N22" s="4">
        <f>SUM(N110)</f>
        <v>0</v>
      </c>
      <c r="O22" s="124">
        <f t="shared" si="8"/>
        <v>413834.66999999987</v>
      </c>
      <c r="P22" s="4">
        <f>SUM(P110:P122)</f>
        <v>268992.5355</v>
      </c>
      <c r="Q22" s="4">
        <f>SUM(Q110)</f>
        <v>0</v>
      </c>
      <c r="R22" s="124">
        <f t="shared" si="9"/>
        <v>268992.5355</v>
      </c>
      <c r="S22" s="5">
        <f t="shared" si="3"/>
        <v>100872.2008125</v>
      </c>
      <c r="T22" s="5">
        <f>R22-S22</f>
        <v>168120.3346875</v>
      </c>
    </row>
    <row r="23" spans="1:20" s="1" customFormat="1" ht="11.25">
      <c r="A23" s="370"/>
      <c r="B23" s="371"/>
      <c r="C23" s="44"/>
      <c r="D23" s="43"/>
      <c r="E23" s="43"/>
      <c r="F23" s="43"/>
      <c r="G23" s="43"/>
      <c r="H23" s="43"/>
      <c r="I23" s="43"/>
      <c r="J23" s="43"/>
      <c r="K23" s="45"/>
      <c r="L23" s="108" t="s">
        <v>597</v>
      </c>
      <c r="M23" s="4">
        <f>SUM(M123:M134)</f>
        <v>306699.17000000004</v>
      </c>
      <c r="N23" s="4">
        <f>SUM(N123:N134)</f>
        <v>0</v>
      </c>
      <c r="O23" s="124">
        <f t="shared" si="8"/>
        <v>306699.17000000004</v>
      </c>
      <c r="P23" s="4">
        <f>SUM(P123:P134)</f>
        <v>199354.4605</v>
      </c>
      <c r="Q23" s="4">
        <f>SUM(Q123:Q134)</f>
        <v>0</v>
      </c>
      <c r="R23" s="124">
        <f t="shared" si="9"/>
        <v>199354.4605</v>
      </c>
      <c r="S23" s="5">
        <f t="shared" si="3"/>
        <v>74757.92268749999</v>
      </c>
      <c r="T23" s="5">
        <f>R23-S23</f>
        <v>124596.5378125</v>
      </c>
    </row>
    <row r="24" spans="1:20" s="1" customFormat="1" ht="11.25">
      <c r="A24" s="370"/>
      <c r="B24" s="371"/>
      <c r="C24" s="44"/>
      <c r="D24" s="43"/>
      <c r="E24" s="43"/>
      <c r="F24" s="43"/>
      <c r="G24" s="43"/>
      <c r="H24" s="43"/>
      <c r="I24" s="43"/>
      <c r="J24" s="43"/>
      <c r="K24" s="45"/>
      <c r="L24" s="108" t="s">
        <v>616</v>
      </c>
      <c r="M24" s="4">
        <f>SUM(M135:M157)</f>
        <v>511127.75539999997</v>
      </c>
      <c r="N24" s="4">
        <f>SUM(N135:N157)</f>
        <v>0</v>
      </c>
      <c r="O24" s="124">
        <f t="shared" si="8"/>
        <v>511127.75539999997</v>
      </c>
      <c r="P24" s="4">
        <f>SUM(P135:P157)</f>
        <v>332233.04101</v>
      </c>
      <c r="Q24" s="4">
        <f>SUM(Q135:Q157)</f>
        <v>0</v>
      </c>
      <c r="R24" s="124">
        <f t="shared" si="9"/>
        <v>332233.04101</v>
      </c>
      <c r="S24" s="5">
        <f t="shared" si="3"/>
        <v>124587.39037874999</v>
      </c>
      <c r="T24" s="5">
        <f>R24-S24</f>
        <v>207645.65063125</v>
      </c>
    </row>
    <row r="25" spans="1:20" s="1" customFormat="1" ht="11.25">
      <c r="A25" s="370"/>
      <c r="B25" s="371"/>
      <c r="C25" s="44"/>
      <c r="D25" s="43"/>
      <c r="E25" s="43"/>
      <c r="F25" s="43"/>
      <c r="G25" s="43"/>
      <c r="H25" s="43"/>
      <c r="I25" s="43"/>
      <c r="J25" s="43"/>
      <c r="K25" s="45"/>
      <c r="L25" s="108" t="s">
        <v>728</v>
      </c>
      <c r="M25" s="4">
        <f>SUM(M158:M167)</f>
        <v>173349.87000000002</v>
      </c>
      <c r="N25" s="4"/>
      <c r="O25" s="124">
        <f t="shared" si="8"/>
        <v>173349.87000000002</v>
      </c>
      <c r="P25" s="4">
        <f>SUM(P158:P167)</f>
        <v>112677.4155</v>
      </c>
      <c r="Q25" s="4"/>
      <c r="R25" s="124">
        <f t="shared" si="9"/>
        <v>112677.4155</v>
      </c>
      <c r="S25" s="5"/>
      <c r="T25" s="5">
        <f>R25-S25</f>
        <v>112677.4155</v>
      </c>
    </row>
    <row r="26" spans="1:20" s="1" customFormat="1" ht="11.25">
      <c r="A26" s="372"/>
      <c r="B26" s="373"/>
      <c r="C26" s="46"/>
      <c r="D26" s="47"/>
      <c r="E26" s="47"/>
      <c r="F26" s="47"/>
      <c r="G26" s="47"/>
      <c r="H26" s="47"/>
      <c r="I26" s="47"/>
      <c r="J26" s="47"/>
      <c r="K26" s="48"/>
      <c r="L26" s="109" t="s">
        <v>13</v>
      </c>
      <c r="M26" s="6">
        <f>M15-M16-M17-M18-M19-M20-M21-M22-M23-M24-M25</f>
        <v>-14282.655399999901</v>
      </c>
      <c r="N26" s="6"/>
      <c r="O26" s="125"/>
      <c r="P26" s="6"/>
      <c r="Q26" s="6"/>
      <c r="R26" s="125"/>
      <c r="S26" s="35"/>
      <c r="T26" s="35"/>
    </row>
    <row r="27" spans="1:20" ht="22.5">
      <c r="A27" s="7" t="s">
        <v>14</v>
      </c>
      <c r="B27" s="7" t="s">
        <v>11</v>
      </c>
      <c r="C27" s="34" t="s">
        <v>24</v>
      </c>
      <c r="D27" s="34" t="s">
        <v>20</v>
      </c>
      <c r="E27" s="41" t="s">
        <v>2</v>
      </c>
      <c r="F27" s="34" t="s">
        <v>19</v>
      </c>
      <c r="G27" s="34" t="s">
        <v>18</v>
      </c>
      <c r="H27" s="41" t="s">
        <v>17</v>
      </c>
      <c r="I27" s="41" t="s">
        <v>16</v>
      </c>
      <c r="J27" s="34" t="s">
        <v>3</v>
      </c>
      <c r="K27" s="34" t="s">
        <v>4</v>
      </c>
      <c r="L27" s="110" t="s">
        <v>5</v>
      </c>
      <c r="M27" s="7" t="s">
        <v>21</v>
      </c>
      <c r="N27" s="7" t="s">
        <v>85</v>
      </c>
      <c r="O27" s="110" t="s">
        <v>87</v>
      </c>
      <c r="P27" s="7" t="s">
        <v>22</v>
      </c>
      <c r="Q27" s="7" t="s">
        <v>88</v>
      </c>
      <c r="R27" s="110" t="s">
        <v>86</v>
      </c>
      <c r="S27" s="389" t="s">
        <v>27</v>
      </c>
      <c r="T27" s="390"/>
    </row>
    <row r="28" spans="1:20" ht="35.25" customHeight="1">
      <c r="A28" s="58" t="s">
        <v>15</v>
      </c>
      <c r="B28" s="8"/>
      <c r="C28" s="67" t="s">
        <v>130</v>
      </c>
      <c r="D28" s="9"/>
      <c r="E28" s="9"/>
      <c r="F28" s="9"/>
      <c r="G28" s="10"/>
      <c r="H28" s="11"/>
      <c r="I28" s="11"/>
      <c r="J28" s="12">
        <v>17479</v>
      </c>
      <c r="K28" s="12"/>
      <c r="L28" s="111">
        <f>SUM(J28:K28)</f>
        <v>17479</v>
      </c>
      <c r="M28" s="12">
        <f>L28</f>
        <v>17479</v>
      </c>
      <c r="N28" s="12"/>
      <c r="O28" s="111">
        <f>M28+N28</f>
        <v>17479</v>
      </c>
      <c r="P28" s="12">
        <f>M28*0.65</f>
        <v>11361.35</v>
      </c>
      <c r="Q28" s="12">
        <f>N28*0.65</f>
        <v>0</v>
      </c>
      <c r="R28" s="111">
        <f>P28+Q28</f>
        <v>11361.35</v>
      </c>
      <c r="S28" s="305" t="s">
        <v>89</v>
      </c>
      <c r="T28" s="306"/>
    </row>
    <row r="29" spans="1:20" ht="24" customHeight="1">
      <c r="A29" s="58" t="s">
        <v>15</v>
      </c>
      <c r="B29" s="8"/>
      <c r="C29" s="14" t="s">
        <v>82</v>
      </c>
      <c r="D29" s="9"/>
      <c r="E29" s="9"/>
      <c r="F29" s="9"/>
      <c r="G29" s="10"/>
      <c r="H29" s="11"/>
      <c r="I29" s="11"/>
      <c r="J29" s="12">
        <v>16322.08</v>
      </c>
      <c r="K29" s="12"/>
      <c r="L29" s="111">
        <f aca="true" t="shared" si="10" ref="L29:L40">SUM(J29:K29)</f>
        <v>16322.08</v>
      </c>
      <c r="M29" s="12">
        <f>L29</f>
        <v>16322.08</v>
      </c>
      <c r="N29" s="12"/>
      <c r="O29" s="111">
        <f aca="true" t="shared" si="11" ref="O29:O40">M29+N29</f>
        <v>16322.08</v>
      </c>
      <c r="P29" s="12">
        <f aca="true" t="shared" si="12" ref="P29:P40">M29*0.65</f>
        <v>10609.352</v>
      </c>
      <c r="Q29" s="12">
        <f aca="true" t="shared" si="13" ref="Q29:Q40">N29*0.65</f>
        <v>0</v>
      </c>
      <c r="R29" s="111">
        <f aca="true" t="shared" si="14" ref="R29:R40">P29+Q29</f>
        <v>10609.352</v>
      </c>
      <c r="S29" s="305" t="s">
        <v>94</v>
      </c>
      <c r="T29" s="306"/>
    </row>
    <row r="30" spans="1:20" ht="39.75" customHeight="1">
      <c r="A30" s="58" t="s">
        <v>15</v>
      </c>
      <c r="B30" s="8"/>
      <c r="C30" s="14" t="s">
        <v>41</v>
      </c>
      <c r="D30" s="9"/>
      <c r="E30" s="9"/>
      <c r="F30" s="9"/>
      <c r="G30" s="10"/>
      <c r="H30" s="11"/>
      <c r="I30" s="11"/>
      <c r="J30" s="12">
        <v>4695.92</v>
      </c>
      <c r="K30" s="12"/>
      <c r="L30" s="111">
        <f t="shared" si="10"/>
        <v>4695.92</v>
      </c>
      <c r="M30" s="31">
        <v>0</v>
      </c>
      <c r="N30" s="31"/>
      <c r="O30" s="111">
        <f t="shared" si="11"/>
        <v>0</v>
      </c>
      <c r="P30" s="12">
        <f t="shared" si="12"/>
        <v>0</v>
      </c>
      <c r="Q30" s="12">
        <f t="shared" si="13"/>
        <v>0</v>
      </c>
      <c r="R30" s="111">
        <f t="shared" si="14"/>
        <v>0</v>
      </c>
      <c r="S30" s="305" t="s">
        <v>92</v>
      </c>
      <c r="T30" s="306"/>
    </row>
    <row r="31" spans="1:20" ht="35.25" customHeight="1">
      <c r="A31" s="58" t="s">
        <v>15</v>
      </c>
      <c r="B31" s="8"/>
      <c r="C31" s="14" t="s">
        <v>83</v>
      </c>
      <c r="D31" s="9"/>
      <c r="E31" s="9"/>
      <c r="F31" s="9"/>
      <c r="G31" s="10"/>
      <c r="H31" s="11"/>
      <c r="I31" s="11"/>
      <c r="J31" s="12">
        <v>6738.43</v>
      </c>
      <c r="K31" s="12"/>
      <c r="L31" s="111">
        <f t="shared" si="10"/>
        <v>6738.43</v>
      </c>
      <c r="M31" s="12">
        <f aca="true" t="shared" si="15" ref="M31:M38">L31</f>
        <v>6738.43</v>
      </c>
      <c r="N31" s="12"/>
      <c r="O31" s="111">
        <f t="shared" si="11"/>
        <v>6738.43</v>
      </c>
      <c r="P31" s="12">
        <f t="shared" si="12"/>
        <v>4379.9795</v>
      </c>
      <c r="Q31" s="12">
        <f t="shared" si="13"/>
        <v>0</v>
      </c>
      <c r="R31" s="111">
        <f t="shared" si="14"/>
        <v>4379.9795</v>
      </c>
      <c r="S31" s="305" t="s">
        <v>95</v>
      </c>
      <c r="T31" s="306"/>
    </row>
    <row r="32" spans="1:20" ht="22.5" customHeight="1">
      <c r="A32" s="58" t="s">
        <v>15</v>
      </c>
      <c r="B32" s="8"/>
      <c r="C32" s="16" t="s">
        <v>134</v>
      </c>
      <c r="D32" s="9"/>
      <c r="E32" s="9"/>
      <c r="F32" s="9"/>
      <c r="G32" s="10"/>
      <c r="H32" s="11"/>
      <c r="I32" s="11"/>
      <c r="J32" s="12">
        <v>27757.6</v>
      </c>
      <c r="K32" s="12"/>
      <c r="L32" s="111">
        <f t="shared" si="10"/>
        <v>27757.6</v>
      </c>
      <c r="M32" s="12">
        <f t="shared" si="15"/>
        <v>27757.6</v>
      </c>
      <c r="N32" s="12"/>
      <c r="O32" s="111">
        <f t="shared" si="11"/>
        <v>27757.6</v>
      </c>
      <c r="P32" s="12">
        <f t="shared" si="12"/>
        <v>18042.44</v>
      </c>
      <c r="Q32" s="12">
        <f t="shared" si="13"/>
        <v>0</v>
      </c>
      <c r="R32" s="111">
        <f t="shared" si="14"/>
        <v>18042.44</v>
      </c>
      <c r="S32" s="305" t="s">
        <v>93</v>
      </c>
      <c r="T32" s="306"/>
    </row>
    <row r="33" spans="1:20" ht="26.25" customHeight="1">
      <c r="A33" s="58" t="s">
        <v>15</v>
      </c>
      <c r="B33" s="8"/>
      <c r="C33" s="14" t="s">
        <v>42</v>
      </c>
      <c r="D33" s="9"/>
      <c r="E33" s="9"/>
      <c r="F33" s="9"/>
      <c r="G33" s="10"/>
      <c r="H33" s="11"/>
      <c r="I33" s="11"/>
      <c r="J33" s="12">
        <v>21628.87</v>
      </c>
      <c r="K33" s="12"/>
      <c r="L33" s="111">
        <f t="shared" si="10"/>
        <v>21628.87</v>
      </c>
      <c r="M33" s="12">
        <f t="shared" si="15"/>
        <v>21628.87</v>
      </c>
      <c r="N33" s="12"/>
      <c r="O33" s="111">
        <f t="shared" si="11"/>
        <v>21628.87</v>
      </c>
      <c r="P33" s="12">
        <f t="shared" si="12"/>
        <v>14058.7655</v>
      </c>
      <c r="Q33" s="12">
        <f t="shared" si="13"/>
        <v>0</v>
      </c>
      <c r="R33" s="111">
        <f t="shared" si="14"/>
        <v>14058.7655</v>
      </c>
      <c r="S33" s="305" t="s">
        <v>94</v>
      </c>
      <c r="T33" s="306"/>
    </row>
    <row r="34" spans="1:20" ht="25.5" customHeight="1">
      <c r="A34" s="58" t="s">
        <v>15</v>
      </c>
      <c r="B34" s="8"/>
      <c r="C34" s="14" t="s">
        <v>43</v>
      </c>
      <c r="D34" s="9"/>
      <c r="E34" s="9"/>
      <c r="F34" s="9"/>
      <c r="G34" s="10"/>
      <c r="H34" s="11"/>
      <c r="I34" s="11"/>
      <c r="J34" s="12">
        <v>13192.05</v>
      </c>
      <c r="K34" s="12"/>
      <c r="L34" s="111">
        <f t="shared" si="10"/>
        <v>13192.05</v>
      </c>
      <c r="M34" s="12">
        <f t="shared" si="15"/>
        <v>13192.05</v>
      </c>
      <c r="N34" s="12"/>
      <c r="O34" s="111">
        <f t="shared" si="11"/>
        <v>13192.05</v>
      </c>
      <c r="P34" s="12">
        <f t="shared" si="12"/>
        <v>8574.8325</v>
      </c>
      <c r="Q34" s="12">
        <f t="shared" si="13"/>
        <v>0</v>
      </c>
      <c r="R34" s="111">
        <f t="shared" si="14"/>
        <v>8574.8325</v>
      </c>
      <c r="S34" s="305" t="s">
        <v>94</v>
      </c>
      <c r="T34" s="306"/>
    </row>
    <row r="35" spans="1:20" ht="16.5" customHeight="1">
      <c r="A35" s="58" t="s">
        <v>15</v>
      </c>
      <c r="B35" s="8"/>
      <c r="C35" s="14" t="s">
        <v>44</v>
      </c>
      <c r="D35" s="9"/>
      <c r="E35" s="9"/>
      <c r="F35" s="9"/>
      <c r="G35" s="10"/>
      <c r="H35" s="11"/>
      <c r="I35" s="11"/>
      <c r="J35" s="12">
        <v>5257.56</v>
      </c>
      <c r="K35" s="12"/>
      <c r="L35" s="111">
        <f t="shared" si="10"/>
        <v>5257.56</v>
      </c>
      <c r="M35" s="12">
        <f t="shared" si="15"/>
        <v>5257.56</v>
      </c>
      <c r="N35" s="12"/>
      <c r="O35" s="111">
        <f t="shared" si="11"/>
        <v>5257.56</v>
      </c>
      <c r="P35" s="12">
        <f t="shared" si="12"/>
        <v>3417.414</v>
      </c>
      <c r="Q35" s="12">
        <f t="shared" si="13"/>
        <v>0</v>
      </c>
      <c r="R35" s="111">
        <f t="shared" si="14"/>
        <v>3417.414</v>
      </c>
      <c r="S35" s="305" t="s">
        <v>93</v>
      </c>
      <c r="T35" s="306"/>
    </row>
    <row r="36" spans="1:20" ht="24.75" customHeight="1">
      <c r="A36" s="58" t="s">
        <v>15</v>
      </c>
      <c r="B36" s="8"/>
      <c r="C36" s="14" t="s">
        <v>45</v>
      </c>
      <c r="D36" s="9"/>
      <c r="E36" s="9"/>
      <c r="F36" s="9"/>
      <c r="G36" s="10"/>
      <c r="H36" s="11"/>
      <c r="I36" s="11"/>
      <c r="J36" s="12">
        <v>13123.89</v>
      </c>
      <c r="K36" s="12"/>
      <c r="L36" s="111">
        <f t="shared" si="10"/>
        <v>13123.89</v>
      </c>
      <c r="M36" s="12">
        <f t="shared" si="15"/>
        <v>13123.89</v>
      </c>
      <c r="N36" s="12"/>
      <c r="O36" s="111">
        <f t="shared" si="11"/>
        <v>13123.89</v>
      </c>
      <c r="P36" s="12">
        <f t="shared" si="12"/>
        <v>8530.5285</v>
      </c>
      <c r="Q36" s="12">
        <f t="shared" si="13"/>
        <v>0</v>
      </c>
      <c r="R36" s="111">
        <f t="shared" si="14"/>
        <v>8530.5285</v>
      </c>
      <c r="S36" s="305" t="s">
        <v>94</v>
      </c>
      <c r="T36" s="306"/>
    </row>
    <row r="37" spans="1:20" ht="36.75" customHeight="1">
      <c r="A37" s="58" t="s">
        <v>15</v>
      </c>
      <c r="B37" s="8"/>
      <c r="C37" s="67" t="s">
        <v>124</v>
      </c>
      <c r="D37" s="9"/>
      <c r="E37" s="9"/>
      <c r="F37" s="9"/>
      <c r="G37" s="10"/>
      <c r="H37" s="11"/>
      <c r="I37" s="11"/>
      <c r="J37" s="12">
        <v>54684.08</v>
      </c>
      <c r="K37" s="12"/>
      <c r="L37" s="111">
        <f t="shared" si="10"/>
        <v>54684.08</v>
      </c>
      <c r="M37" s="12">
        <f t="shared" si="15"/>
        <v>54684.08</v>
      </c>
      <c r="N37" s="12"/>
      <c r="O37" s="111">
        <f t="shared" si="11"/>
        <v>54684.08</v>
      </c>
      <c r="P37" s="12">
        <f t="shared" si="12"/>
        <v>35544.652</v>
      </c>
      <c r="Q37" s="12">
        <f t="shared" si="13"/>
        <v>0</v>
      </c>
      <c r="R37" s="111">
        <f t="shared" si="14"/>
        <v>35544.652</v>
      </c>
      <c r="S37" s="305" t="s">
        <v>96</v>
      </c>
      <c r="T37" s="306"/>
    </row>
    <row r="38" spans="1:20" ht="24.75" customHeight="1">
      <c r="A38" s="58" t="s">
        <v>15</v>
      </c>
      <c r="B38" s="8"/>
      <c r="C38" s="14" t="s">
        <v>46</v>
      </c>
      <c r="D38" s="9"/>
      <c r="E38" s="9"/>
      <c r="F38" s="9"/>
      <c r="G38" s="10"/>
      <c r="H38" s="11"/>
      <c r="I38" s="11"/>
      <c r="J38" s="12">
        <v>20238.4</v>
      </c>
      <c r="K38" s="12"/>
      <c r="L38" s="111">
        <f t="shared" si="10"/>
        <v>20238.4</v>
      </c>
      <c r="M38" s="12">
        <f t="shared" si="15"/>
        <v>20238.4</v>
      </c>
      <c r="N38" s="12"/>
      <c r="O38" s="111">
        <f t="shared" si="11"/>
        <v>20238.4</v>
      </c>
      <c r="P38" s="12">
        <f t="shared" si="12"/>
        <v>13154.960000000001</v>
      </c>
      <c r="Q38" s="12">
        <f t="shared" si="13"/>
        <v>0</v>
      </c>
      <c r="R38" s="111">
        <f t="shared" si="14"/>
        <v>13154.960000000001</v>
      </c>
      <c r="S38" s="305" t="s">
        <v>93</v>
      </c>
      <c r="T38" s="306"/>
    </row>
    <row r="39" spans="1:20" ht="35.25" customHeight="1">
      <c r="A39" s="58" t="s">
        <v>15</v>
      </c>
      <c r="B39" s="8"/>
      <c r="C39" s="14" t="s">
        <v>52</v>
      </c>
      <c r="D39" s="9"/>
      <c r="E39" s="9"/>
      <c r="F39" s="9"/>
      <c r="G39" s="10"/>
      <c r="H39" s="11"/>
      <c r="I39" s="11"/>
      <c r="J39" s="12">
        <v>1461.44</v>
      </c>
      <c r="K39" s="12"/>
      <c r="L39" s="111">
        <f t="shared" si="10"/>
        <v>1461.44</v>
      </c>
      <c r="M39" s="31">
        <v>0</v>
      </c>
      <c r="N39" s="31"/>
      <c r="O39" s="111">
        <f t="shared" si="11"/>
        <v>0</v>
      </c>
      <c r="P39" s="12">
        <f t="shared" si="12"/>
        <v>0</v>
      </c>
      <c r="Q39" s="12">
        <f t="shared" si="13"/>
        <v>0</v>
      </c>
      <c r="R39" s="111">
        <f t="shared" si="14"/>
        <v>0</v>
      </c>
      <c r="S39" s="305" t="s">
        <v>92</v>
      </c>
      <c r="T39" s="306"/>
    </row>
    <row r="40" spans="1:20" ht="37.5" customHeight="1">
      <c r="A40" s="58" t="s">
        <v>15</v>
      </c>
      <c r="B40" s="8"/>
      <c r="C40" s="14" t="s">
        <v>40</v>
      </c>
      <c r="D40" s="9"/>
      <c r="E40" s="9"/>
      <c r="F40" s="9"/>
      <c r="G40" s="10"/>
      <c r="H40" s="11"/>
      <c r="I40" s="11"/>
      <c r="J40" s="12">
        <v>29018.88</v>
      </c>
      <c r="K40" s="12"/>
      <c r="L40" s="111">
        <f t="shared" si="10"/>
        <v>29018.88</v>
      </c>
      <c r="M40" s="12">
        <f>L40</f>
        <v>29018.88</v>
      </c>
      <c r="N40" s="12"/>
      <c r="O40" s="111">
        <f t="shared" si="11"/>
        <v>29018.88</v>
      </c>
      <c r="P40" s="12">
        <f t="shared" si="12"/>
        <v>18862.272</v>
      </c>
      <c r="Q40" s="12">
        <f t="shared" si="13"/>
        <v>0</v>
      </c>
      <c r="R40" s="111">
        <f t="shared" si="14"/>
        <v>18862.272</v>
      </c>
      <c r="S40" s="305" t="s">
        <v>94</v>
      </c>
      <c r="T40" s="306"/>
    </row>
    <row r="41" spans="1:20" s="103" customFormat="1" ht="49.5" customHeight="1">
      <c r="A41" s="97" t="s">
        <v>110</v>
      </c>
      <c r="B41" s="98"/>
      <c r="C41" s="99" t="s">
        <v>111</v>
      </c>
      <c r="D41" s="99"/>
      <c r="E41" s="99"/>
      <c r="F41" s="99"/>
      <c r="G41" s="100"/>
      <c r="H41" s="101"/>
      <c r="I41" s="101"/>
      <c r="J41" s="102"/>
      <c r="K41" s="102"/>
      <c r="L41" s="111">
        <v>254118.48</v>
      </c>
      <c r="M41" s="102">
        <f>254118.48-21350.25-37621.74</f>
        <v>195146.49000000002</v>
      </c>
      <c r="N41" s="102"/>
      <c r="O41" s="111">
        <f>M41+N41</f>
        <v>195146.49000000002</v>
      </c>
      <c r="P41" s="102">
        <f>M41*0.65</f>
        <v>126845.21850000002</v>
      </c>
      <c r="Q41" s="102">
        <f>N41*0.65</f>
        <v>0</v>
      </c>
      <c r="R41" s="111">
        <f aca="true" t="shared" si="16" ref="R41:R67">P41+Q41</f>
        <v>126845.21850000002</v>
      </c>
      <c r="S41" s="312" t="s">
        <v>112</v>
      </c>
      <c r="T41" s="313"/>
    </row>
    <row r="42" spans="1:20" s="91" customFormat="1" ht="23.25" customHeight="1">
      <c r="A42" s="85" t="s">
        <v>110</v>
      </c>
      <c r="B42" s="86"/>
      <c r="C42" s="14" t="s">
        <v>83</v>
      </c>
      <c r="D42" s="87" t="s">
        <v>127</v>
      </c>
      <c r="E42" s="87"/>
      <c r="F42" s="87"/>
      <c r="G42" s="88"/>
      <c r="H42" s="89"/>
      <c r="I42" s="89"/>
      <c r="J42" s="31">
        <f>18.27*420</f>
        <v>7673.4</v>
      </c>
      <c r="K42" s="31"/>
      <c r="L42" s="111">
        <f aca="true" t="shared" si="17" ref="L42:L54">+K42+J42</f>
        <v>7673.4</v>
      </c>
      <c r="M42" s="31">
        <v>7673.4</v>
      </c>
      <c r="N42" s="31"/>
      <c r="O42" s="111">
        <f aca="true" t="shared" si="18" ref="O42:O51">+N42+M42</f>
        <v>7673.4</v>
      </c>
      <c r="P42" s="31">
        <f aca="true" t="shared" si="19" ref="P42:P51">+M42*0.65</f>
        <v>4987.71</v>
      </c>
      <c r="Q42" s="31">
        <f aca="true" t="shared" si="20" ref="Q42:Q51">+N42*0.65</f>
        <v>0</v>
      </c>
      <c r="R42" s="111">
        <f t="shared" si="16"/>
        <v>4987.71</v>
      </c>
      <c r="S42" s="353" t="s">
        <v>128</v>
      </c>
      <c r="T42" s="354"/>
    </row>
    <row r="43" spans="1:20" s="91" customFormat="1" ht="18" customHeight="1">
      <c r="A43" s="85" t="s">
        <v>110</v>
      </c>
      <c r="B43" s="86"/>
      <c r="C43" s="14" t="s">
        <v>45</v>
      </c>
      <c r="D43" s="87" t="s">
        <v>129</v>
      </c>
      <c r="E43" s="87"/>
      <c r="F43" s="87"/>
      <c r="G43" s="88"/>
      <c r="H43" s="89"/>
      <c r="I43" s="89"/>
      <c r="J43" s="31">
        <f>18.85*350+15.54*130+15.54*120</f>
        <v>10482.5</v>
      </c>
      <c r="K43" s="31"/>
      <c r="L43" s="111">
        <f t="shared" si="17"/>
        <v>10482.5</v>
      </c>
      <c r="M43" s="31">
        <v>10482.5</v>
      </c>
      <c r="N43" s="31"/>
      <c r="O43" s="111">
        <f t="shared" si="18"/>
        <v>10482.5</v>
      </c>
      <c r="P43" s="31">
        <f t="shared" si="19"/>
        <v>6813.625</v>
      </c>
      <c r="Q43" s="31">
        <f t="shared" si="20"/>
        <v>0</v>
      </c>
      <c r="R43" s="111">
        <f aca="true" t="shared" si="21" ref="R43:R51">P43+Q43</f>
        <v>6813.625</v>
      </c>
      <c r="S43" s="353" t="s">
        <v>128</v>
      </c>
      <c r="T43" s="354"/>
    </row>
    <row r="44" spans="1:20" s="91" customFormat="1" ht="20.25" customHeight="1">
      <c r="A44" s="85" t="s">
        <v>110</v>
      </c>
      <c r="B44" s="86"/>
      <c r="C44" s="67" t="s">
        <v>130</v>
      </c>
      <c r="D44" s="87" t="s">
        <v>131</v>
      </c>
      <c r="E44" s="87"/>
      <c r="F44" s="87"/>
      <c r="G44" s="88"/>
      <c r="H44" s="89"/>
      <c r="I44" s="89"/>
      <c r="J44" s="31">
        <f>13.45*385+13.27*305</f>
        <v>9225.6</v>
      </c>
      <c r="K44" s="31"/>
      <c r="L44" s="111">
        <f t="shared" si="17"/>
        <v>9225.6</v>
      </c>
      <c r="M44" s="31">
        <v>9225.6</v>
      </c>
      <c r="N44" s="31"/>
      <c r="O44" s="111">
        <f t="shared" si="18"/>
        <v>9225.6</v>
      </c>
      <c r="P44" s="31">
        <f t="shared" si="19"/>
        <v>5996.64</v>
      </c>
      <c r="Q44" s="31">
        <f t="shared" si="20"/>
        <v>0</v>
      </c>
      <c r="R44" s="111">
        <f t="shared" si="21"/>
        <v>5996.64</v>
      </c>
      <c r="S44" s="353" t="s">
        <v>128</v>
      </c>
      <c r="T44" s="354"/>
    </row>
    <row r="45" spans="1:20" s="91" customFormat="1" ht="23.25" customHeight="1">
      <c r="A45" s="85" t="s">
        <v>110</v>
      </c>
      <c r="B45" s="86"/>
      <c r="C45" s="14" t="s">
        <v>43</v>
      </c>
      <c r="D45" s="67" t="s">
        <v>132</v>
      </c>
      <c r="E45" s="87"/>
      <c r="F45" s="87"/>
      <c r="G45" s="88"/>
      <c r="H45" s="89"/>
      <c r="I45" s="89"/>
      <c r="J45" s="31">
        <f>13.69*258+10.47*396+9.14*310+13.69*576</f>
        <v>18396.98</v>
      </c>
      <c r="K45" s="31"/>
      <c r="L45" s="111">
        <f t="shared" si="17"/>
        <v>18396.98</v>
      </c>
      <c r="M45" s="31">
        <v>18396.98</v>
      </c>
      <c r="N45" s="31"/>
      <c r="O45" s="111">
        <f t="shared" si="18"/>
        <v>18396.98</v>
      </c>
      <c r="P45" s="31">
        <f t="shared" si="19"/>
        <v>11958.037</v>
      </c>
      <c r="Q45" s="31">
        <f t="shared" si="20"/>
        <v>0</v>
      </c>
      <c r="R45" s="111">
        <f t="shared" si="21"/>
        <v>11958.037</v>
      </c>
      <c r="S45" s="353" t="s">
        <v>128</v>
      </c>
      <c r="T45" s="354"/>
    </row>
    <row r="46" spans="1:20" s="91" customFormat="1" ht="23.25" customHeight="1">
      <c r="A46" s="85" t="s">
        <v>110</v>
      </c>
      <c r="B46" s="86"/>
      <c r="C46" s="14" t="s">
        <v>42</v>
      </c>
      <c r="D46" s="87" t="s">
        <v>133</v>
      </c>
      <c r="E46" s="87"/>
      <c r="F46" s="87"/>
      <c r="G46" s="88"/>
      <c r="H46" s="89"/>
      <c r="I46" s="89"/>
      <c r="J46" s="31">
        <f>18.15*270+18.06*250</f>
        <v>9415.5</v>
      </c>
      <c r="K46" s="31"/>
      <c r="L46" s="111">
        <f t="shared" si="17"/>
        <v>9415.5</v>
      </c>
      <c r="M46" s="31">
        <v>9415.5</v>
      </c>
      <c r="N46" s="31"/>
      <c r="O46" s="111">
        <f t="shared" si="18"/>
        <v>9415.5</v>
      </c>
      <c r="P46" s="31">
        <f t="shared" si="19"/>
        <v>6120.075</v>
      </c>
      <c r="Q46" s="31">
        <f t="shared" si="20"/>
        <v>0</v>
      </c>
      <c r="R46" s="111">
        <f t="shared" si="21"/>
        <v>6120.075</v>
      </c>
      <c r="S46" s="353" t="s">
        <v>128</v>
      </c>
      <c r="T46" s="354"/>
    </row>
    <row r="47" spans="1:20" s="91" customFormat="1" ht="33.75" customHeight="1">
      <c r="A47" s="85" t="s">
        <v>110</v>
      </c>
      <c r="B47" s="86"/>
      <c r="C47" s="16" t="s">
        <v>134</v>
      </c>
      <c r="D47" s="67" t="s">
        <v>135</v>
      </c>
      <c r="E47" s="87"/>
      <c r="F47" s="87"/>
      <c r="G47" s="88"/>
      <c r="H47" s="89"/>
      <c r="I47" s="89"/>
      <c r="J47" s="31">
        <f>37.08*71+18.17*208+11.62*207+12.3*186+13.34*182</f>
        <v>13533.060000000001</v>
      </c>
      <c r="K47" s="31"/>
      <c r="L47" s="111">
        <f t="shared" si="17"/>
        <v>13533.060000000001</v>
      </c>
      <c r="M47" s="31">
        <v>13533.06</v>
      </c>
      <c r="N47" s="31"/>
      <c r="O47" s="111">
        <f t="shared" si="18"/>
        <v>13533.06</v>
      </c>
      <c r="P47" s="31">
        <f t="shared" si="19"/>
        <v>8796.489</v>
      </c>
      <c r="Q47" s="31">
        <f t="shared" si="20"/>
        <v>0</v>
      </c>
      <c r="R47" s="111">
        <f t="shared" si="21"/>
        <v>8796.489</v>
      </c>
      <c r="S47" s="353" t="s">
        <v>128</v>
      </c>
      <c r="T47" s="354"/>
    </row>
    <row r="48" spans="1:20" s="91" customFormat="1" ht="23.25" customHeight="1">
      <c r="A48" s="85" t="s">
        <v>110</v>
      </c>
      <c r="B48" s="86"/>
      <c r="C48" s="67" t="s">
        <v>44</v>
      </c>
      <c r="D48" s="87" t="s">
        <v>136</v>
      </c>
      <c r="E48" s="87"/>
      <c r="F48" s="87"/>
      <c r="G48" s="88"/>
      <c r="H48" s="89"/>
      <c r="I48" s="89"/>
      <c r="J48" s="31">
        <f>17.08*300</f>
        <v>5123.999999999999</v>
      </c>
      <c r="K48" s="31"/>
      <c r="L48" s="111">
        <f t="shared" si="17"/>
        <v>5123.999999999999</v>
      </c>
      <c r="M48" s="31">
        <v>5124</v>
      </c>
      <c r="N48" s="31"/>
      <c r="O48" s="111">
        <f t="shared" si="18"/>
        <v>5124</v>
      </c>
      <c r="P48" s="31">
        <f t="shared" si="19"/>
        <v>3330.6</v>
      </c>
      <c r="Q48" s="31">
        <f t="shared" si="20"/>
        <v>0</v>
      </c>
      <c r="R48" s="111">
        <f t="shared" si="21"/>
        <v>3330.6</v>
      </c>
      <c r="S48" s="353" t="s">
        <v>128</v>
      </c>
      <c r="T48" s="354"/>
    </row>
    <row r="49" spans="1:20" s="91" customFormat="1" ht="33.75" customHeight="1">
      <c r="A49" s="85" t="s">
        <v>110</v>
      </c>
      <c r="B49" s="86"/>
      <c r="C49" s="14" t="s">
        <v>52</v>
      </c>
      <c r="D49" s="87" t="s">
        <v>140</v>
      </c>
      <c r="E49" s="87"/>
      <c r="F49" s="87"/>
      <c r="G49" s="88"/>
      <c r="H49" s="89"/>
      <c r="I49" s="89"/>
      <c r="J49" s="31">
        <v>21350.25</v>
      </c>
      <c r="K49" s="31"/>
      <c r="L49" s="111">
        <f t="shared" si="17"/>
        <v>21350.25</v>
      </c>
      <c r="M49" s="31"/>
      <c r="N49" s="31"/>
      <c r="O49" s="111">
        <f t="shared" si="18"/>
        <v>0</v>
      </c>
      <c r="P49" s="31">
        <f t="shared" si="19"/>
        <v>0</v>
      </c>
      <c r="Q49" s="31">
        <f t="shared" si="20"/>
        <v>0</v>
      </c>
      <c r="R49" s="111">
        <f t="shared" si="21"/>
        <v>0</v>
      </c>
      <c r="S49" s="305" t="s">
        <v>92</v>
      </c>
      <c r="T49" s="306"/>
    </row>
    <row r="50" spans="1:20" s="91" customFormat="1" ht="23.25" customHeight="1">
      <c r="A50" s="85" t="s">
        <v>110</v>
      </c>
      <c r="B50" s="86"/>
      <c r="C50" s="67" t="s">
        <v>137</v>
      </c>
      <c r="D50" s="67" t="s">
        <v>138</v>
      </c>
      <c r="E50" s="87"/>
      <c r="F50" s="87"/>
      <c r="G50" s="88"/>
      <c r="H50" s="89"/>
      <c r="I50" s="89"/>
      <c r="J50" s="31">
        <f>25.69*140+18.07*140+18.19*140+18.07*140</f>
        <v>11202.8</v>
      </c>
      <c r="K50" s="31"/>
      <c r="L50" s="111">
        <f t="shared" si="17"/>
        <v>11202.8</v>
      </c>
      <c r="M50" s="31">
        <v>11202.8</v>
      </c>
      <c r="N50" s="31"/>
      <c r="O50" s="111">
        <f t="shared" si="18"/>
        <v>11202.8</v>
      </c>
      <c r="P50" s="31">
        <f t="shared" si="19"/>
        <v>7281.82</v>
      </c>
      <c r="Q50" s="31">
        <f t="shared" si="20"/>
        <v>0</v>
      </c>
      <c r="R50" s="111">
        <f t="shared" si="21"/>
        <v>7281.82</v>
      </c>
      <c r="S50" s="353"/>
      <c r="T50" s="354"/>
    </row>
    <row r="51" spans="1:20" s="91" customFormat="1" ht="23.25" customHeight="1">
      <c r="A51" s="85" t="s">
        <v>110</v>
      </c>
      <c r="B51" s="86"/>
      <c r="C51" s="67" t="s">
        <v>124</v>
      </c>
      <c r="D51" s="87" t="s">
        <v>139</v>
      </c>
      <c r="E51" s="87"/>
      <c r="F51" s="87"/>
      <c r="G51" s="88"/>
      <c r="H51" s="89"/>
      <c r="I51" s="89"/>
      <c r="J51" s="31">
        <v>95868.64</v>
      </c>
      <c r="K51" s="31"/>
      <c r="L51" s="111">
        <f t="shared" si="17"/>
        <v>95868.64</v>
      </c>
      <c r="M51" s="31">
        <v>95868.64</v>
      </c>
      <c r="N51" s="31"/>
      <c r="O51" s="111">
        <f t="shared" si="18"/>
        <v>95868.64</v>
      </c>
      <c r="P51" s="31">
        <f t="shared" si="19"/>
        <v>62314.616</v>
      </c>
      <c r="Q51" s="31">
        <f t="shared" si="20"/>
        <v>0</v>
      </c>
      <c r="R51" s="111">
        <f t="shared" si="21"/>
        <v>62314.616</v>
      </c>
      <c r="S51" s="353" t="s">
        <v>128</v>
      </c>
      <c r="T51" s="354"/>
    </row>
    <row r="52" spans="1:20" s="91" customFormat="1" ht="36" customHeight="1">
      <c r="A52" s="85" t="s">
        <v>110</v>
      </c>
      <c r="B52" s="86"/>
      <c r="C52" s="67" t="s">
        <v>41</v>
      </c>
      <c r="D52" s="87" t="s">
        <v>141</v>
      </c>
      <c r="E52" s="87"/>
      <c r="F52" s="87"/>
      <c r="G52" s="88"/>
      <c r="H52" s="89"/>
      <c r="I52" s="89"/>
      <c r="J52" s="31">
        <v>37621.74</v>
      </c>
      <c r="K52" s="31"/>
      <c r="L52" s="111">
        <f t="shared" si="17"/>
        <v>37621.74</v>
      </c>
      <c r="M52" s="31"/>
      <c r="N52" s="31"/>
      <c r="O52" s="111"/>
      <c r="P52" s="31"/>
      <c r="Q52" s="31"/>
      <c r="R52" s="111"/>
      <c r="S52" s="305" t="s">
        <v>92</v>
      </c>
      <c r="T52" s="306"/>
    </row>
    <row r="53" spans="1:20" s="91" customFormat="1" ht="23.25" customHeight="1">
      <c r="A53" s="85" t="s">
        <v>110</v>
      </c>
      <c r="B53" s="86"/>
      <c r="C53" s="14" t="s">
        <v>82</v>
      </c>
      <c r="D53" s="87" t="s">
        <v>142</v>
      </c>
      <c r="E53" s="87"/>
      <c r="F53" s="87"/>
      <c r="G53" s="88"/>
      <c r="H53" s="89"/>
      <c r="I53" s="89"/>
      <c r="J53" s="31">
        <f>24.68*120+23.75*84+21.11*95+21.11*116</f>
        <v>9410.81</v>
      </c>
      <c r="K53" s="31"/>
      <c r="L53" s="111">
        <f t="shared" si="17"/>
        <v>9410.81</v>
      </c>
      <c r="M53" s="31">
        <v>9410.81</v>
      </c>
      <c r="N53" s="31"/>
      <c r="O53" s="111">
        <f>+N53+M53</f>
        <v>9410.81</v>
      </c>
      <c r="P53" s="31">
        <f>+M53*0.65</f>
        <v>6117.0265</v>
      </c>
      <c r="Q53" s="31">
        <f>+N53*0.65</f>
        <v>0</v>
      </c>
      <c r="R53" s="111">
        <f>P53+Q53</f>
        <v>6117.0265</v>
      </c>
      <c r="S53" s="353" t="s">
        <v>128</v>
      </c>
      <c r="T53" s="354"/>
    </row>
    <row r="54" spans="1:20" s="91" customFormat="1" ht="23.25" customHeight="1">
      <c r="A54" s="85" t="s">
        <v>110</v>
      </c>
      <c r="B54" s="86"/>
      <c r="C54" s="14" t="s">
        <v>40</v>
      </c>
      <c r="D54" s="87" t="s">
        <v>143</v>
      </c>
      <c r="E54" s="87"/>
      <c r="F54" s="87"/>
      <c r="G54" s="88"/>
      <c r="H54" s="89"/>
      <c r="I54" s="89"/>
      <c r="J54" s="31">
        <f>16.25*650+11.42*100+11.42*520+44.9*326+16.06*604</f>
        <v>41980.54</v>
      </c>
      <c r="K54" s="31"/>
      <c r="L54" s="111">
        <f t="shared" si="17"/>
        <v>41980.54</v>
      </c>
      <c r="M54" s="31">
        <v>41980.54</v>
      </c>
      <c r="N54" s="31"/>
      <c r="O54" s="111">
        <f>+N54+M54</f>
        <v>41980.54</v>
      </c>
      <c r="P54" s="31">
        <f>+M54*0.65</f>
        <v>27287.351000000002</v>
      </c>
      <c r="Q54" s="31">
        <f>+N54*0.65</f>
        <v>0</v>
      </c>
      <c r="R54" s="111">
        <f>P54+Q54</f>
        <v>27287.351000000002</v>
      </c>
      <c r="S54" s="353" t="s">
        <v>128</v>
      </c>
      <c r="T54" s="354"/>
    </row>
    <row r="55" spans="1:20" s="103" customFormat="1" ht="26.25" customHeight="1">
      <c r="A55" s="97" t="s">
        <v>116</v>
      </c>
      <c r="B55" s="98"/>
      <c r="C55" s="99" t="s">
        <v>111</v>
      </c>
      <c r="D55" s="99"/>
      <c r="E55" s="99"/>
      <c r="F55" s="99"/>
      <c r="G55" s="100"/>
      <c r="H55" s="101"/>
      <c r="I55" s="101"/>
      <c r="J55" s="102"/>
      <c r="K55" s="102"/>
      <c r="L55" s="111">
        <v>214391.01</v>
      </c>
      <c r="M55" s="102">
        <v>214391.01</v>
      </c>
      <c r="N55" s="102">
        <f>SUM(N56:N66)</f>
        <v>0</v>
      </c>
      <c r="O55" s="111">
        <v>214391.01</v>
      </c>
      <c r="P55" s="102">
        <v>139354.1565</v>
      </c>
      <c r="Q55" s="102">
        <f>SUM(Q56:Q66)</f>
        <v>0</v>
      </c>
      <c r="R55" s="111">
        <v>139354.1565</v>
      </c>
      <c r="S55" s="312" t="s">
        <v>117</v>
      </c>
      <c r="T55" s="313"/>
    </row>
    <row r="56" spans="1:20" s="91" customFormat="1" ht="23.25" customHeight="1">
      <c r="A56" s="85" t="s">
        <v>116</v>
      </c>
      <c r="B56" s="86"/>
      <c r="C56" s="67" t="s">
        <v>40</v>
      </c>
      <c r="D56" s="87" t="s">
        <v>148</v>
      </c>
      <c r="E56" s="87"/>
      <c r="F56" s="87"/>
      <c r="G56" s="88"/>
      <c r="H56" s="89"/>
      <c r="I56" s="89"/>
      <c r="J56" s="31">
        <f>35.96*568+11.42*300+11.42*400+16.06*656</f>
        <v>38954.64</v>
      </c>
      <c r="K56" s="31"/>
      <c r="L56" s="111">
        <v>38954.64</v>
      </c>
      <c r="M56" s="31">
        <v>38954.64</v>
      </c>
      <c r="N56" s="31"/>
      <c r="O56" s="111">
        <f aca="true" t="shared" si="22" ref="O56:O66">M56+N56</f>
        <v>38954.64</v>
      </c>
      <c r="P56" s="31">
        <f>M56*0.65</f>
        <v>25320.516</v>
      </c>
      <c r="Q56" s="31">
        <f>N56*0.65</f>
        <v>0</v>
      </c>
      <c r="R56" s="111">
        <f t="shared" si="16"/>
        <v>25320.516</v>
      </c>
      <c r="S56" s="353" t="s">
        <v>149</v>
      </c>
      <c r="T56" s="354"/>
    </row>
    <row r="57" spans="1:20" s="91" customFormat="1" ht="15.75" customHeight="1">
      <c r="A57" s="85" t="s">
        <v>116</v>
      </c>
      <c r="B57" s="86"/>
      <c r="C57" s="67" t="s">
        <v>123</v>
      </c>
      <c r="D57" s="87" t="s">
        <v>223</v>
      </c>
      <c r="E57" s="87"/>
      <c r="F57" s="87"/>
      <c r="G57" s="88"/>
      <c r="H57" s="89"/>
      <c r="I57" s="89"/>
      <c r="J57" s="31">
        <f>25*37.08+60*18.17+60*11.62+50*12.3</f>
        <v>3329.4</v>
      </c>
      <c r="K57" s="31"/>
      <c r="L57" s="111">
        <f>37.08*25+18.17*60+11.62*60+12.3*50</f>
        <v>3329.4</v>
      </c>
      <c r="M57" s="31">
        <v>3329.4</v>
      </c>
      <c r="N57" s="31"/>
      <c r="O57" s="111">
        <f t="shared" si="22"/>
        <v>3329.4</v>
      </c>
      <c r="P57" s="31">
        <f aca="true" t="shared" si="23" ref="P57:P66">M57*0.65</f>
        <v>2164.11</v>
      </c>
      <c r="Q57" s="31">
        <f>N57*0.65</f>
        <v>0</v>
      </c>
      <c r="R57" s="111">
        <f t="shared" si="16"/>
        <v>2164.11</v>
      </c>
      <c r="S57" s="353" t="s">
        <v>128</v>
      </c>
      <c r="T57" s="354"/>
    </row>
    <row r="58" spans="1:20" s="91" customFormat="1" ht="22.5" customHeight="1">
      <c r="A58" s="85" t="s">
        <v>116</v>
      </c>
      <c r="B58" s="86"/>
      <c r="C58" s="67" t="s">
        <v>124</v>
      </c>
      <c r="D58" s="87" t="s">
        <v>224</v>
      </c>
      <c r="E58" s="87"/>
      <c r="F58" s="87"/>
      <c r="G58" s="88"/>
      <c r="H58" s="89"/>
      <c r="I58" s="89"/>
      <c r="J58" s="31">
        <f>83.77*236+65.21*68+41.58*157+34.64*150+33.29*236+18.07*165+17.82*165+15.6*228+15.6*210+15.6*210+22.07*326+17.82*151+17.82*164+17.82*450+17.82*452</f>
        <v>88696.91</v>
      </c>
      <c r="K58" s="31"/>
      <c r="L58" s="111">
        <v>88696.57</v>
      </c>
      <c r="M58" s="31">
        <v>88696.57</v>
      </c>
      <c r="N58" s="31"/>
      <c r="O58" s="111">
        <f t="shared" si="22"/>
        <v>88696.57</v>
      </c>
      <c r="P58" s="31">
        <f t="shared" si="23"/>
        <v>57652.770500000006</v>
      </c>
      <c r="Q58" s="31"/>
      <c r="R58" s="111">
        <f t="shared" si="16"/>
        <v>57652.770500000006</v>
      </c>
      <c r="S58" s="353" t="s">
        <v>128</v>
      </c>
      <c r="T58" s="354"/>
    </row>
    <row r="59" spans="1:20" s="91" customFormat="1" ht="22.5" customHeight="1">
      <c r="A59" s="85" t="s">
        <v>116</v>
      </c>
      <c r="B59" s="86"/>
      <c r="C59" s="67" t="s">
        <v>125</v>
      </c>
      <c r="D59" s="87" t="s">
        <v>225</v>
      </c>
      <c r="E59" s="87"/>
      <c r="F59" s="87"/>
      <c r="G59" s="88"/>
      <c r="H59" s="89"/>
      <c r="I59" s="89"/>
      <c r="J59" s="31">
        <f>25.69*560</f>
        <v>14386.400000000001</v>
      </c>
      <c r="K59" s="31"/>
      <c r="L59" s="111">
        <f>25.69*560</f>
        <v>14386.400000000001</v>
      </c>
      <c r="M59" s="31">
        <v>14386.4</v>
      </c>
      <c r="N59" s="31"/>
      <c r="O59" s="111">
        <f t="shared" si="22"/>
        <v>14386.4</v>
      </c>
      <c r="P59" s="31">
        <f t="shared" si="23"/>
        <v>9351.16</v>
      </c>
      <c r="Q59" s="31"/>
      <c r="R59" s="111">
        <f t="shared" si="16"/>
        <v>9351.16</v>
      </c>
      <c r="S59" s="353"/>
      <c r="T59" s="354"/>
    </row>
    <row r="60" spans="1:20" s="91" customFormat="1" ht="23.25" customHeight="1">
      <c r="A60" s="85" t="s">
        <v>116</v>
      </c>
      <c r="B60" s="86"/>
      <c r="C60" s="67" t="s">
        <v>130</v>
      </c>
      <c r="D60" s="87" t="s">
        <v>131</v>
      </c>
      <c r="E60" s="87"/>
      <c r="F60" s="87"/>
      <c r="G60" s="88"/>
      <c r="H60" s="89"/>
      <c r="I60" s="89"/>
      <c r="J60" s="31">
        <f>13.45*150+13.27*99</f>
        <v>3331.23</v>
      </c>
      <c r="K60" s="31"/>
      <c r="L60" s="111">
        <f>13.45*150+13.27*99</f>
        <v>3331.23</v>
      </c>
      <c r="M60" s="31">
        <v>3331.23</v>
      </c>
      <c r="N60" s="31"/>
      <c r="O60" s="111">
        <f t="shared" si="22"/>
        <v>3331.23</v>
      </c>
      <c r="P60" s="31">
        <f t="shared" si="23"/>
        <v>2165.2995</v>
      </c>
      <c r="Q60" s="31"/>
      <c r="R60" s="111">
        <f t="shared" si="16"/>
        <v>2165.2995</v>
      </c>
      <c r="S60" s="353" t="s">
        <v>128</v>
      </c>
      <c r="T60" s="354"/>
    </row>
    <row r="61" spans="1:20" s="91" customFormat="1" ht="22.5" customHeight="1">
      <c r="A61" s="85" t="s">
        <v>116</v>
      </c>
      <c r="B61" s="86"/>
      <c r="C61" s="67" t="s">
        <v>83</v>
      </c>
      <c r="D61" s="87" t="s">
        <v>226</v>
      </c>
      <c r="E61" s="87"/>
      <c r="F61" s="87"/>
      <c r="G61" s="88"/>
      <c r="H61" s="89"/>
      <c r="I61" s="89"/>
      <c r="J61" s="31">
        <f>18.27*182</f>
        <v>3325.14</v>
      </c>
      <c r="K61" s="31"/>
      <c r="L61" s="111">
        <f>18.27*182</f>
        <v>3325.14</v>
      </c>
      <c r="M61" s="31">
        <v>3325.14</v>
      </c>
      <c r="N61" s="31"/>
      <c r="O61" s="111">
        <f t="shared" si="22"/>
        <v>3325.14</v>
      </c>
      <c r="P61" s="31">
        <f t="shared" si="23"/>
        <v>2161.341</v>
      </c>
      <c r="Q61" s="31"/>
      <c r="R61" s="111">
        <f t="shared" si="16"/>
        <v>2161.341</v>
      </c>
      <c r="S61" s="353" t="s">
        <v>128</v>
      </c>
      <c r="T61" s="354"/>
    </row>
    <row r="62" spans="1:20" s="91" customFormat="1" ht="22.5" customHeight="1">
      <c r="A62" s="85" t="s">
        <v>116</v>
      </c>
      <c r="B62" s="86"/>
      <c r="C62" s="67" t="s">
        <v>43</v>
      </c>
      <c r="D62" s="87" t="s">
        <v>132</v>
      </c>
      <c r="E62" s="87"/>
      <c r="F62" s="87"/>
      <c r="G62" s="88"/>
      <c r="H62" s="89"/>
      <c r="I62" s="89"/>
      <c r="J62" s="31">
        <f>13.69*325+10.47*301+9.14*384+13.69*392</f>
        <v>16476.96</v>
      </c>
      <c r="K62" s="31"/>
      <c r="L62" s="111">
        <f>13.69*325+10.47*301+9.14*384+13.69*392</f>
        <v>16476.96</v>
      </c>
      <c r="M62" s="31">
        <v>16476.96</v>
      </c>
      <c r="N62" s="31"/>
      <c r="O62" s="111">
        <f t="shared" si="22"/>
        <v>16476.96</v>
      </c>
      <c r="P62" s="31">
        <f t="shared" si="23"/>
        <v>10710.024</v>
      </c>
      <c r="Q62" s="31"/>
      <c r="R62" s="111">
        <f t="shared" si="16"/>
        <v>10710.024</v>
      </c>
      <c r="S62" s="353" t="s">
        <v>128</v>
      </c>
      <c r="T62" s="354"/>
    </row>
    <row r="63" spans="1:20" s="91" customFormat="1" ht="24" customHeight="1">
      <c r="A63" s="85" t="s">
        <v>116</v>
      </c>
      <c r="B63" s="86"/>
      <c r="C63" s="67" t="s">
        <v>44</v>
      </c>
      <c r="D63" s="87" t="s">
        <v>227</v>
      </c>
      <c r="E63" s="87"/>
      <c r="F63" s="87"/>
      <c r="G63" s="88"/>
      <c r="H63" s="89"/>
      <c r="I63" s="89"/>
      <c r="J63" s="31">
        <f>17.08*548+12.91*250</f>
        <v>12587.339999999998</v>
      </c>
      <c r="K63" s="31"/>
      <c r="L63" s="111">
        <f>17.08*548+12.91*250</f>
        <v>12587.339999999998</v>
      </c>
      <c r="M63" s="31">
        <v>12587.34</v>
      </c>
      <c r="N63" s="31"/>
      <c r="O63" s="111">
        <f t="shared" si="22"/>
        <v>12587.34</v>
      </c>
      <c r="P63" s="31">
        <f t="shared" si="23"/>
        <v>8181.771000000001</v>
      </c>
      <c r="Q63" s="31"/>
      <c r="R63" s="111">
        <f t="shared" si="16"/>
        <v>8181.771000000001</v>
      </c>
      <c r="S63" s="353" t="s">
        <v>128</v>
      </c>
      <c r="T63" s="354"/>
    </row>
    <row r="64" spans="1:20" s="91" customFormat="1" ht="21.75" customHeight="1">
      <c r="A64" s="85" t="s">
        <v>116</v>
      </c>
      <c r="B64" s="86"/>
      <c r="C64" s="67" t="s">
        <v>45</v>
      </c>
      <c r="D64" s="87" t="s">
        <v>228</v>
      </c>
      <c r="E64" s="87"/>
      <c r="F64" s="87"/>
      <c r="G64" s="88"/>
      <c r="H64" s="89"/>
      <c r="I64" s="89"/>
      <c r="J64" s="31">
        <f>15.54*207+15.68*254+15.54*207+15.68*196</f>
        <v>13489.559999999998</v>
      </c>
      <c r="K64" s="31"/>
      <c r="L64" s="111">
        <f>15.54*207+15.68*254+15.54*207+15.68*196</f>
        <v>13489.559999999998</v>
      </c>
      <c r="M64" s="31">
        <v>13489.56</v>
      </c>
      <c r="N64" s="31"/>
      <c r="O64" s="111">
        <f t="shared" si="22"/>
        <v>13489.56</v>
      </c>
      <c r="P64" s="31">
        <f t="shared" si="23"/>
        <v>8768.214</v>
      </c>
      <c r="Q64" s="31"/>
      <c r="R64" s="111">
        <f t="shared" si="16"/>
        <v>8768.214</v>
      </c>
      <c r="S64" s="353" t="s">
        <v>128</v>
      </c>
      <c r="T64" s="354"/>
    </row>
    <row r="65" spans="1:20" s="91" customFormat="1" ht="24.75" customHeight="1">
      <c r="A65" s="85" t="s">
        <v>116</v>
      </c>
      <c r="B65" s="86"/>
      <c r="C65" s="67" t="s">
        <v>42</v>
      </c>
      <c r="D65" s="87" t="s">
        <v>229</v>
      </c>
      <c r="E65" s="87"/>
      <c r="F65" s="87"/>
      <c r="G65" s="88"/>
      <c r="H65" s="89"/>
      <c r="I65" s="89"/>
      <c r="J65" s="31">
        <f>231*18.15+212*18.06+351*24.1</f>
        <v>16480.47</v>
      </c>
      <c r="K65" s="31"/>
      <c r="L65" s="111">
        <f>231*18.15+212*18.06+351*24.1</f>
        <v>16480.47</v>
      </c>
      <c r="M65" s="31">
        <v>16480.47</v>
      </c>
      <c r="N65" s="31"/>
      <c r="O65" s="111">
        <f t="shared" si="22"/>
        <v>16480.47</v>
      </c>
      <c r="P65" s="31">
        <f t="shared" si="23"/>
        <v>10712.3055</v>
      </c>
      <c r="Q65" s="31"/>
      <c r="R65" s="111">
        <f t="shared" si="16"/>
        <v>10712.3055</v>
      </c>
      <c r="S65" s="353" t="s">
        <v>128</v>
      </c>
      <c r="T65" s="354"/>
    </row>
    <row r="66" spans="1:20" s="91" customFormat="1" ht="22.5" customHeight="1">
      <c r="A66" s="85" t="s">
        <v>116</v>
      </c>
      <c r="B66" s="86"/>
      <c r="C66" s="140" t="s">
        <v>82</v>
      </c>
      <c r="D66" s="141" t="s">
        <v>230</v>
      </c>
      <c r="E66" s="87"/>
      <c r="F66" s="87"/>
      <c r="G66" s="88"/>
      <c r="H66" s="89"/>
      <c r="I66" s="89"/>
      <c r="J66" s="31">
        <f>24.68*60+23.75*78</f>
        <v>3333.3</v>
      </c>
      <c r="K66" s="31"/>
      <c r="L66" s="111">
        <f>24.68*60+23.75*78</f>
        <v>3333.3</v>
      </c>
      <c r="M66" s="31">
        <v>3333.3</v>
      </c>
      <c r="N66" s="31"/>
      <c r="O66" s="111">
        <f t="shared" si="22"/>
        <v>3333.3</v>
      </c>
      <c r="P66" s="31">
        <f t="shared" si="23"/>
        <v>2166.645</v>
      </c>
      <c r="Q66" s="31"/>
      <c r="R66" s="111">
        <f t="shared" si="16"/>
        <v>2166.645</v>
      </c>
      <c r="S66" s="353" t="s">
        <v>128</v>
      </c>
      <c r="T66" s="354"/>
    </row>
    <row r="67" spans="1:20" s="137" customFormat="1" ht="24.75" customHeight="1">
      <c r="A67" s="132" t="s">
        <v>146</v>
      </c>
      <c r="B67" s="138"/>
      <c r="C67" s="307" t="s">
        <v>147</v>
      </c>
      <c r="D67" s="308"/>
      <c r="E67" s="139"/>
      <c r="F67" s="133"/>
      <c r="G67" s="134"/>
      <c r="H67" s="135"/>
      <c r="I67" s="135"/>
      <c r="J67" s="136"/>
      <c r="K67" s="136"/>
      <c r="L67" s="111">
        <f>SUM(L42:L54)-L41</f>
        <v>37167.33999999994</v>
      </c>
      <c r="M67" s="136">
        <f>SUM(M42:M54)-M41</f>
        <v>37167.33999999997</v>
      </c>
      <c r="N67" s="136"/>
      <c r="O67" s="111">
        <f aca="true" t="shared" si="24" ref="O67:O87">+N67+M67</f>
        <v>37167.33999999997</v>
      </c>
      <c r="P67" s="136">
        <f>+M67*0.65</f>
        <v>24158.77099999998</v>
      </c>
      <c r="Q67" s="136"/>
      <c r="R67" s="111">
        <f t="shared" si="16"/>
        <v>24158.77099999998</v>
      </c>
      <c r="S67" s="310" t="s">
        <v>233</v>
      </c>
      <c r="T67" s="311"/>
    </row>
    <row r="68" spans="1:20" s="91" customFormat="1" ht="24.75" customHeight="1">
      <c r="A68" s="85" t="s">
        <v>146</v>
      </c>
      <c r="B68" s="86"/>
      <c r="C68" s="67" t="s">
        <v>40</v>
      </c>
      <c r="D68" s="87" t="s">
        <v>245</v>
      </c>
      <c r="E68" s="87"/>
      <c r="F68" s="87"/>
      <c r="G68" s="88"/>
      <c r="H68" s="89"/>
      <c r="I68" s="89"/>
      <c r="J68" s="31">
        <f>40973.04-41980.54</f>
        <v>-1007.5</v>
      </c>
      <c r="K68" s="31"/>
      <c r="L68" s="111">
        <f aca="true" t="shared" si="25" ref="L68:L87">+K68+J68</f>
        <v>-1007.5</v>
      </c>
      <c r="M68" s="31">
        <v>-1007.5</v>
      </c>
      <c r="N68" s="31"/>
      <c r="O68" s="111">
        <f t="shared" si="24"/>
        <v>-1007.5</v>
      </c>
      <c r="P68" s="31">
        <f aca="true" t="shared" si="26" ref="P68:P86">M68*0.65</f>
        <v>-654.875</v>
      </c>
      <c r="Q68" s="31"/>
      <c r="R68" s="111">
        <f aca="true" t="shared" si="27" ref="R68:R86">P68+Q68</f>
        <v>-654.875</v>
      </c>
      <c r="S68" s="353"/>
      <c r="T68" s="354"/>
    </row>
    <row r="69" spans="1:20" s="91" customFormat="1" ht="24.75" customHeight="1">
      <c r="A69" s="85" t="s">
        <v>146</v>
      </c>
      <c r="B69" s="86"/>
      <c r="C69" s="67" t="s">
        <v>40</v>
      </c>
      <c r="D69" s="87" t="s">
        <v>246</v>
      </c>
      <c r="E69" s="87"/>
      <c r="F69" s="87"/>
      <c r="G69" s="88"/>
      <c r="H69" s="89"/>
      <c r="I69" s="89"/>
      <c r="J69" s="31">
        <f>35.96*536+11.42*400+11.42*400+16.06*668+11.42*400</f>
        <v>43706.64</v>
      </c>
      <c r="K69" s="31"/>
      <c r="L69" s="111">
        <f t="shared" si="25"/>
        <v>43706.64</v>
      </c>
      <c r="M69" s="31">
        <v>43706.64</v>
      </c>
      <c r="N69" s="31"/>
      <c r="O69" s="111">
        <f t="shared" si="24"/>
        <v>43706.64</v>
      </c>
      <c r="P69" s="31">
        <f t="shared" si="26"/>
        <v>28409.316</v>
      </c>
      <c r="Q69" s="31"/>
      <c r="R69" s="111">
        <f t="shared" si="27"/>
        <v>28409.316</v>
      </c>
      <c r="S69" s="353"/>
      <c r="T69" s="354"/>
    </row>
    <row r="70" spans="1:20" s="91" customFormat="1" ht="24.75" customHeight="1">
      <c r="A70" s="85" t="s">
        <v>146</v>
      </c>
      <c r="B70" s="86"/>
      <c r="C70" s="67" t="s">
        <v>124</v>
      </c>
      <c r="D70" s="87" t="s">
        <v>355</v>
      </c>
      <c r="E70" s="87"/>
      <c r="F70" s="87"/>
      <c r="G70" s="88"/>
      <c r="H70" s="89"/>
      <c r="I70" s="89"/>
      <c r="J70" s="31">
        <f>65.21*100+41.58*163+34.64*200+18.07*140+17.82*110+15.6*134+15.6*150+15.6*148+22.07*69.54+17.82*482+17.82*417.96+17.82*488</f>
        <v>57723.935</v>
      </c>
      <c r="K70" s="31"/>
      <c r="L70" s="111">
        <f t="shared" si="25"/>
        <v>57723.935</v>
      </c>
      <c r="M70" s="31">
        <v>57723.86</v>
      </c>
      <c r="N70" s="31"/>
      <c r="O70" s="111">
        <f t="shared" si="24"/>
        <v>57723.86</v>
      </c>
      <c r="P70" s="31">
        <f t="shared" si="26"/>
        <v>37520.509</v>
      </c>
      <c r="Q70" s="31"/>
      <c r="R70" s="111">
        <f t="shared" si="27"/>
        <v>37520.509</v>
      </c>
      <c r="S70" s="169"/>
      <c r="T70" s="170"/>
    </row>
    <row r="71" spans="1:20" s="91" customFormat="1" ht="24.75" customHeight="1">
      <c r="A71" s="85" t="s">
        <v>146</v>
      </c>
      <c r="B71" s="86"/>
      <c r="C71" s="67" t="s">
        <v>45</v>
      </c>
      <c r="D71" s="87" t="s">
        <v>228</v>
      </c>
      <c r="E71" s="87"/>
      <c r="F71" s="87"/>
      <c r="G71" s="88"/>
      <c r="H71" s="89"/>
      <c r="I71" s="89"/>
      <c r="J71" s="31">
        <f>18.85*350+15.54*130+15.54*120</f>
        <v>10482.5</v>
      </c>
      <c r="K71" s="31"/>
      <c r="L71" s="111">
        <f t="shared" si="25"/>
        <v>10482.5</v>
      </c>
      <c r="M71" s="31">
        <v>10482.5</v>
      </c>
      <c r="N71" s="31"/>
      <c r="O71" s="111">
        <f t="shared" si="24"/>
        <v>10482.5</v>
      </c>
      <c r="P71" s="31">
        <f t="shared" si="26"/>
        <v>6813.625</v>
      </c>
      <c r="Q71" s="31"/>
      <c r="R71" s="111">
        <f t="shared" si="27"/>
        <v>6813.625</v>
      </c>
      <c r="S71" s="169"/>
      <c r="T71" s="170"/>
    </row>
    <row r="72" spans="1:20" s="91" customFormat="1" ht="24.75" customHeight="1">
      <c r="A72" s="85" t="s">
        <v>146</v>
      </c>
      <c r="B72" s="86"/>
      <c r="C72" s="67" t="s">
        <v>45</v>
      </c>
      <c r="D72" s="87" t="s">
        <v>356</v>
      </c>
      <c r="E72" s="87"/>
      <c r="F72" s="87"/>
      <c r="G72" s="88"/>
      <c r="H72" s="89"/>
      <c r="I72" s="89"/>
      <c r="J72" s="31">
        <f>150*15.54+260*15.54+260*15.54+264*15.68</f>
        <v>14551.32</v>
      </c>
      <c r="K72" s="31"/>
      <c r="L72" s="111">
        <f t="shared" si="25"/>
        <v>14551.32</v>
      </c>
      <c r="M72" s="31">
        <v>14551.32</v>
      </c>
      <c r="N72" s="31"/>
      <c r="O72" s="111">
        <f t="shared" si="24"/>
        <v>14551.32</v>
      </c>
      <c r="P72" s="31">
        <f t="shared" si="26"/>
        <v>9458.358</v>
      </c>
      <c r="Q72" s="31"/>
      <c r="R72" s="111">
        <f t="shared" si="27"/>
        <v>9458.358</v>
      </c>
      <c r="S72" s="169"/>
      <c r="T72" s="170"/>
    </row>
    <row r="73" spans="1:20" s="91" customFormat="1" ht="24.75" customHeight="1">
      <c r="A73" s="85" t="s">
        <v>146</v>
      </c>
      <c r="B73" s="86"/>
      <c r="C73" s="67" t="s">
        <v>43</v>
      </c>
      <c r="D73" s="87" t="s">
        <v>132</v>
      </c>
      <c r="E73" s="87"/>
      <c r="F73" s="87"/>
      <c r="G73" s="88"/>
      <c r="H73" s="89"/>
      <c r="I73" s="89"/>
      <c r="J73" s="31">
        <f>264*13.69+10.47*184+126*9.14+200*13.69</f>
        <v>9430.279999999999</v>
      </c>
      <c r="K73" s="31"/>
      <c r="L73" s="111">
        <f t="shared" si="25"/>
        <v>9430.279999999999</v>
      </c>
      <c r="M73" s="31">
        <v>9430.28</v>
      </c>
      <c r="N73" s="31"/>
      <c r="O73" s="111">
        <f t="shared" si="24"/>
        <v>9430.28</v>
      </c>
      <c r="P73" s="31">
        <f t="shared" si="26"/>
        <v>6129.682000000001</v>
      </c>
      <c r="Q73" s="31"/>
      <c r="R73" s="111">
        <f t="shared" si="27"/>
        <v>6129.682000000001</v>
      </c>
      <c r="S73" s="169"/>
      <c r="T73" s="170"/>
    </row>
    <row r="74" spans="1:20" s="91" customFormat="1" ht="24.75" customHeight="1">
      <c r="A74" s="85" t="s">
        <v>146</v>
      </c>
      <c r="B74" s="86"/>
      <c r="C74" s="67" t="s">
        <v>43</v>
      </c>
      <c r="D74" s="87" t="s">
        <v>356</v>
      </c>
      <c r="E74" s="87"/>
      <c r="F74" s="87"/>
      <c r="G74" s="88"/>
      <c r="H74" s="89"/>
      <c r="I74" s="89"/>
      <c r="J74" s="31">
        <v>38.64</v>
      </c>
      <c r="K74" s="31"/>
      <c r="L74" s="111">
        <f t="shared" si="25"/>
        <v>38.64</v>
      </c>
      <c r="M74" s="31">
        <v>38.64</v>
      </c>
      <c r="N74" s="31"/>
      <c r="O74" s="111">
        <f t="shared" si="24"/>
        <v>38.64</v>
      </c>
      <c r="P74" s="31">
        <f t="shared" si="26"/>
        <v>25.116</v>
      </c>
      <c r="Q74" s="31"/>
      <c r="R74" s="111">
        <f t="shared" si="27"/>
        <v>25.116</v>
      </c>
      <c r="S74" s="169"/>
      <c r="T74" s="170"/>
    </row>
    <row r="75" spans="1:20" s="91" customFormat="1" ht="24.75" customHeight="1">
      <c r="A75" s="85" t="s">
        <v>146</v>
      </c>
      <c r="B75" s="86"/>
      <c r="C75" s="67" t="s">
        <v>44</v>
      </c>
      <c r="D75" s="87" t="s">
        <v>227</v>
      </c>
      <c r="E75" s="87"/>
      <c r="F75" s="87"/>
      <c r="G75" s="88"/>
      <c r="H75" s="89"/>
      <c r="I75" s="89"/>
      <c r="J75" s="31">
        <f>184*17.08+12.91*468</f>
        <v>9184.6</v>
      </c>
      <c r="K75" s="31"/>
      <c r="L75" s="111">
        <f t="shared" si="25"/>
        <v>9184.6</v>
      </c>
      <c r="M75" s="31">
        <v>9184.6</v>
      </c>
      <c r="N75" s="31"/>
      <c r="O75" s="111">
        <f t="shared" si="24"/>
        <v>9184.6</v>
      </c>
      <c r="P75" s="31">
        <f t="shared" si="26"/>
        <v>5969.990000000001</v>
      </c>
      <c r="Q75" s="31"/>
      <c r="R75" s="111">
        <f t="shared" si="27"/>
        <v>5969.990000000001</v>
      </c>
      <c r="S75" s="169"/>
      <c r="T75" s="170"/>
    </row>
    <row r="76" spans="1:20" s="91" customFormat="1" ht="24.75" customHeight="1">
      <c r="A76" s="85" t="s">
        <v>146</v>
      </c>
      <c r="B76" s="86"/>
      <c r="C76" s="67" t="s">
        <v>44</v>
      </c>
      <c r="D76" s="87" t="s">
        <v>356</v>
      </c>
      <c r="E76" s="87"/>
      <c r="F76" s="87"/>
      <c r="G76" s="88"/>
      <c r="H76" s="89"/>
      <c r="I76" s="89"/>
      <c r="J76" s="31">
        <v>8894.86</v>
      </c>
      <c r="K76" s="31"/>
      <c r="L76" s="111">
        <f t="shared" si="25"/>
        <v>8894.86</v>
      </c>
      <c r="M76" s="31">
        <v>8894.86</v>
      </c>
      <c r="N76" s="31"/>
      <c r="O76" s="111">
        <f t="shared" si="24"/>
        <v>8894.86</v>
      </c>
      <c r="P76" s="31">
        <f t="shared" si="26"/>
        <v>5781.659000000001</v>
      </c>
      <c r="Q76" s="31"/>
      <c r="R76" s="111">
        <f t="shared" si="27"/>
        <v>5781.659000000001</v>
      </c>
      <c r="S76" s="169"/>
      <c r="T76" s="170"/>
    </row>
    <row r="77" spans="1:20" s="91" customFormat="1" ht="24.75" customHeight="1">
      <c r="A77" s="85" t="s">
        <v>146</v>
      </c>
      <c r="B77" s="86"/>
      <c r="C77" s="67" t="s">
        <v>42</v>
      </c>
      <c r="D77" s="87" t="s">
        <v>229</v>
      </c>
      <c r="E77" s="87"/>
      <c r="F77" s="87"/>
      <c r="G77" s="88"/>
      <c r="H77" s="89"/>
      <c r="I77" s="89"/>
      <c r="J77" s="31">
        <f>110*18.15+174*18.06+165*24.1</f>
        <v>9115.44</v>
      </c>
      <c r="K77" s="31"/>
      <c r="L77" s="111">
        <f t="shared" si="25"/>
        <v>9115.44</v>
      </c>
      <c r="M77" s="31">
        <v>9115.44</v>
      </c>
      <c r="N77" s="31"/>
      <c r="O77" s="111">
        <f t="shared" si="24"/>
        <v>9115.44</v>
      </c>
      <c r="P77" s="31">
        <f t="shared" si="26"/>
        <v>5925.036000000001</v>
      </c>
      <c r="Q77" s="31"/>
      <c r="R77" s="111">
        <f t="shared" si="27"/>
        <v>5925.036000000001</v>
      </c>
      <c r="S77" s="169"/>
      <c r="T77" s="170"/>
    </row>
    <row r="78" spans="1:20" s="91" customFormat="1" ht="24.75" customHeight="1">
      <c r="A78" s="85" t="s">
        <v>146</v>
      </c>
      <c r="B78" s="86"/>
      <c r="C78" s="67" t="s">
        <v>42</v>
      </c>
      <c r="D78" s="87" t="s">
        <v>356</v>
      </c>
      <c r="E78" s="87"/>
      <c r="F78" s="87"/>
      <c r="G78" s="88"/>
      <c r="H78" s="89"/>
      <c r="I78" s="89"/>
      <c r="J78" s="31">
        <v>8957.25</v>
      </c>
      <c r="K78" s="31"/>
      <c r="L78" s="111">
        <f t="shared" si="25"/>
        <v>8957.25</v>
      </c>
      <c r="M78" s="31">
        <v>8957.25</v>
      </c>
      <c r="N78" s="31"/>
      <c r="O78" s="111">
        <f t="shared" si="24"/>
        <v>8957.25</v>
      </c>
      <c r="P78" s="31">
        <f t="shared" si="26"/>
        <v>5822.212500000001</v>
      </c>
      <c r="Q78" s="31"/>
      <c r="R78" s="111">
        <f t="shared" si="27"/>
        <v>5822.212500000001</v>
      </c>
      <c r="S78" s="169"/>
      <c r="T78" s="170"/>
    </row>
    <row r="79" spans="1:20" s="91" customFormat="1" ht="24.75" customHeight="1">
      <c r="A79" s="85" t="s">
        <v>146</v>
      </c>
      <c r="B79" s="86"/>
      <c r="C79" s="67" t="s">
        <v>130</v>
      </c>
      <c r="D79" s="87" t="s">
        <v>131</v>
      </c>
      <c r="E79" s="87"/>
      <c r="F79" s="87"/>
      <c r="G79" s="88"/>
      <c r="H79" s="89"/>
      <c r="I79" s="89"/>
      <c r="J79" s="31">
        <f>13.45*104</f>
        <v>1398.8</v>
      </c>
      <c r="K79" s="31"/>
      <c r="L79" s="111">
        <f t="shared" si="25"/>
        <v>1398.8</v>
      </c>
      <c r="M79" s="31">
        <v>1398.8</v>
      </c>
      <c r="N79" s="31"/>
      <c r="O79" s="111">
        <f t="shared" si="24"/>
        <v>1398.8</v>
      </c>
      <c r="P79" s="31">
        <f t="shared" si="26"/>
        <v>909.22</v>
      </c>
      <c r="Q79" s="31"/>
      <c r="R79" s="111">
        <f t="shared" si="27"/>
        <v>909.22</v>
      </c>
      <c r="S79" s="169"/>
      <c r="T79" s="170"/>
    </row>
    <row r="80" spans="1:20" s="91" customFormat="1" ht="24.75" customHeight="1">
      <c r="A80" s="85" t="s">
        <v>146</v>
      </c>
      <c r="B80" s="86"/>
      <c r="C80" s="67" t="s">
        <v>130</v>
      </c>
      <c r="D80" s="87" t="s">
        <v>357</v>
      </c>
      <c r="E80" s="87"/>
      <c r="F80" s="87"/>
      <c r="G80" s="88"/>
      <c r="H80" s="89"/>
      <c r="I80" s="89"/>
      <c r="J80" s="31">
        <v>-2780.86</v>
      </c>
      <c r="K80" s="31"/>
      <c r="L80" s="111">
        <f t="shared" si="25"/>
        <v>-2780.86</v>
      </c>
      <c r="M80" s="31">
        <v>-2780.86</v>
      </c>
      <c r="N80" s="31"/>
      <c r="O80" s="111">
        <f t="shared" si="24"/>
        <v>-2780.86</v>
      </c>
      <c r="P80" s="31">
        <f t="shared" si="26"/>
        <v>-1807.5590000000002</v>
      </c>
      <c r="Q80" s="31"/>
      <c r="R80" s="111">
        <f t="shared" si="27"/>
        <v>-1807.5590000000002</v>
      </c>
      <c r="S80" s="353"/>
      <c r="T80" s="354"/>
    </row>
    <row r="81" spans="1:20" s="91" customFormat="1" ht="24.75" customHeight="1">
      <c r="A81" s="85" t="s">
        <v>146</v>
      </c>
      <c r="B81" s="86"/>
      <c r="C81" s="14" t="s">
        <v>82</v>
      </c>
      <c r="D81" s="87" t="s">
        <v>230</v>
      </c>
      <c r="E81" s="87"/>
      <c r="F81" s="87"/>
      <c r="G81" s="88"/>
      <c r="H81" s="89"/>
      <c r="I81" s="89"/>
      <c r="J81" s="31">
        <f>24.68*50+23.75*48</f>
        <v>2374</v>
      </c>
      <c r="K81" s="31"/>
      <c r="L81" s="111">
        <f t="shared" si="25"/>
        <v>2374</v>
      </c>
      <c r="M81" s="31">
        <v>2374</v>
      </c>
      <c r="N81" s="31"/>
      <c r="O81" s="111">
        <f t="shared" si="24"/>
        <v>2374</v>
      </c>
      <c r="P81" s="31">
        <f t="shared" si="26"/>
        <v>1543.1000000000001</v>
      </c>
      <c r="Q81" s="31"/>
      <c r="R81" s="111">
        <f t="shared" si="27"/>
        <v>1543.1000000000001</v>
      </c>
      <c r="S81" s="169"/>
      <c r="T81" s="170"/>
    </row>
    <row r="82" spans="1:20" s="91" customFormat="1" ht="24.75" customHeight="1">
      <c r="A82" s="85" t="s">
        <v>146</v>
      </c>
      <c r="B82" s="86"/>
      <c r="C82" s="14" t="s">
        <v>82</v>
      </c>
      <c r="D82" s="87" t="s">
        <v>357</v>
      </c>
      <c r="E82" s="87"/>
      <c r="F82" s="87"/>
      <c r="G82" s="88"/>
      <c r="H82" s="89"/>
      <c r="I82" s="89"/>
      <c r="J82" s="31">
        <v>-1472</v>
      </c>
      <c r="K82" s="31"/>
      <c r="L82" s="111">
        <f t="shared" si="25"/>
        <v>-1472</v>
      </c>
      <c r="M82" s="31">
        <v>-1472</v>
      </c>
      <c r="N82" s="31"/>
      <c r="O82" s="111">
        <f t="shared" si="24"/>
        <v>-1472</v>
      </c>
      <c r="P82" s="31">
        <f t="shared" si="26"/>
        <v>-956.8000000000001</v>
      </c>
      <c r="Q82" s="31"/>
      <c r="R82" s="111">
        <f t="shared" si="27"/>
        <v>-956.8000000000001</v>
      </c>
      <c r="S82" s="169"/>
      <c r="T82" s="170"/>
    </row>
    <row r="83" spans="1:20" s="91" customFormat="1" ht="24.75" customHeight="1">
      <c r="A83" s="85" t="s">
        <v>146</v>
      </c>
      <c r="B83" s="86"/>
      <c r="C83" s="14" t="s">
        <v>83</v>
      </c>
      <c r="D83" s="87" t="s">
        <v>127</v>
      </c>
      <c r="E83" s="87"/>
      <c r="F83" s="87"/>
      <c r="G83" s="88"/>
      <c r="H83" s="89"/>
      <c r="I83" s="89"/>
      <c r="J83" s="31">
        <f>18.27*114</f>
        <v>2082.7799999999997</v>
      </c>
      <c r="K83" s="31"/>
      <c r="L83" s="111">
        <f t="shared" si="25"/>
        <v>2082.7799999999997</v>
      </c>
      <c r="M83" s="31">
        <v>2082.78</v>
      </c>
      <c r="N83" s="31"/>
      <c r="O83" s="111">
        <f t="shared" si="24"/>
        <v>2082.78</v>
      </c>
      <c r="P83" s="31">
        <f t="shared" si="26"/>
        <v>1353.8070000000002</v>
      </c>
      <c r="Q83" s="31"/>
      <c r="R83" s="111">
        <f t="shared" si="27"/>
        <v>1353.8070000000002</v>
      </c>
      <c r="S83" s="353"/>
      <c r="T83" s="354"/>
    </row>
    <row r="84" spans="1:20" s="91" customFormat="1" ht="24.75" customHeight="1">
      <c r="A84" s="85" t="s">
        <v>146</v>
      </c>
      <c r="B84" s="86"/>
      <c r="C84" s="14" t="s">
        <v>83</v>
      </c>
      <c r="D84" s="87" t="s">
        <v>357</v>
      </c>
      <c r="E84" s="87"/>
      <c r="F84" s="87"/>
      <c r="G84" s="88"/>
      <c r="H84" s="89"/>
      <c r="I84" s="89"/>
      <c r="J84" s="31">
        <v>-1224.09</v>
      </c>
      <c r="K84" s="31"/>
      <c r="L84" s="111">
        <f t="shared" si="25"/>
        <v>-1224.09</v>
      </c>
      <c r="M84" s="31">
        <v>-1224.09</v>
      </c>
      <c r="N84" s="31"/>
      <c r="O84" s="111">
        <f t="shared" si="24"/>
        <v>-1224.09</v>
      </c>
      <c r="P84" s="31">
        <f t="shared" si="26"/>
        <v>-795.6585</v>
      </c>
      <c r="Q84" s="31"/>
      <c r="R84" s="111">
        <f t="shared" si="27"/>
        <v>-795.6585</v>
      </c>
      <c r="S84" s="169"/>
      <c r="T84" s="170"/>
    </row>
    <row r="85" spans="1:20" s="91" customFormat="1" ht="24.75" customHeight="1">
      <c r="A85" s="85" t="s">
        <v>146</v>
      </c>
      <c r="B85" s="86"/>
      <c r="C85" s="16" t="s">
        <v>134</v>
      </c>
      <c r="D85" s="67" t="s">
        <v>358</v>
      </c>
      <c r="E85" s="87"/>
      <c r="F85" s="87"/>
      <c r="G85" s="88"/>
      <c r="H85" s="89"/>
      <c r="I85" s="89"/>
      <c r="J85" s="31">
        <v>999.32</v>
      </c>
      <c r="K85" s="31"/>
      <c r="L85" s="111">
        <f t="shared" si="25"/>
        <v>999.32</v>
      </c>
      <c r="M85" s="31">
        <v>999.32</v>
      </c>
      <c r="N85" s="31"/>
      <c r="O85" s="111">
        <f t="shared" si="24"/>
        <v>999.32</v>
      </c>
      <c r="P85" s="31">
        <f t="shared" si="26"/>
        <v>649.5580000000001</v>
      </c>
      <c r="Q85" s="31"/>
      <c r="R85" s="111">
        <f t="shared" si="27"/>
        <v>649.5580000000001</v>
      </c>
      <c r="S85" s="169"/>
      <c r="T85" s="170"/>
    </row>
    <row r="86" spans="1:20" s="91" customFormat="1" ht="24.75" customHeight="1">
      <c r="A86" s="85" t="s">
        <v>146</v>
      </c>
      <c r="B86" s="86"/>
      <c r="C86" s="16" t="s">
        <v>134</v>
      </c>
      <c r="D86" s="87" t="s">
        <v>357</v>
      </c>
      <c r="E86" s="87"/>
      <c r="F86" s="87"/>
      <c r="G86" s="88"/>
      <c r="H86" s="89"/>
      <c r="I86" s="89"/>
      <c r="J86" s="31">
        <v>-4620.95</v>
      </c>
      <c r="K86" s="31"/>
      <c r="L86" s="111">
        <f t="shared" si="25"/>
        <v>-4620.95</v>
      </c>
      <c r="M86" s="31">
        <v>-4620.95</v>
      </c>
      <c r="N86" s="31"/>
      <c r="O86" s="111">
        <f t="shared" si="24"/>
        <v>-4620.95</v>
      </c>
      <c r="P86" s="31">
        <f t="shared" si="26"/>
        <v>-3003.6175</v>
      </c>
      <c r="Q86" s="31"/>
      <c r="R86" s="111">
        <f t="shared" si="27"/>
        <v>-3003.6175</v>
      </c>
      <c r="S86" s="169"/>
      <c r="T86" s="170"/>
    </row>
    <row r="87" spans="1:20" s="91" customFormat="1" ht="33.75">
      <c r="A87" s="85" t="s">
        <v>361</v>
      </c>
      <c r="B87" s="86"/>
      <c r="C87" s="67" t="s">
        <v>40</v>
      </c>
      <c r="D87" s="67" t="s">
        <v>246</v>
      </c>
      <c r="E87" s="87"/>
      <c r="F87" s="87"/>
      <c r="G87" s="88"/>
      <c r="H87" s="89"/>
      <c r="I87" s="89"/>
      <c r="J87" s="31">
        <v>42906.1</v>
      </c>
      <c r="K87" s="31"/>
      <c r="L87" s="111">
        <f t="shared" si="25"/>
        <v>42906.1</v>
      </c>
      <c r="M87" s="31">
        <f>35.96*494+11.42*423+12.65*432+16.06*640+11.42*400</f>
        <v>42906.1</v>
      </c>
      <c r="N87" s="31"/>
      <c r="O87" s="111">
        <f t="shared" si="24"/>
        <v>42906.1</v>
      </c>
      <c r="P87" s="31">
        <f>M87*0.65</f>
        <v>27888.965</v>
      </c>
      <c r="Q87" s="31"/>
      <c r="R87" s="111">
        <f>P87+Q87</f>
        <v>27888.965</v>
      </c>
      <c r="S87" s="169"/>
      <c r="T87" s="170"/>
    </row>
    <row r="88" spans="1:20" s="91" customFormat="1" ht="24.75" customHeight="1">
      <c r="A88" s="85" t="s">
        <v>361</v>
      </c>
      <c r="B88" s="86"/>
      <c r="C88" s="67" t="s">
        <v>42</v>
      </c>
      <c r="D88" s="67" t="s">
        <v>229</v>
      </c>
      <c r="E88" s="87"/>
      <c r="F88" s="87"/>
      <c r="G88" s="88"/>
      <c r="H88" s="89"/>
      <c r="I88" s="89"/>
      <c r="J88" s="31">
        <f>18.15*284+18.06*144+24.1*468</f>
        <v>19034.04</v>
      </c>
      <c r="K88" s="31"/>
      <c r="L88" s="111">
        <f>+K88+J88</f>
        <v>19034.04</v>
      </c>
      <c r="M88" s="31">
        <f>18.15*284+18.06*144+24.1*468</f>
        <v>19034.04</v>
      </c>
      <c r="N88" s="31"/>
      <c r="O88" s="111">
        <f>+N88+M88</f>
        <v>19034.04</v>
      </c>
      <c r="P88" s="31">
        <f>M88*0.65</f>
        <v>12372.126</v>
      </c>
      <c r="Q88" s="31"/>
      <c r="R88" s="111">
        <f>P88+Q88</f>
        <v>12372.126</v>
      </c>
      <c r="S88" s="169"/>
      <c r="T88" s="170"/>
    </row>
    <row r="89" spans="1:20" s="91" customFormat="1" ht="24.75" customHeight="1">
      <c r="A89" s="85" t="s">
        <v>361</v>
      </c>
      <c r="B89" s="86"/>
      <c r="C89" s="67" t="s">
        <v>43</v>
      </c>
      <c r="D89" s="67" t="s">
        <v>132</v>
      </c>
      <c r="E89" s="87"/>
      <c r="F89" s="87"/>
      <c r="G89" s="88"/>
      <c r="H89" s="89"/>
      <c r="I89" s="89"/>
      <c r="J89" s="31">
        <f>22.23*372+10.39*335+9.11*288+13.59*342</f>
        <v>19021.67</v>
      </c>
      <c r="K89" s="31"/>
      <c r="L89" s="111">
        <f aca="true" t="shared" si="28" ref="L89:L97">+K89+J89</f>
        <v>19021.67</v>
      </c>
      <c r="M89" s="31">
        <f>22.23*372+10.39*335+9.11*288+13.59*342</f>
        <v>19021.67</v>
      </c>
      <c r="N89" s="31"/>
      <c r="O89" s="111">
        <f aca="true" t="shared" si="29" ref="O89:O97">+N89+M89</f>
        <v>19021.67</v>
      </c>
      <c r="P89" s="31">
        <f aca="true" t="shared" si="30" ref="P89:P97">M89*0.65</f>
        <v>12364.0855</v>
      </c>
      <c r="Q89" s="31"/>
      <c r="R89" s="111">
        <f aca="true" t="shared" si="31" ref="R89:R97">P89+Q89</f>
        <v>12364.0855</v>
      </c>
      <c r="S89" s="169"/>
      <c r="T89" s="170"/>
    </row>
    <row r="90" spans="1:20" s="91" customFormat="1" ht="24.75" customHeight="1">
      <c r="A90" s="85" t="s">
        <v>361</v>
      </c>
      <c r="B90" s="86"/>
      <c r="C90" s="67" t="s">
        <v>130</v>
      </c>
      <c r="D90" s="87" t="s">
        <v>420</v>
      </c>
      <c r="E90" s="87"/>
      <c r="F90" s="87"/>
      <c r="G90" s="88"/>
      <c r="H90" s="89"/>
      <c r="I90" s="89"/>
      <c r="J90" s="31">
        <f>12.52*234+12.35*172+12.44*204</f>
        <v>7591.639999999999</v>
      </c>
      <c r="K90" s="31"/>
      <c r="L90" s="111">
        <f t="shared" si="28"/>
        <v>7591.639999999999</v>
      </c>
      <c r="M90" s="31">
        <f>12.52*234+12.35*172+12.44*204</f>
        <v>7591.639999999999</v>
      </c>
      <c r="N90" s="31"/>
      <c r="O90" s="111">
        <f t="shared" si="29"/>
        <v>7591.639999999999</v>
      </c>
      <c r="P90" s="31">
        <f t="shared" si="30"/>
        <v>4934.566</v>
      </c>
      <c r="Q90" s="31"/>
      <c r="R90" s="111">
        <f t="shared" si="31"/>
        <v>4934.566</v>
      </c>
      <c r="S90" s="169"/>
      <c r="T90" s="170"/>
    </row>
    <row r="91" spans="1:20" s="91" customFormat="1" ht="24.75" customHeight="1">
      <c r="A91" s="85" t="s">
        <v>361</v>
      </c>
      <c r="B91" s="86"/>
      <c r="C91" s="67" t="s">
        <v>125</v>
      </c>
      <c r="D91" s="87" t="s">
        <v>225</v>
      </c>
      <c r="E91" s="87"/>
      <c r="F91" s="87"/>
      <c r="G91" s="88"/>
      <c r="H91" s="89"/>
      <c r="I91" s="89"/>
      <c r="J91" s="31">
        <f>280*28.27</f>
        <v>7915.599999999999</v>
      </c>
      <c r="K91" s="31"/>
      <c r="L91" s="111">
        <f t="shared" si="28"/>
        <v>7915.599999999999</v>
      </c>
      <c r="M91" s="31">
        <f>280*28.27</f>
        <v>7915.599999999999</v>
      </c>
      <c r="N91" s="31"/>
      <c r="O91" s="111">
        <f t="shared" si="29"/>
        <v>7915.599999999999</v>
      </c>
      <c r="P91" s="31">
        <f t="shared" si="30"/>
        <v>5145.139999999999</v>
      </c>
      <c r="Q91" s="31"/>
      <c r="R91" s="111">
        <f t="shared" si="31"/>
        <v>5145.139999999999</v>
      </c>
      <c r="S91" s="169"/>
      <c r="T91" s="170"/>
    </row>
    <row r="92" spans="1:20" s="91" customFormat="1" ht="24.75" customHeight="1">
      <c r="A92" s="85" t="s">
        <v>361</v>
      </c>
      <c r="B92" s="86"/>
      <c r="C92" s="67" t="s">
        <v>124</v>
      </c>
      <c r="D92" s="87" t="s">
        <v>139</v>
      </c>
      <c r="E92" s="87"/>
      <c r="F92" s="87"/>
      <c r="G92" s="88"/>
      <c r="H92" s="89"/>
      <c r="I92" s="89"/>
      <c r="J92" s="31">
        <v>80262.99</v>
      </c>
      <c r="K92" s="31"/>
      <c r="L92" s="111">
        <f t="shared" si="28"/>
        <v>80262.99</v>
      </c>
      <c r="M92" s="31">
        <v>80262.99</v>
      </c>
      <c r="N92" s="31"/>
      <c r="O92" s="111">
        <f t="shared" si="29"/>
        <v>80262.99</v>
      </c>
      <c r="P92" s="31">
        <f t="shared" si="30"/>
        <v>52170.94350000001</v>
      </c>
      <c r="Q92" s="31"/>
      <c r="R92" s="111">
        <f t="shared" si="31"/>
        <v>52170.94350000001</v>
      </c>
      <c r="S92" s="169"/>
      <c r="T92" s="170"/>
    </row>
    <row r="93" spans="1:20" s="91" customFormat="1" ht="24.75" customHeight="1">
      <c r="A93" s="85" t="s">
        <v>361</v>
      </c>
      <c r="B93" s="86"/>
      <c r="C93" s="14" t="s">
        <v>82</v>
      </c>
      <c r="D93" s="87" t="s">
        <v>230</v>
      </c>
      <c r="E93" s="87"/>
      <c r="F93" s="87"/>
      <c r="G93" s="88"/>
      <c r="H93" s="89"/>
      <c r="I93" s="89"/>
      <c r="J93" s="31">
        <f>257*24.68+62*23.75</f>
        <v>7815.26</v>
      </c>
      <c r="K93" s="31"/>
      <c r="L93" s="111">
        <f t="shared" si="28"/>
        <v>7815.26</v>
      </c>
      <c r="M93" s="31">
        <f>257*24.68+62*23.75</f>
        <v>7815.26</v>
      </c>
      <c r="N93" s="31"/>
      <c r="O93" s="111">
        <f t="shared" si="29"/>
        <v>7815.26</v>
      </c>
      <c r="P93" s="31">
        <f t="shared" si="30"/>
        <v>5079.919</v>
      </c>
      <c r="Q93" s="31"/>
      <c r="R93" s="111">
        <f t="shared" si="31"/>
        <v>5079.919</v>
      </c>
      <c r="S93" s="169"/>
      <c r="T93" s="170"/>
    </row>
    <row r="94" spans="1:20" s="91" customFormat="1" ht="24.75" customHeight="1">
      <c r="A94" s="85" t="s">
        <v>361</v>
      </c>
      <c r="B94" s="86"/>
      <c r="C94" s="14" t="s">
        <v>83</v>
      </c>
      <c r="D94" s="87" t="s">
        <v>127</v>
      </c>
      <c r="E94" s="87"/>
      <c r="F94" s="87"/>
      <c r="G94" s="88"/>
      <c r="H94" s="89"/>
      <c r="I94" s="89"/>
      <c r="J94" s="31">
        <f>420*18.27</f>
        <v>7673.4</v>
      </c>
      <c r="K94" s="31"/>
      <c r="L94" s="111">
        <f t="shared" si="28"/>
        <v>7673.4</v>
      </c>
      <c r="M94" s="31">
        <f>420*18.27</f>
        <v>7673.4</v>
      </c>
      <c r="N94" s="31"/>
      <c r="O94" s="111">
        <f t="shared" si="29"/>
        <v>7673.4</v>
      </c>
      <c r="P94" s="31">
        <f t="shared" si="30"/>
        <v>4987.71</v>
      </c>
      <c r="Q94" s="31"/>
      <c r="R94" s="111">
        <f t="shared" si="31"/>
        <v>4987.71</v>
      </c>
      <c r="S94" s="169"/>
      <c r="T94" s="170"/>
    </row>
    <row r="95" spans="1:20" s="91" customFormat="1" ht="24.75" customHeight="1">
      <c r="A95" s="85" t="s">
        <v>361</v>
      </c>
      <c r="B95" s="86"/>
      <c r="C95" s="67" t="s">
        <v>123</v>
      </c>
      <c r="D95" s="67" t="s">
        <v>223</v>
      </c>
      <c r="E95" s="87"/>
      <c r="F95" s="87"/>
      <c r="G95" s="88"/>
      <c r="H95" s="89"/>
      <c r="I95" s="89"/>
      <c r="J95" s="31">
        <f>11.62*240+37.08*26+18.17*432+12.3*234</f>
        <v>14480.52</v>
      </c>
      <c r="K95" s="31"/>
      <c r="L95" s="111">
        <f t="shared" si="28"/>
        <v>14480.52</v>
      </c>
      <c r="M95" s="31">
        <f>11.62*240+37.08*26+18.17*432+12.3*234</f>
        <v>14480.52</v>
      </c>
      <c r="N95" s="31"/>
      <c r="O95" s="111">
        <f t="shared" si="29"/>
        <v>14480.52</v>
      </c>
      <c r="P95" s="31">
        <f t="shared" si="30"/>
        <v>9412.338</v>
      </c>
      <c r="Q95" s="31"/>
      <c r="R95" s="111">
        <f t="shared" si="31"/>
        <v>9412.338</v>
      </c>
      <c r="S95" s="169"/>
      <c r="T95" s="170"/>
    </row>
    <row r="96" spans="1:20" s="91" customFormat="1" ht="24.75" customHeight="1">
      <c r="A96" s="85" t="s">
        <v>361</v>
      </c>
      <c r="B96" s="86"/>
      <c r="C96" s="67" t="s">
        <v>45</v>
      </c>
      <c r="D96" s="67" t="s">
        <v>228</v>
      </c>
      <c r="E96" s="87"/>
      <c r="F96" s="87"/>
      <c r="G96" s="88"/>
      <c r="H96" s="89"/>
      <c r="I96" s="89"/>
      <c r="J96" s="31">
        <f>15.54*324+17.07*176+15.54*191+16.82*163</f>
        <v>13749.08</v>
      </c>
      <c r="K96" s="31"/>
      <c r="L96" s="111">
        <f t="shared" si="28"/>
        <v>13749.08</v>
      </c>
      <c r="M96" s="31">
        <f>15.54*324+17.07*176+15.54*191+16.82*163</f>
        <v>13749.08</v>
      </c>
      <c r="N96" s="31"/>
      <c r="O96" s="111">
        <f t="shared" si="29"/>
        <v>13749.08</v>
      </c>
      <c r="P96" s="31">
        <f t="shared" si="30"/>
        <v>8936.902</v>
      </c>
      <c r="Q96" s="31"/>
      <c r="R96" s="111">
        <f t="shared" si="31"/>
        <v>8936.902</v>
      </c>
      <c r="S96" s="169"/>
      <c r="T96" s="170"/>
    </row>
    <row r="97" spans="1:20" s="91" customFormat="1" ht="24.75" customHeight="1">
      <c r="A97" s="85" t="s">
        <v>361</v>
      </c>
      <c r="B97" s="86"/>
      <c r="C97" s="67" t="s">
        <v>44</v>
      </c>
      <c r="D97" s="67" t="s">
        <v>227</v>
      </c>
      <c r="E97" s="87"/>
      <c r="F97" s="87"/>
      <c r="G97" s="88"/>
      <c r="H97" s="89"/>
      <c r="I97" s="89"/>
      <c r="J97" s="31">
        <f>17.08*151+12.91*388</f>
        <v>7588.16</v>
      </c>
      <c r="K97" s="31"/>
      <c r="L97" s="111">
        <f t="shared" si="28"/>
        <v>7588.16</v>
      </c>
      <c r="M97" s="31">
        <f>17.08*151+12.91*388</f>
        <v>7588.16</v>
      </c>
      <c r="N97" s="31"/>
      <c r="O97" s="111">
        <f t="shared" si="29"/>
        <v>7588.16</v>
      </c>
      <c r="P97" s="31">
        <f t="shared" si="30"/>
        <v>4932.304</v>
      </c>
      <c r="Q97" s="31"/>
      <c r="R97" s="111">
        <f t="shared" si="31"/>
        <v>4932.304</v>
      </c>
      <c r="S97" s="169"/>
      <c r="T97" s="170"/>
    </row>
    <row r="98" spans="1:20" s="91" customFormat="1" ht="33.75">
      <c r="A98" s="85" t="s">
        <v>455</v>
      </c>
      <c r="B98" s="86"/>
      <c r="C98" s="67" t="s">
        <v>40</v>
      </c>
      <c r="D98" s="67" t="s">
        <v>456</v>
      </c>
      <c r="E98" s="87"/>
      <c r="F98" s="87"/>
      <c r="G98" s="88"/>
      <c r="H98" s="89"/>
      <c r="I98" s="89"/>
      <c r="J98" s="31">
        <v>25045.84</v>
      </c>
      <c r="K98" s="31"/>
      <c r="L98" s="111">
        <f aca="true" t="shared" si="32" ref="L98:L110">+K98+J98</f>
        <v>25045.84</v>
      </c>
      <c r="M98" s="31">
        <v>25045.84</v>
      </c>
      <c r="N98" s="31"/>
      <c r="O98" s="111">
        <f>+N98+M98</f>
        <v>25045.84</v>
      </c>
      <c r="P98" s="31">
        <f>M98*0.65</f>
        <v>16279.796</v>
      </c>
      <c r="Q98" s="31"/>
      <c r="R98" s="111">
        <f>P98+Q98</f>
        <v>16279.796</v>
      </c>
      <c r="S98" s="353"/>
      <c r="T98" s="354"/>
    </row>
    <row r="99" spans="1:20" s="91" customFormat="1" ht="24.75" customHeight="1">
      <c r="A99" s="85" t="s">
        <v>455</v>
      </c>
      <c r="B99" s="86"/>
      <c r="C99" s="67" t="s">
        <v>125</v>
      </c>
      <c r="D99" s="67" t="s">
        <v>504</v>
      </c>
      <c r="E99" s="87"/>
      <c r="F99" s="87"/>
      <c r="G99" s="88"/>
      <c r="H99" s="89"/>
      <c r="I99" s="89"/>
      <c r="J99" s="31">
        <f>280*28.27+26.42*280+28.14*420</f>
        <v>27132</v>
      </c>
      <c r="K99" s="31"/>
      <c r="L99" s="111">
        <f t="shared" si="32"/>
        <v>27132</v>
      </c>
      <c r="M99" s="31">
        <f>280*28.27+26.42*280+28.14*420</f>
        <v>27132</v>
      </c>
      <c r="N99" s="31"/>
      <c r="O99" s="111">
        <f>+N99+M99</f>
        <v>27132</v>
      </c>
      <c r="P99" s="31">
        <f>M99*0.65</f>
        <v>17635.8</v>
      </c>
      <c r="Q99" s="31"/>
      <c r="R99" s="111">
        <f>P99+Q99</f>
        <v>17635.8</v>
      </c>
      <c r="S99" s="353"/>
      <c r="T99" s="354"/>
    </row>
    <row r="100" spans="1:20" s="91" customFormat="1" ht="24.75" customHeight="1">
      <c r="A100" s="85" t="s">
        <v>455</v>
      </c>
      <c r="B100" s="86"/>
      <c r="C100" s="67" t="s">
        <v>124</v>
      </c>
      <c r="D100" s="87" t="s">
        <v>505</v>
      </c>
      <c r="E100" s="87"/>
      <c r="F100" s="87"/>
      <c r="G100" s="88"/>
      <c r="H100" s="89"/>
      <c r="I100" s="89"/>
      <c r="J100" s="31">
        <v>41058.3</v>
      </c>
      <c r="K100" s="31"/>
      <c r="L100" s="111">
        <f t="shared" si="32"/>
        <v>41058.3</v>
      </c>
      <c r="M100" s="31">
        <v>41058.3</v>
      </c>
      <c r="N100" s="31"/>
      <c r="O100" s="111">
        <f>+N100+M100</f>
        <v>41058.3</v>
      </c>
      <c r="P100" s="31">
        <f>M100*0.65</f>
        <v>26687.895000000004</v>
      </c>
      <c r="Q100" s="31"/>
      <c r="R100" s="111">
        <f>P100+Q100</f>
        <v>26687.895000000004</v>
      </c>
      <c r="S100" s="353"/>
      <c r="T100" s="354"/>
    </row>
    <row r="101" spans="1:20" s="91" customFormat="1" ht="39.75" customHeight="1">
      <c r="A101" s="85" t="s">
        <v>455</v>
      </c>
      <c r="B101" s="86"/>
      <c r="C101" s="14" t="s">
        <v>41</v>
      </c>
      <c r="D101" s="87" t="s">
        <v>509</v>
      </c>
      <c r="E101" s="87"/>
      <c r="F101" s="87"/>
      <c r="G101" s="88"/>
      <c r="H101" s="89"/>
      <c r="I101" s="89"/>
      <c r="J101" s="31">
        <v>32838.08</v>
      </c>
      <c r="K101" s="31"/>
      <c r="L101" s="111">
        <f t="shared" si="32"/>
        <v>32838.08</v>
      </c>
      <c r="M101" s="31"/>
      <c r="N101" s="31"/>
      <c r="O101" s="111"/>
      <c r="P101" s="31"/>
      <c r="Q101" s="31"/>
      <c r="R101" s="111"/>
      <c r="S101" s="305" t="s">
        <v>92</v>
      </c>
      <c r="T101" s="306"/>
    </row>
    <row r="102" spans="1:20" s="91" customFormat="1" ht="24.75" customHeight="1">
      <c r="A102" s="85" t="s">
        <v>455</v>
      </c>
      <c r="B102" s="86"/>
      <c r="C102" s="67" t="s">
        <v>45</v>
      </c>
      <c r="D102" s="87" t="s">
        <v>510</v>
      </c>
      <c r="E102" s="87"/>
      <c r="F102" s="87"/>
      <c r="G102" s="88"/>
      <c r="H102" s="89"/>
      <c r="I102" s="89"/>
      <c r="J102" s="31">
        <f>488*15.54+17.07*252+15.29*280+16.82*262+15.29*308+15.81*480</f>
        <v>32871.32</v>
      </c>
      <c r="K102" s="31"/>
      <c r="L102" s="111">
        <f t="shared" si="32"/>
        <v>32871.32</v>
      </c>
      <c r="M102" s="31">
        <f>488*15.54+17.07*252+15.29*280+16.82*262+15.29*308+15.81*480</f>
        <v>32871.32</v>
      </c>
      <c r="N102" s="31"/>
      <c r="O102" s="111">
        <f aca="true" t="shared" si="33" ref="O102:O109">+N102+M102</f>
        <v>32871.32</v>
      </c>
      <c r="P102" s="31">
        <f aca="true" t="shared" si="34" ref="P102:P109">M102*0.65</f>
        <v>21366.358</v>
      </c>
      <c r="Q102" s="31"/>
      <c r="R102" s="111">
        <f aca="true" t="shared" si="35" ref="R102:R109">P102+Q102</f>
        <v>21366.358</v>
      </c>
      <c r="S102" s="353"/>
      <c r="T102" s="354"/>
    </row>
    <row r="103" spans="1:20" s="91" customFormat="1" ht="24.75" customHeight="1">
      <c r="A103" s="85" t="s">
        <v>455</v>
      </c>
      <c r="B103" s="86"/>
      <c r="C103" s="14" t="s">
        <v>83</v>
      </c>
      <c r="D103" s="87" t="s">
        <v>127</v>
      </c>
      <c r="E103" s="87"/>
      <c r="F103" s="87"/>
      <c r="G103" s="88"/>
      <c r="H103" s="89"/>
      <c r="I103" s="89"/>
      <c r="J103" s="31">
        <f>18.27*510</f>
        <v>9317.699999999999</v>
      </c>
      <c r="K103" s="31"/>
      <c r="L103" s="111">
        <f t="shared" si="32"/>
        <v>9317.699999999999</v>
      </c>
      <c r="M103" s="31">
        <f>18.27*510</f>
        <v>9317.699999999999</v>
      </c>
      <c r="N103" s="31"/>
      <c r="O103" s="111">
        <f t="shared" si="33"/>
        <v>9317.699999999999</v>
      </c>
      <c r="P103" s="31">
        <f t="shared" si="34"/>
        <v>6056.504999999999</v>
      </c>
      <c r="Q103" s="31"/>
      <c r="R103" s="111">
        <f t="shared" si="35"/>
        <v>6056.504999999999</v>
      </c>
      <c r="S103" s="353"/>
      <c r="T103" s="354"/>
    </row>
    <row r="104" spans="1:20" s="91" customFormat="1" ht="24.75" customHeight="1">
      <c r="A104" s="85" t="s">
        <v>455</v>
      </c>
      <c r="B104" s="86"/>
      <c r="C104" s="67" t="s">
        <v>42</v>
      </c>
      <c r="D104" s="87" t="s">
        <v>511</v>
      </c>
      <c r="E104" s="87"/>
      <c r="F104" s="87"/>
      <c r="G104" s="88"/>
      <c r="H104" s="89"/>
      <c r="I104" s="89"/>
      <c r="J104" s="31">
        <f>18.06*475+18.15*616+24.1*616+13.88*616</f>
        <v>43154.58</v>
      </c>
      <c r="K104" s="31"/>
      <c r="L104" s="111">
        <f t="shared" si="32"/>
        <v>43154.58</v>
      </c>
      <c r="M104" s="31">
        <f>18.06*475+18.15*616+24.1*616+13.88*616</f>
        <v>43154.58</v>
      </c>
      <c r="N104" s="31"/>
      <c r="O104" s="111">
        <f t="shared" si="33"/>
        <v>43154.58</v>
      </c>
      <c r="P104" s="31">
        <f t="shared" si="34"/>
        <v>28050.477000000003</v>
      </c>
      <c r="Q104" s="31"/>
      <c r="R104" s="111">
        <f t="shared" si="35"/>
        <v>28050.477000000003</v>
      </c>
      <c r="S104" s="353"/>
      <c r="T104" s="354"/>
    </row>
    <row r="105" spans="1:20" s="91" customFormat="1" ht="24.75" customHeight="1">
      <c r="A105" s="85" t="s">
        <v>455</v>
      </c>
      <c r="B105" s="86"/>
      <c r="C105" s="14" t="s">
        <v>82</v>
      </c>
      <c r="D105" s="87" t="s">
        <v>230</v>
      </c>
      <c r="E105" s="87"/>
      <c r="F105" s="87"/>
      <c r="G105" s="88"/>
      <c r="H105" s="89"/>
      <c r="I105" s="89"/>
      <c r="J105" s="31">
        <f>24.68*472+23.75*456</f>
        <v>22478.96</v>
      </c>
      <c r="K105" s="31"/>
      <c r="L105" s="111">
        <f t="shared" si="32"/>
        <v>22478.96</v>
      </c>
      <c r="M105" s="31">
        <f>24.68*472+23.75*456</f>
        <v>22478.96</v>
      </c>
      <c r="N105" s="31"/>
      <c r="O105" s="111">
        <f t="shared" si="33"/>
        <v>22478.96</v>
      </c>
      <c r="P105" s="31">
        <f t="shared" si="34"/>
        <v>14611.324</v>
      </c>
      <c r="Q105" s="31"/>
      <c r="R105" s="111">
        <f t="shared" si="35"/>
        <v>14611.324</v>
      </c>
      <c r="S105" s="353"/>
      <c r="T105" s="354"/>
    </row>
    <row r="106" spans="1:20" s="91" customFormat="1" ht="24.75" customHeight="1">
      <c r="A106" s="85" t="s">
        <v>455</v>
      </c>
      <c r="B106" s="86"/>
      <c r="C106" s="67" t="s">
        <v>123</v>
      </c>
      <c r="D106" s="87" t="s">
        <v>510</v>
      </c>
      <c r="E106" s="87"/>
      <c r="F106" s="87"/>
      <c r="G106" s="88"/>
      <c r="H106" s="89"/>
      <c r="I106" s="89"/>
      <c r="J106" s="31">
        <f>14.83*271+18.72*560+12.79*536+14.6*544+15.54*353+17.93*195</f>
        <v>38281.94</v>
      </c>
      <c r="K106" s="31"/>
      <c r="L106" s="111">
        <f t="shared" si="32"/>
        <v>38281.94</v>
      </c>
      <c r="M106" s="31">
        <f>14.83*271+18.72*560+12.79*536+14.6*544+15.54*353+17.93*195</f>
        <v>38281.94</v>
      </c>
      <c r="N106" s="31"/>
      <c r="O106" s="111">
        <f t="shared" si="33"/>
        <v>38281.94</v>
      </c>
      <c r="P106" s="31">
        <f t="shared" si="34"/>
        <v>24883.261000000002</v>
      </c>
      <c r="Q106" s="31"/>
      <c r="R106" s="111">
        <f t="shared" si="35"/>
        <v>24883.261000000002</v>
      </c>
      <c r="S106" s="353"/>
      <c r="T106" s="354"/>
    </row>
    <row r="107" spans="1:20" s="91" customFormat="1" ht="24.75" customHeight="1">
      <c r="A107" s="85" t="s">
        <v>455</v>
      </c>
      <c r="B107" s="86"/>
      <c r="C107" s="67" t="s">
        <v>44</v>
      </c>
      <c r="D107" s="67" t="s">
        <v>227</v>
      </c>
      <c r="E107" s="87"/>
      <c r="F107" s="87"/>
      <c r="G107" s="88"/>
      <c r="H107" s="89"/>
      <c r="I107" s="89"/>
      <c r="J107" s="31">
        <f>17.08*522+12.91*508</f>
        <v>15474.039999999997</v>
      </c>
      <c r="K107" s="31"/>
      <c r="L107" s="111">
        <f t="shared" si="32"/>
        <v>15474.039999999997</v>
      </c>
      <c r="M107" s="31">
        <f>17.08*522+12.91*508</f>
        <v>15474.039999999997</v>
      </c>
      <c r="N107" s="31"/>
      <c r="O107" s="111">
        <f t="shared" si="33"/>
        <v>15474.039999999997</v>
      </c>
      <c r="P107" s="31">
        <f t="shared" si="34"/>
        <v>10058.125999999998</v>
      </c>
      <c r="Q107" s="31"/>
      <c r="R107" s="111">
        <f t="shared" si="35"/>
        <v>10058.125999999998</v>
      </c>
      <c r="S107" s="353"/>
      <c r="T107" s="354"/>
    </row>
    <row r="108" spans="1:20" s="91" customFormat="1" ht="24.75" customHeight="1">
      <c r="A108" s="85" t="s">
        <v>455</v>
      </c>
      <c r="B108" s="86"/>
      <c r="C108" s="67" t="s">
        <v>130</v>
      </c>
      <c r="D108" s="87" t="s">
        <v>511</v>
      </c>
      <c r="E108" s="87"/>
      <c r="F108" s="87"/>
      <c r="G108" s="88"/>
      <c r="H108" s="89"/>
      <c r="I108" s="89"/>
      <c r="J108" s="31">
        <f>12.52*378+12.35*328+12.44*580+12.12*478</f>
        <v>21791.92</v>
      </c>
      <c r="K108" s="31"/>
      <c r="L108" s="111">
        <f t="shared" si="32"/>
        <v>21791.92</v>
      </c>
      <c r="M108" s="31">
        <f>12.52*378+12.35*328+12.44*580+12.12*478</f>
        <v>21791.92</v>
      </c>
      <c r="N108" s="31"/>
      <c r="O108" s="111">
        <f t="shared" si="33"/>
        <v>21791.92</v>
      </c>
      <c r="P108" s="31">
        <f t="shared" si="34"/>
        <v>14164.748</v>
      </c>
      <c r="Q108" s="31"/>
      <c r="R108" s="111">
        <f t="shared" si="35"/>
        <v>14164.748</v>
      </c>
      <c r="S108" s="353"/>
      <c r="T108" s="354"/>
    </row>
    <row r="109" spans="1:20" s="91" customFormat="1" ht="24.75" customHeight="1">
      <c r="A109" s="85" t="s">
        <v>455</v>
      </c>
      <c r="B109" s="86"/>
      <c r="C109" s="67" t="s">
        <v>43</v>
      </c>
      <c r="D109" s="87" t="s">
        <v>512</v>
      </c>
      <c r="E109" s="87"/>
      <c r="F109" s="87"/>
      <c r="G109" s="88"/>
      <c r="H109" s="89"/>
      <c r="I109" s="89"/>
      <c r="J109" s="31">
        <f>22.23*548+10.39*566+9.11*420+13.59*534+9.37*120</f>
        <v>30270.440000000002</v>
      </c>
      <c r="K109" s="31"/>
      <c r="L109" s="111">
        <f t="shared" si="32"/>
        <v>30270.440000000002</v>
      </c>
      <c r="M109" s="31">
        <f>22.23*548+10.39*566+9.11*420+13.59*534+9.37*120</f>
        <v>30270.440000000002</v>
      </c>
      <c r="N109" s="31"/>
      <c r="O109" s="111">
        <f t="shared" si="33"/>
        <v>30270.440000000002</v>
      </c>
      <c r="P109" s="31">
        <f t="shared" si="34"/>
        <v>19675.786000000004</v>
      </c>
      <c r="Q109" s="31"/>
      <c r="R109" s="111">
        <f t="shared" si="35"/>
        <v>19675.786000000004</v>
      </c>
      <c r="S109" s="353"/>
      <c r="T109" s="354"/>
    </row>
    <row r="110" spans="1:20" s="91" customFormat="1" ht="38.25" customHeight="1">
      <c r="A110" s="85" t="s">
        <v>518</v>
      </c>
      <c r="B110" s="86"/>
      <c r="C110" s="67" t="s">
        <v>40</v>
      </c>
      <c r="D110" s="67" t="s">
        <v>456</v>
      </c>
      <c r="E110" s="87"/>
      <c r="F110" s="87"/>
      <c r="G110" s="88"/>
      <c r="H110" s="89"/>
      <c r="I110" s="89"/>
      <c r="J110" s="31">
        <f>44.44*116+18.86*324+21.06*334+18.69*331+13.9*312+40.73*204+34.29*216+31.53*180+30.64*127</f>
        <v>54105.15</v>
      </c>
      <c r="K110" s="31"/>
      <c r="L110" s="111">
        <f t="shared" si="32"/>
        <v>54105.15</v>
      </c>
      <c r="M110" s="31">
        <f>44.44*116+18.86*324+21.06*334+18.69*331+13.9*312+40.73*204+34.29*216+31.53*180+30.64*127</f>
        <v>54105.15</v>
      </c>
      <c r="N110" s="31"/>
      <c r="O110" s="111">
        <f aca="true" t="shared" si="36" ref="O110:O122">+N110+M110</f>
        <v>54105.15</v>
      </c>
      <c r="P110" s="31">
        <f aca="true" t="shared" si="37" ref="P110:P122">M110*0.65</f>
        <v>35168.3475</v>
      </c>
      <c r="Q110" s="31"/>
      <c r="R110" s="111">
        <f aca="true" t="shared" si="38" ref="R110:R122">P110+Q110</f>
        <v>35168.3475</v>
      </c>
      <c r="S110" s="353"/>
      <c r="T110" s="354"/>
    </row>
    <row r="111" spans="1:20" s="91" customFormat="1" ht="38.25" customHeight="1">
      <c r="A111" s="85" t="s">
        <v>518</v>
      </c>
      <c r="B111" s="86"/>
      <c r="C111" s="67" t="s">
        <v>123</v>
      </c>
      <c r="D111" s="87" t="s">
        <v>510</v>
      </c>
      <c r="E111" s="87"/>
      <c r="F111" s="87"/>
      <c r="G111" s="88"/>
      <c r="H111" s="89"/>
      <c r="I111" s="89"/>
      <c r="J111" s="31">
        <f>248*14.83+18.72*176+12.79*408+14.6*294+15.54*368+17.93*528</f>
        <v>31669.04</v>
      </c>
      <c r="K111" s="31"/>
      <c r="L111" s="111">
        <f aca="true" t="shared" si="39" ref="L111:L122">+K111+J111</f>
        <v>31669.04</v>
      </c>
      <c r="M111" s="31">
        <f>248*14.83+18.72*176+12.79*408+14.6*294+15.54*368+17.93*528</f>
        <v>31669.04</v>
      </c>
      <c r="N111" s="31"/>
      <c r="O111" s="111">
        <f t="shared" si="36"/>
        <v>31669.04</v>
      </c>
      <c r="P111" s="31">
        <f t="shared" si="37"/>
        <v>20584.876</v>
      </c>
      <c r="Q111" s="31"/>
      <c r="R111" s="111">
        <f t="shared" si="38"/>
        <v>20584.876</v>
      </c>
      <c r="S111" s="353" t="s">
        <v>571</v>
      </c>
      <c r="T111" s="354"/>
    </row>
    <row r="112" spans="1:20" s="91" customFormat="1" ht="38.25" customHeight="1">
      <c r="A112" s="85" t="s">
        <v>518</v>
      </c>
      <c r="B112" s="86"/>
      <c r="C112" s="14" t="s">
        <v>41</v>
      </c>
      <c r="D112" s="87" t="s">
        <v>509</v>
      </c>
      <c r="E112" s="87"/>
      <c r="F112" s="87"/>
      <c r="G112" s="88"/>
      <c r="H112" s="89"/>
      <c r="I112" s="89"/>
      <c r="J112" s="31">
        <f>24.1*168+33.94*216+46.94*104+27.39*88+34.31*144+24.46*168+26*136+69.95*24</f>
        <v>32936.64</v>
      </c>
      <c r="K112" s="31"/>
      <c r="L112" s="111">
        <f t="shared" si="39"/>
        <v>32936.64</v>
      </c>
      <c r="M112" s="31">
        <f>24.1*168+33.94*216+46.94*104+27.39*88+34.31*144+24.46*168+26*136+69.95*24</f>
        <v>32936.64</v>
      </c>
      <c r="N112" s="31"/>
      <c r="O112" s="111">
        <f t="shared" si="36"/>
        <v>32936.64</v>
      </c>
      <c r="P112" s="31">
        <f t="shared" si="37"/>
        <v>21408.816</v>
      </c>
      <c r="Q112" s="31"/>
      <c r="R112" s="111">
        <f t="shared" si="38"/>
        <v>21408.816</v>
      </c>
      <c r="S112" s="169"/>
      <c r="T112" s="170"/>
    </row>
    <row r="113" spans="1:20" s="91" customFormat="1" ht="38.25" customHeight="1">
      <c r="A113" s="85" t="s">
        <v>518</v>
      </c>
      <c r="B113" s="86"/>
      <c r="C113" s="14" t="s">
        <v>41</v>
      </c>
      <c r="D113" s="87" t="s">
        <v>509</v>
      </c>
      <c r="E113" s="87"/>
      <c r="F113" s="87"/>
      <c r="G113" s="88"/>
      <c r="H113" s="89"/>
      <c r="I113" s="89"/>
      <c r="J113" s="31">
        <f>568*24.1+33.94*552+46.94*488+27.39*602+34.31*464+24.46*604+26*651+69.95*329</f>
        <v>142452.40999999997</v>
      </c>
      <c r="K113" s="31"/>
      <c r="L113" s="111">
        <f t="shared" si="39"/>
        <v>142452.40999999997</v>
      </c>
      <c r="M113" s="31">
        <f>568*24.1+33.94*552+46.94*488+27.39*602+34.31*464+24.46*604+26*651+69.95*329</f>
        <v>142452.40999999997</v>
      </c>
      <c r="N113" s="31"/>
      <c r="O113" s="111">
        <f t="shared" si="36"/>
        <v>142452.40999999997</v>
      </c>
      <c r="P113" s="31">
        <f t="shared" si="37"/>
        <v>92594.06649999999</v>
      </c>
      <c r="Q113" s="31"/>
      <c r="R113" s="111">
        <f t="shared" si="38"/>
        <v>92594.06649999999</v>
      </c>
      <c r="S113" s="169"/>
      <c r="T113" s="170"/>
    </row>
    <row r="114" spans="1:20" s="91" customFormat="1" ht="38.25" customHeight="1">
      <c r="A114" s="85" t="s">
        <v>518</v>
      </c>
      <c r="B114" s="86"/>
      <c r="C114" s="67" t="s">
        <v>125</v>
      </c>
      <c r="D114" s="67" t="s">
        <v>504</v>
      </c>
      <c r="E114" s="87"/>
      <c r="F114" s="87"/>
      <c r="G114" s="88"/>
      <c r="H114" s="89"/>
      <c r="I114" s="89"/>
      <c r="J114" s="31">
        <f>28.27*140+26.42*280+28.14*280</f>
        <v>19234.6</v>
      </c>
      <c r="K114" s="31"/>
      <c r="L114" s="111">
        <f t="shared" si="39"/>
        <v>19234.6</v>
      </c>
      <c r="M114" s="31">
        <f>28.27*140+26.42*280+28.14*280</f>
        <v>19234.6</v>
      </c>
      <c r="N114" s="31"/>
      <c r="O114" s="111">
        <f t="shared" si="36"/>
        <v>19234.6</v>
      </c>
      <c r="P114" s="31">
        <f t="shared" si="37"/>
        <v>12502.49</v>
      </c>
      <c r="Q114" s="31"/>
      <c r="R114" s="111">
        <f t="shared" si="38"/>
        <v>12502.49</v>
      </c>
      <c r="S114" s="353" t="s">
        <v>571</v>
      </c>
      <c r="T114" s="354"/>
    </row>
    <row r="115" spans="1:20" s="91" customFormat="1" ht="38.25" customHeight="1">
      <c r="A115" s="85" t="s">
        <v>518</v>
      </c>
      <c r="B115" s="86"/>
      <c r="C115" s="67" t="s">
        <v>124</v>
      </c>
      <c r="D115" s="87" t="s">
        <v>511</v>
      </c>
      <c r="E115" s="87"/>
      <c r="F115" s="87"/>
      <c r="G115" s="88"/>
      <c r="H115" s="89"/>
      <c r="I115" s="89"/>
      <c r="J115" s="31">
        <f>83.77*120+41.58*60+34.64*60+17.82*632</f>
        <v>25887.839999999997</v>
      </c>
      <c r="K115" s="31"/>
      <c r="L115" s="111">
        <f t="shared" si="39"/>
        <v>25887.839999999997</v>
      </c>
      <c r="M115" s="31">
        <f>83.77*120+41.58*60+34.64*60+17.82*632</f>
        <v>25887.839999999997</v>
      </c>
      <c r="N115" s="31"/>
      <c r="O115" s="111">
        <f t="shared" si="36"/>
        <v>25887.839999999997</v>
      </c>
      <c r="P115" s="31">
        <f t="shared" si="37"/>
        <v>16827.095999999998</v>
      </c>
      <c r="Q115" s="31"/>
      <c r="R115" s="111">
        <f t="shared" si="38"/>
        <v>16827.095999999998</v>
      </c>
      <c r="S115" s="353" t="s">
        <v>571</v>
      </c>
      <c r="T115" s="354"/>
    </row>
    <row r="116" spans="1:20" s="91" customFormat="1" ht="38.25" customHeight="1">
      <c r="A116" s="85" t="s">
        <v>518</v>
      </c>
      <c r="B116" s="86"/>
      <c r="C116" s="67" t="s">
        <v>42</v>
      </c>
      <c r="D116" s="87" t="s">
        <v>511</v>
      </c>
      <c r="E116" s="87"/>
      <c r="F116" s="87"/>
      <c r="G116" s="88"/>
      <c r="H116" s="89"/>
      <c r="I116" s="89"/>
      <c r="J116" s="31">
        <v>18461.96</v>
      </c>
      <c r="K116" s="31"/>
      <c r="L116" s="111">
        <f t="shared" si="39"/>
        <v>18461.96</v>
      </c>
      <c r="M116" s="31">
        <v>18461.96</v>
      </c>
      <c r="N116" s="31"/>
      <c r="O116" s="111">
        <f t="shared" si="36"/>
        <v>18461.96</v>
      </c>
      <c r="P116" s="31">
        <f t="shared" si="37"/>
        <v>12000.274</v>
      </c>
      <c r="Q116" s="31"/>
      <c r="R116" s="111">
        <f t="shared" si="38"/>
        <v>12000.274</v>
      </c>
      <c r="S116" s="353" t="s">
        <v>571</v>
      </c>
      <c r="T116" s="354"/>
    </row>
    <row r="117" spans="1:20" s="91" customFormat="1" ht="38.25" customHeight="1">
      <c r="A117" s="85" t="s">
        <v>518</v>
      </c>
      <c r="B117" s="86"/>
      <c r="C117" s="67" t="s">
        <v>44</v>
      </c>
      <c r="D117" s="67" t="s">
        <v>227</v>
      </c>
      <c r="E117" s="87"/>
      <c r="F117" s="87"/>
      <c r="G117" s="88"/>
      <c r="H117" s="89"/>
      <c r="I117" s="89"/>
      <c r="J117" s="31">
        <f>17.08*288+12.91*150</f>
        <v>6855.539999999999</v>
      </c>
      <c r="K117" s="31"/>
      <c r="L117" s="111">
        <f t="shared" si="39"/>
        <v>6855.539999999999</v>
      </c>
      <c r="M117" s="31">
        <f>17.08*288+12.91*150</f>
        <v>6855.539999999999</v>
      </c>
      <c r="N117" s="31"/>
      <c r="O117" s="111">
        <f t="shared" si="36"/>
        <v>6855.539999999999</v>
      </c>
      <c r="P117" s="31">
        <f t="shared" si="37"/>
        <v>4456.101</v>
      </c>
      <c r="Q117" s="31"/>
      <c r="R117" s="111">
        <f t="shared" si="38"/>
        <v>4456.101</v>
      </c>
      <c r="S117" s="353" t="s">
        <v>571</v>
      </c>
      <c r="T117" s="354"/>
    </row>
    <row r="118" spans="1:20" s="91" customFormat="1" ht="38.25" customHeight="1">
      <c r="A118" s="85" t="s">
        <v>518</v>
      </c>
      <c r="B118" s="86"/>
      <c r="C118" s="67" t="s">
        <v>45</v>
      </c>
      <c r="D118" s="87" t="s">
        <v>510</v>
      </c>
      <c r="E118" s="87"/>
      <c r="F118" s="87"/>
      <c r="G118" s="88"/>
      <c r="H118" s="89"/>
      <c r="I118" s="89"/>
      <c r="J118" s="31">
        <f>15.54*308+17.07*312+15.29*252+16.82*236+15.29*44+15.81*440</f>
        <v>25563.92</v>
      </c>
      <c r="K118" s="31"/>
      <c r="L118" s="111">
        <f t="shared" si="39"/>
        <v>25563.92</v>
      </c>
      <c r="M118" s="31">
        <f>15.54*308+17.07*312+15.29*252+16.82*236+15.29*44+15.81*440</f>
        <v>25563.92</v>
      </c>
      <c r="N118" s="31"/>
      <c r="O118" s="111">
        <f t="shared" si="36"/>
        <v>25563.92</v>
      </c>
      <c r="P118" s="31">
        <f t="shared" si="37"/>
        <v>16616.548</v>
      </c>
      <c r="Q118" s="31"/>
      <c r="R118" s="111">
        <f t="shared" si="38"/>
        <v>16616.548</v>
      </c>
      <c r="S118" s="353" t="s">
        <v>571</v>
      </c>
      <c r="T118" s="354"/>
    </row>
    <row r="119" spans="1:20" s="91" customFormat="1" ht="38.25" customHeight="1">
      <c r="A119" s="85" t="s">
        <v>518</v>
      </c>
      <c r="B119" s="86"/>
      <c r="C119" s="14" t="s">
        <v>83</v>
      </c>
      <c r="D119" s="87" t="s">
        <v>127</v>
      </c>
      <c r="E119" s="87"/>
      <c r="F119" s="87"/>
      <c r="G119" s="88"/>
      <c r="H119" s="89"/>
      <c r="I119" s="89"/>
      <c r="J119" s="31">
        <f>656*18.27</f>
        <v>11985.119999999999</v>
      </c>
      <c r="K119" s="31"/>
      <c r="L119" s="111">
        <f t="shared" si="39"/>
        <v>11985.119999999999</v>
      </c>
      <c r="M119" s="31">
        <f>656*18.27</f>
        <v>11985.119999999999</v>
      </c>
      <c r="N119" s="31"/>
      <c r="O119" s="111">
        <f t="shared" si="36"/>
        <v>11985.119999999999</v>
      </c>
      <c r="P119" s="31">
        <f t="shared" si="37"/>
        <v>7790.3279999999995</v>
      </c>
      <c r="Q119" s="31"/>
      <c r="R119" s="111">
        <f t="shared" si="38"/>
        <v>7790.3279999999995</v>
      </c>
      <c r="S119" s="353" t="s">
        <v>571</v>
      </c>
      <c r="T119" s="354"/>
    </row>
    <row r="120" spans="1:20" s="91" customFormat="1" ht="38.25" customHeight="1">
      <c r="A120" s="85" t="s">
        <v>518</v>
      </c>
      <c r="B120" s="86"/>
      <c r="C120" s="67" t="s">
        <v>43</v>
      </c>
      <c r="D120" s="87" t="s">
        <v>511</v>
      </c>
      <c r="E120" s="87"/>
      <c r="F120" s="87"/>
      <c r="G120" s="88"/>
      <c r="H120" s="89"/>
      <c r="I120" s="89"/>
      <c r="J120" s="31">
        <f>22.23*348+10.39*288+9.11*300+13.59*577</f>
        <v>21302.79</v>
      </c>
      <c r="K120" s="31"/>
      <c r="L120" s="111">
        <f t="shared" si="39"/>
        <v>21302.79</v>
      </c>
      <c r="M120" s="31">
        <f>22.23*348+10.39*288+9.11*300+13.59*577</f>
        <v>21302.79</v>
      </c>
      <c r="N120" s="31"/>
      <c r="O120" s="111">
        <f t="shared" si="36"/>
        <v>21302.79</v>
      </c>
      <c r="P120" s="31">
        <f t="shared" si="37"/>
        <v>13846.8135</v>
      </c>
      <c r="Q120" s="31"/>
      <c r="R120" s="111">
        <f t="shared" si="38"/>
        <v>13846.8135</v>
      </c>
      <c r="S120" s="353" t="s">
        <v>571</v>
      </c>
      <c r="T120" s="354"/>
    </row>
    <row r="121" spans="1:20" s="91" customFormat="1" ht="38.25" customHeight="1">
      <c r="A121" s="85" t="s">
        <v>518</v>
      </c>
      <c r="B121" s="86"/>
      <c r="C121" s="67" t="s">
        <v>130</v>
      </c>
      <c r="D121" s="87" t="s">
        <v>593</v>
      </c>
      <c r="E121" s="87"/>
      <c r="F121" s="87"/>
      <c r="G121" s="88"/>
      <c r="H121" s="89"/>
      <c r="I121" s="89"/>
      <c r="J121" s="31">
        <f>12.52*356+12.35*274+12.44*136</f>
        <v>9532.86</v>
      </c>
      <c r="K121" s="31"/>
      <c r="L121" s="111">
        <f t="shared" si="39"/>
        <v>9532.86</v>
      </c>
      <c r="M121" s="31">
        <f>12.52*356+12.35*274+12.44*136</f>
        <v>9532.86</v>
      </c>
      <c r="N121" s="31"/>
      <c r="O121" s="111">
        <f t="shared" si="36"/>
        <v>9532.86</v>
      </c>
      <c r="P121" s="31">
        <f t="shared" si="37"/>
        <v>6196.359</v>
      </c>
      <c r="Q121" s="31"/>
      <c r="R121" s="111">
        <f t="shared" si="38"/>
        <v>6196.359</v>
      </c>
      <c r="S121" s="353" t="s">
        <v>571</v>
      </c>
      <c r="T121" s="354"/>
    </row>
    <row r="122" spans="1:20" s="91" customFormat="1" ht="38.25" customHeight="1">
      <c r="A122" s="85" t="s">
        <v>518</v>
      </c>
      <c r="B122" s="86"/>
      <c r="C122" s="14" t="s">
        <v>82</v>
      </c>
      <c r="D122" s="87" t="s">
        <v>230</v>
      </c>
      <c r="E122" s="87"/>
      <c r="F122" s="87"/>
      <c r="G122" s="88"/>
      <c r="H122" s="89"/>
      <c r="I122" s="89"/>
      <c r="J122" s="31">
        <f>21.35*168+23.75*432</f>
        <v>13846.8</v>
      </c>
      <c r="K122" s="31"/>
      <c r="L122" s="111">
        <f t="shared" si="39"/>
        <v>13846.8</v>
      </c>
      <c r="M122" s="31">
        <f>21.35*168+23.75*432</f>
        <v>13846.8</v>
      </c>
      <c r="N122" s="31"/>
      <c r="O122" s="111">
        <f t="shared" si="36"/>
        <v>13846.8</v>
      </c>
      <c r="P122" s="31">
        <f t="shared" si="37"/>
        <v>9000.42</v>
      </c>
      <c r="Q122" s="31"/>
      <c r="R122" s="111">
        <f t="shared" si="38"/>
        <v>9000.42</v>
      </c>
      <c r="S122" s="353" t="s">
        <v>571</v>
      </c>
      <c r="T122" s="354"/>
    </row>
    <row r="123" spans="1:20" s="91" customFormat="1" ht="50.25" customHeight="1">
      <c r="A123" s="85" t="s">
        <v>594</v>
      </c>
      <c r="B123" s="86"/>
      <c r="C123" s="67" t="s">
        <v>40</v>
      </c>
      <c r="D123" s="67" t="s">
        <v>668</v>
      </c>
      <c r="E123" s="87"/>
      <c r="F123" s="87"/>
      <c r="G123" s="88"/>
      <c r="H123" s="89"/>
      <c r="I123" s="89"/>
      <c r="J123" s="31">
        <v>85212.7</v>
      </c>
      <c r="K123" s="31"/>
      <c r="L123" s="111">
        <f aca="true" t="shared" si="40" ref="L123:L167">+K123+J123</f>
        <v>85212.7</v>
      </c>
      <c r="M123" s="31">
        <f>24*44.44+394*21.06+398*18.69+372*18.86+387*13.9+392*40.73+402*34.29+400*31.53+403*30.64+80*16.3</f>
        <v>85212.7</v>
      </c>
      <c r="N123" s="31"/>
      <c r="O123" s="111">
        <f aca="true" t="shared" si="41" ref="O123:O134">+N123+M123</f>
        <v>85212.7</v>
      </c>
      <c r="P123" s="31">
        <f aca="true" t="shared" si="42" ref="P123:P134">M123*0.65</f>
        <v>55388.255</v>
      </c>
      <c r="Q123" s="31"/>
      <c r="R123" s="111">
        <f aca="true" t="shared" si="43" ref="R123:R134">P123+Q123</f>
        <v>55388.255</v>
      </c>
      <c r="S123" s="353"/>
      <c r="T123" s="354"/>
    </row>
    <row r="124" spans="1:20" s="91" customFormat="1" ht="38.25" customHeight="1">
      <c r="A124" s="85" t="s">
        <v>594</v>
      </c>
      <c r="B124" s="86"/>
      <c r="C124" s="67" t="s">
        <v>124</v>
      </c>
      <c r="D124" s="87" t="s">
        <v>593</v>
      </c>
      <c r="E124" s="87"/>
      <c r="F124" s="87"/>
      <c r="G124" s="88"/>
      <c r="H124" s="89"/>
      <c r="I124" s="89"/>
      <c r="J124" s="31">
        <v>3080.9710800000003</v>
      </c>
      <c r="K124" s="31"/>
      <c r="L124" s="111">
        <f t="shared" si="40"/>
        <v>3080.9710800000003</v>
      </c>
      <c r="M124" s="31">
        <v>3080.97</v>
      </c>
      <c r="N124" s="31"/>
      <c r="O124" s="111">
        <f t="shared" si="41"/>
        <v>3080.97</v>
      </c>
      <c r="P124" s="31">
        <f t="shared" si="42"/>
        <v>2002.6305</v>
      </c>
      <c r="Q124" s="31"/>
      <c r="R124" s="111">
        <f t="shared" si="43"/>
        <v>2002.6305</v>
      </c>
      <c r="S124" s="169"/>
      <c r="T124" s="170"/>
    </row>
    <row r="125" spans="1:20" s="91" customFormat="1" ht="38.25" customHeight="1">
      <c r="A125" s="85" t="s">
        <v>594</v>
      </c>
      <c r="B125" s="86"/>
      <c r="C125" s="67" t="s">
        <v>125</v>
      </c>
      <c r="D125" s="67" t="s">
        <v>225</v>
      </c>
      <c r="E125" s="87"/>
      <c r="F125" s="87"/>
      <c r="G125" s="88"/>
      <c r="H125" s="89"/>
      <c r="I125" s="89"/>
      <c r="J125" s="31">
        <v>16620.8</v>
      </c>
      <c r="K125" s="31"/>
      <c r="L125" s="111">
        <f t="shared" si="40"/>
        <v>16620.8</v>
      </c>
      <c r="M125" s="31">
        <v>16620.8</v>
      </c>
      <c r="N125" s="31"/>
      <c r="O125" s="111">
        <f t="shared" si="41"/>
        <v>16620.8</v>
      </c>
      <c r="P125" s="31">
        <f t="shared" si="42"/>
        <v>10803.52</v>
      </c>
      <c r="Q125" s="31"/>
      <c r="R125" s="111">
        <f t="shared" si="43"/>
        <v>10803.52</v>
      </c>
      <c r="S125" s="169"/>
      <c r="T125" s="170"/>
    </row>
    <row r="126" spans="1:20" s="91" customFormat="1" ht="38.25" customHeight="1">
      <c r="A126" s="85" t="s">
        <v>594</v>
      </c>
      <c r="B126" s="86"/>
      <c r="C126" s="14" t="s">
        <v>82</v>
      </c>
      <c r="D126" s="87" t="s">
        <v>676</v>
      </c>
      <c r="E126" s="87"/>
      <c r="F126" s="87"/>
      <c r="G126" s="88"/>
      <c r="H126" s="89"/>
      <c r="I126" s="89"/>
      <c r="J126" s="31">
        <f>460*21.35+272*23.75</f>
        <v>16281</v>
      </c>
      <c r="K126" s="31"/>
      <c r="L126" s="111">
        <f t="shared" si="40"/>
        <v>16281</v>
      </c>
      <c r="M126" s="31">
        <f>460*21.35+272*23.75</f>
        <v>16281</v>
      </c>
      <c r="N126" s="31"/>
      <c r="O126" s="111">
        <f t="shared" si="41"/>
        <v>16281</v>
      </c>
      <c r="P126" s="31">
        <f t="shared" si="42"/>
        <v>10582.65</v>
      </c>
      <c r="Q126" s="31"/>
      <c r="R126" s="111">
        <f t="shared" si="43"/>
        <v>10582.65</v>
      </c>
      <c r="S126" s="169"/>
      <c r="T126" s="170"/>
    </row>
    <row r="127" spans="1:20" s="91" customFormat="1" ht="38.25" customHeight="1">
      <c r="A127" s="85" t="s">
        <v>594</v>
      </c>
      <c r="B127" s="86"/>
      <c r="C127" s="14" t="s">
        <v>123</v>
      </c>
      <c r="D127" s="87" t="s">
        <v>510</v>
      </c>
      <c r="E127" s="87"/>
      <c r="F127" s="87"/>
      <c r="G127" s="88"/>
      <c r="H127" s="89"/>
      <c r="I127" s="89"/>
      <c r="J127" s="31">
        <f>14.83*508+18.72*432+12.79*360+14.6*424+15.54*284+17.93*352</f>
        <v>37140.200000000004</v>
      </c>
      <c r="K127" s="31"/>
      <c r="L127" s="111">
        <f t="shared" si="40"/>
        <v>37140.200000000004</v>
      </c>
      <c r="M127" s="31">
        <f>14.83*508+18.72*432+12.79*360+14.6*424+15.54*284+17.93*352</f>
        <v>37140.200000000004</v>
      </c>
      <c r="N127" s="31"/>
      <c r="O127" s="111">
        <f t="shared" si="41"/>
        <v>37140.200000000004</v>
      </c>
      <c r="P127" s="31">
        <f t="shared" si="42"/>
        <v>24141.130000000005</v>
      </c>
      <c r="Q127" s="31"/>
      <c r="R127" s="111">
        <f t="shared" si="43"/>
        <v>24141.130000000005</v>
      </c>
      <c r="S127" s="169"/>
      <c r="T127" s="170"/>
    </row>
    <row r="128" spans="1:20" s="91" customFormat="1" ht="38.25" customHeight="1">
      <c r="A128" s="85" t="s">
        <v>594</v>
      </c>
      <c r="B128" s="86"/>
      <c r="C128" s="67" t="s">
        <v>44</v>
      </c>
      <c r="D128" s="67" t="s">
        <v>136</v>
      </c>
      <c r="E128" s="87"/>
      <c r="F128" s="87"/>
      <c r="G128" s="88"/>
      <c r="H128" s="89"/>
      <c r="I128" s="89"/>
      <c r="J128" s="31">
        <f>17.08*444</f>
        <v>7583.5199999999995</v>
      </c>
      <c r="K128" s="31"/>
      <c r="L128" s="111">
        <f t="shared" si="40"/>
        <v>7583.5199999999995</v>
      </c>
      <c r="M128" s="31">
        <f>17.08*444</f>
        <v>7583.5199999999995</v>
      </c>
      <c r="N128" s="31"/>
      <c r="O128" s="111">
        <f t="shared" si="41"/>
        <v>7583.5199999999995</v>
      </c>
      <c r="P128" s="31">
        <f t="shared" si="42"/>
        <v>4929.288</v>
      </c>
      <c r="Q128" s="31"/>
      <c r="R128" s="111">
        <f t="shared" si="43"/>
        <v>4929.288</v>
      </c>
      <c r="S128" s="169"/>
      <c r="T128" s="170"/>
    </row>
    <row r="129" spans="1:20" s="91" customFormat="1" ht="38.25" customHeight="1">
      <c r="A129" s="85" t="s">
        <v>594</v>
      </c>
      <c r="B129" s="86"/>
      <c r="C129" s="67" t="s">
        <v>43</v>
      </c>
      <c r="D129" s="87" t="s">
        <v>511</v>
      </c>
      <c r="E129" s="87"/>
      <c r="F129" s="87"/>
      <c r="G129" s="88"/>
      <c r="H129" s="89"/>
      <c r="I129" s="89"/>
      <c r="J129" s="31">
        <f>22.23*392+10.39*285+9.11*291+13.59*441</f>
        <v>20319.51</v>
      </c>
      <c r="K129" s="31"/>
      <c r="L129" s="111">
        <f t="shared" si="40"/>
        <v>20319.51</v>
      </c>
      <c r="M129" s="31">
        <f>22.23*392+10.39*285+9.11*291+13.59*441</f>
        <v>20319.51</v>
      </c>
      <c r="N129" s="31"/>
      <c r="O129" s="111">
        <f t="shared" si="41"/>
        <v>20319.51</v>
      </c>
      <c r="P129" s="31">
        <f t="shared" si="42"/>
        <v>13207.681499999999</v>
      </c>
      <c r="Q129" s="31"/>
      <c r="R129" s="111">
        <f t="shared" si="43"/>
        <v>13207.681499999999</v>
      </c>
      <c r="S129" s="169"/>
      <c r="T129" s="170"/>
    </row>
    <row r="130" spans="1:20" s="91" customFormat="1" ht="38.25" customHeight="1">
      <c r="A130" s="85" t="s">
        <v>594</v>
      </c>
      <c r="B130" s="86"/>
      <c r="C130" s="67" t="s">
        <v>130</v>
      </c>
      <c r="D130" s="87" t="s">
        <v>593</v>
      </c>
      <c r="E130" s="87"/>
      <c r="F130" s="87"/>
      <c r="G130" s="88"/>
      <c r="H130" s="89"/>
      <c r="I130" s="89"/>
      <c r="J130" s="31">
        <f>12.52*278+12.35*334+12.44*388</f>
        <v>12432.18</v>
      </c>
      <c r="K130" s="31"/>
      <c r="L130" s="111">
        <f t="shared" si="40"/>
        <v>12432.18</v>
      </c>
      <c r="M130" s="31">
        <f>12.52*278+12.35*334+12.44*388</f>
        <v>12432.18</v>
      </c>
      <c r="N130" s="31"/>
      <c r="O130" s="111">
        <f t="shared" si="41"/>
        <v>12432.18</v>
      </c>
      <c r="P130" s="31">
        <f t="shared" si="42"/>
        <v>8080.917</v>
      </c>
      <c r="Q130" s="31"/>
      <c r="R130" s="111">
        <f t="shared" si="43"/>
        <v>8080.917</v>
      </c>
      <c r="S130" s="169"/>
      <c r="T130" s="170"/>
    </row>
    <row r="131" spans="1:20" s="91" customFormat="1" ht="38.25" customHeight="1">
      <c r="A131" s="85" t="s">
        <v>594</v>
      </c>
      <c r="B131" s="86"/>
      <c r="C131" s="67" t="s">
        <v>45</v>
      </c>
      <c r="D131" s="87" t="s">
        <v>512</v>
      </c>
      <c r="E131" s="87"/>
      <c r="F131" s="87"/>
      <c r="G131" s="88"/>
      <c r="H131" s="89"/>
      <c r="I131" s="89"/>
      <c r="J131" s="31">
        <f>15.54*632+17.07*332+15.29*207+16.82*152+15.81*240</f>
        <v>25004.59</v>
      </c>
      <c r="K131" s="31"/>
      <c r="L131" s="111">
        <f t="shared" si="40"/>
        <v>25004.59</v>
      </c>
      <c r="M131" s="31">
        <f>15.54*632+17.07*332+15.29*207+16.82*152+15.81*240</f>
        <v>25004.59</v>
      </c>
      <c r="N131" s="31"/>
      <c r="O131" s="111">
        <f t="shared" si="41"/>
        <v>25004.59</v>
      </c>
      <c r="P131" s="31">
        <f t="shared" si="42"/>
        <v>16252.9835</v>
      </c>
      <c r="Q131" s="31"/>
      <c r="R131" s="111">
        <f t="shared" si="43"/>
        <v>16252.9835</v>
      </c>
      <c r="S131" s="169"/>
      <c r="T131" s="170"/>
    </row>
    <row r="132" spans="1:20" s="91" customFormat="1" ht="38.25" customHeight="1">
      <c r="A132" s="85" t="s">
        <v>594</v>
      </c>
      <c r="B132" s="86"/>
      <c r="C132" s="14" t="s">
        <v>83</v>
      </c>
      <c r="D132" s="87" t="s">
        <v>127</v>
      </c>
      <c r="E132" s="87"/>
      <c r="F132" s="87"/>
      <c r="G132" s="88"/>
      <c r="H132" s="89"/>
      <c r="I132" s="89"/>
      <c r="J132" s="31">
        <f>18.27*664</f>
        <v>12131.279999999999</v>
      </c>
      <c r="K132" s="31"/>
      <c r="L132" s="111">
        <f t="shared" si="40"/>
        <v>12131.279999999999</v>
      </c>
      <c r="M132" s="31">
        <f>18.27*664</f>
        <v>12131.279999999999</v>
      </c>
      <c r="N132" s="31"/>
      <c r="O132" s="111">
        <f t="shared" si="41"/>
        <v>12131.279999999999</v>
      </c>
      <c r="P132" s="31">
        <f t="shared" si="42"/>
        <v>7885.331999999999</v>
      </c>
      <c r="Q132" s="31"/>
      <c r="R132" s="111">
        <f t="shared" si="43"/>
        <v>7885.331999999999</v>
      </c>
      <c r="S132" s="169"/>
      <c r="T132" s="170"/>
    </row>
    <row r="133" spans="1:20" s="91" customFormat="1" ht="38.25" customHeight="1">
      <c r="A133" s="85" t="s">
        <v>594</v>
      </c>
      <c r="B133" s="86"/>
      <c r="C133" s="14" t="s">
        <v>41</v>
      </c>
      <c r="D133" s="67" t="s">
        <v>678</v>
      </c>
      <c r="E133" s="87"/>
      <c r="F133" s="87"/>
      <c r="G133" s="88"/>
      <c r="H133" s="89"/>
      <c r="I133" s="89"/>
      <c r="J133" s="31">
        <f>24.1*608+46.94*253+27.39*242+34.31*104+24.46*318+69.95*180</f>
        <v>57094.52</v>
      </c>
      <c r="K133" s="31"/>
      <c r="L133" s="111">
        <f t="shared" si="40"/>
        <v>57094.52</v>
      </c>
      <c r="M133" s="31">
        <f>24.1*608+46.94*253+27.39*242+34.31*104+24.46*318+69.95*180</f>
        <v>57094.52</v>
      </c>
      <c r="N133" s="31"/>
      <c r="O133" s="111">
        <f t="shared" si="41"/>
        <v>57094.52</v>
      </c>
      <c r="P133" s="31">
        <f t="shared" si="42"/>
        <v>37111.438</v>
      </c>
      <c r="Q133" s="31"/>
      <c r="R133" s="111">
        <f t="shared" si="43"/>
        <v>37111.438</v>
      </c>
      <c r="S133" s="169"/>
      <c r="T133" s="170"/>
    </row>
    <row r="134" spans="1:20" s="91" customFormat="1" ht="38.25" customHeight="1">
      <c r="A134" s="85" t="s">
        <v>594</v>
      </c>
      <c r="B134" s="86"/>
      <c r="C134" s="67" t="s">
        <v>42</v>
      </c>
      <c r="D134" s="87" t="s">
        <v>511</v>
      </c>
      <c r="E134" s="87"/>
      <c r="F134" s="87"/>
      <c r="G134" s="88"/>
      <c r="H134" s="89"/>
      <c r="I134" s="89"/>
      <c r="J134" s="31">
        <f>152*20.14+23.84*182+26.25*106+19.23*188</f>
        <v>13797.9</v>
      </c>
      <c r="K134" s="31"/>
      <c r="L134" s="111">
        <f t="shared" si="40"/>
        <v>13797.9</v>
      </c>
      <c r="M134" s="31">
        <f>152*20.14+23.84*182+26.25*106+19.23*188</f>
        <v>13797.9</v>
      </c>
      <c r="N134" s="31"/>
      <c r="O134" s="111">
        <f t="shared" si="41"/>
        <v>13797.9</v>
      </c>
      <c r="P134" s="31">
        <f t="shared" si="42"/>
        <v>8968.635</v>
      </c>
      <c r="Q134" s="31"/>
      <c r="R134" s="111">
        <f t="shared" si="43"/>
        <v>8968.635</v>
      </c>
      <c r="S134" s="169"/>
      <c r="T134" s="170"/>
    </row>
    <row r="135" spans="1:20" s="91" customFormat="1" ht="63.75" customHeight="1">
      <c r="A135" s="85" t="s">
        <v>617</v>
      </c>
      <c r="B135" s="86"/>
      <c r="C135" s="67" t="s">
        <v>123</v>
      </c>
      <c r="D135" s="67" t="s">
        <v>684</v>
      </c>
      <c r="E135" s="87"/>
      <c r="F135" s="87"/>
      <c r="G135" s="88"/>
      <c r="H135" s="89"/>
      <c r="I135" s="89"/>
      <c r="J135" s="31">
        <v>35571.94</v>
      </c>
      <c r="K135" s="31"/>
      <c r="L135" s="111">
        <f aca="true" t="shared" si="44" ref="L135:L150">+K135+J135</f>
        <v>35571.94</v>
      </c>
      <c r="M135" s="31">
        <f>438*14.83+469*18.72+481*12.79+374*14.6+350*15.54+181*17.93</f>
        <v>35571.94</v>
      </c>
      <c r="N135" s="31"/>
      <c r="O135" s="111">
        <f aca="true" t="shared" si="45" ref="O135:O159">+N135+M135</f>
        <v>35571.94</v>
      </c>
      <c r="P135" s="31">
        <f aca="true" t="shared" si="46" ref="P135:P157">M135*0.65</f>
        <v>23121.761000000002</v>
      </c>
      <c r="Q135" s="31"/>
      <c r="R135" s="111">
        <f aca="true" t="shared" si="47" ref="R135:R157">P135+Q135</f>
        <v>23121.761000000002</v>
      </c>
      <c r="S135" s="353" t="s">
        <v>685</v>
      </c>
      <c r="T135" s="354"/>
    </row>
    <row r="136" spans="1:20" s="91" customFormat="1" ht="63.75" customHeight="1">
      <c r="A136" s="85" t="s">
        <v>617</v>
      </c>
      <c r="B136" s="86"/>
      <c r="C136" s="67" t="s">
        <v>123</v>
      </c>
      <c r="D136" s="67" t="s">
        <v>684</v>
      </c>
      <c r="E136" s="87"/>
      <c r="F136" s="87"/>
      <c r="G136" s="88"/>
      <c r="H136" s="89"/>
      <c r="I136" s="89"/>
      <c r="J136" s="31">
        <v>29024.07</v>
      </c>
      <c r="K136" s="31"/>
      <c r="L136" s="111">
        <f t="shared" si="44"/>
        <v>29024.07</v>
      </c>
      <c r="M136" s="31">
        <v>29024.07</v>
      </c>
      <c r="N136" s="31"/>
      <c r="O136" s="111">
        <f t="shared" si="45"/>
        <v>29024.07</v>
      </c>
      <c r="P136" s="31">
        <f t="shared" si="46"/>
        <v>18865.6455</v>
      </c>
      <c r="Q136" s="31"/>
      <c r="R136" s="111">
        <f t="shared" si="47"/>
        <v>18865.6455</v>
      </c>
      <c r="S136" s="353" t="s">
        <v>685</v>
      </c>
      <c r="T136" s="354"/>
    </row>
    <row r="137" spans="1:20" s="91" customFormat="1" ht="60" customHeight="1">
      <c r="A137" s="85" t="s">
        <v>617</v>
      </c>
      <c r="B137" s="86"/>
      <c r="C137" s="67" t="s">
        <v>44</v>
      </c>
      <c r="D137" s="67" t="s">
        <v>136</v>
      </c>
      <c r="E137" s="87"/>
      <c r="F137" s="87"/>
      <c r="G137" s="88"/>
      <c r="H137" s="89"/>
      <c r="I137" s="89"/>
      <c r="J137" s="31">
        <v>7686</v>
      </c>
      <c r="K137" s="31"/>
      <c r="L137" s="111">
        <f t="shared" si="44"/>
        <v>7686</v>
      </c>
      <c r="M137" s="31">
        <f>450*17.08</f>
        <v>7685.999999999999</v>
      </c>
      <c r="N137" s="31"/>
      <c r="O137" s="111">
        <f t="shared" si="45"/>
        <v>7685.999999999999</v>
      </c>
      <c r="P137" s="31">
        <f t="shared" si="46"/>
        <v>4995.9</v>
      </c>
      <c r="Q137" s="31"/>
      <c r="R137" s="111">
        <f t="shared" si="47"/>
        <v>4995.9</v>
      </c>
      <c r="S137" s="353" t="s">
        <v>685</v>
      </c>
      <c r="T137" s="354"/>
    </row>
    <row r="138" spans="1:20" s="91" customFormat="1" ht="60" customHeight="1">
      <c r="A138" s="85" t="s">
        <v>617</v>
      </c>
      <c r="B138" s="86"/>
      <c r="C138" s="67" t="s">
        <v>44</v>
      </c>
      <c r="D138" s="67" t="s">
        <v>136</v>
      </c>
      <c r="E138" s="87"/>
      <c r="F138" s="87"/>
      <c r="G138" s="88"/>
      <c r="H138" s="89"/>
      <c r="I138" s="89"/>
      <c r="J138" s="31">
        <v>11341.12</v>
      </c>
      <c r="K138" s="31"/>
      <c r="L138" s="111">
        <f t="shared" si="44"/>
        <v>11341.12</v>
      </c>
      <c r="M138" s="31">
        <f>17.08*664</f>
        <v>11341.119999999999</v>
      </c>
      <c r="N138" s="31"/>
      <c r="O138" s="111">
        <f t="shared" si="45"/>
        <v>11341.119999999999</v>
      </c>
      <c r="P138" s="31">
        <f t="shared" si="46"/>
        <v>7371.727999999999</v>
      </c>
      <c r="Q138" s="31"/>
      <c r="R138" s="111">
        <f t="shared" si="47"/>
        <v>7371.727999999999</v>
      </c>
      <c r="S138" s="353" t="s">
        <v>685</v>
      </c>
      <c r="T138" s="354"/>
    </row>
    <row r="139" spans="1:20" s="91" customFormat="1" ht="60" customHeight="1">
      <c r="A139" s="85" t="s">
        <v>617</v>
      </c>
      <c r="B139" s="86"/>
      <c r="C139" s="14" t="s">
        <v>82</v>
      </c>
      <c r="D139" s="87" t="s">
        <v>676</v>
      </c>
      <c r="E139" s="87"/>
      <c r="F139" s="87"/>
      <c r="G139" s="88"/>
      <c r="H139" s="89"/>
      <c r="I139" s="89"/>
      <c r="J139" s="31">
        <v>12888.75</v>
      </c>
      <c r="K139" s="31"/>
      <c r="L139" s="111">
        <f t="shared" si="44"/>
        <v>12888.75</v>
      </c>
      <c r="M139" s="31">
        <f>21.35*300+23.75*273</f>
        <v>12888.75</v>
      </c>
      <c r="N139" s="31"/>
      <c r="O139" s="111">
        <f t="shared" si="45"/>
        <v>12888.75</v>
      </c>
      <c r="P139" s="31">
        <f t="shared" si="46"/>
        <v>8377.6875</v>
      </c>
      <c r="Q139" s="31"/>
      <c r="R139" s="111">
        <f t="shared" si="47"/>
        <v>8377.6875</v>
      </c>
      <c r="S139" s="353" t="s">
        <v>685</v>
      </c>
      <c r="T139" s="354"/>
    </row>
    <row r="140" spans="1:20" s="91" customFormat="1" ht="60" customHeight="1">
      <c r="A140" s="85" t="s">
        <v>617</v>
      </c>
      <c r="B140" s="86"/>
      <c r="C140" s="14" t="s">
        <v>82</v>
      </c>
      <c r="D140" s="87" t="s">
        <v>676</v>
      </c>
      <c r="E140" s="87"/>
      <c r="F140" s="87"/>
      <c r="G140" s="88"/>
      <c r="H140" s="89"/>
      <c r="I140" s="89"/>
      <c r="J140" s="31">
        <v>12886.2</v>
      </c>
      <c r="K140" s="31"/>
      <c r="L140" s="111">
        <f t="shared" si="44"/>
        <v>12886.2</v>
      </c>
      <c r="M140" s="31">
        <f>21.35*212+23.75*352</f>
        <v>12886.2</v>
      </c>
      <c r="N140" s="31"/>
      <c r="O140" s="111">
        <f t="shared" si="45"/>
        <v>12886.2</v>
      </c>
      <c r="P140" s="31">
        <f t="shared" si="46"/>
        <v>8376.03</v>
      </c>
      <c r="Q140" s="31"/>
      <c r="R140" s="111">
        <f t="shared" si="47"/>
        <v>8376.03</v>
      </c>
      <c r="S140" s="353" t="s">
        <v>685</v>
      </c>
      <c r="T140" s="354"/>
    </row>
    <row r="141" spans="1:20" s="91" customFormat="1" ht="60" customHeight="1">
      <c r="A141" s="85" t="s">
        <v>617</v>
      </c>
      <c r="B141" s="86"/>
      <c r="C141" s="67" t="s">
        <v>42</v>
      </c>
      <c r="D141" s="67" t="s">
        <v>687</v>
      </c>
      <c r="E141" s="87"/>
      <c r="F141" s="87"/>
      <c r="G141" s="88"/>
      <c r="H141" s="89"/>
      <c r="I141" s="89"/>
      <c r="J141" s="31">
        <v>46530.84</v>
      </c>
      <c r="K141" s="31"/>
      <c r="L141" s="111">
        <f t="shared" si="44"/>
        <v>46530.84</v>
      </c>
      <c r="M141" s="31">
        <f>20.14*600+12.66*608+26.25*600+19.23*572</f>
        <v>46530.84</v>
      </c>
      <c r="N141" s="31"/>
      <c r="O141" s="111">
        <f t="shared" si="45"/>
        <v>46530.84</v>
      </c>
      <c r="P141" s="31">
        <f t="shared" si="46"/>
        <v>30245.046</v>
      </c>
      <c r="Q141" s="31"/>
      <c r="R141" s="111">
        <f t="shared" si="47"/>
        <v>30245.046</v>
      </c>
      <c r="S141" s="353" t="s">
        <v>685</v>
      </c>
      <c r="T141" s="354"/>
    </row>
    <row r="142" spans="1:20" s="91" customFormat="1" ht="60" customHeight="1">
      <c r="A142" s="85" t="s">
        <v>617</v>
      </c>
      <c r="B142" s="86"/>
      <c r="C142" s="67" t="s">
        <v>42</v>
      </c>
      <c r="D142" s="67" t="s">
        <v>687</v>
      </c>
      <c r="E142" s="87"/>
      <c r="F142" s="87"/>
      <c r="G142" s="88"/>
      <c r="H142" s="89"/>
      <c r="I142" s="89"/>
      <c r="J142" s="31">
        <v>48846.72</v>
      </c>
      <c r="K142" s="31"/>
      <c r="L142" s="111">
        <f t="shared" si="44"/>
        <v>48846.72</v>
      </c>
      <c r="M142" s="31">
        <f>20.14*624+12.66*624+26.25*624+19.23*624</f>
        <v>48846.72</v>
      </c>
      <c r="N142" s="31"/>
      <c r="O142" s="111">
        <f t="shared" si="45"/>
        <v>48846.72</v>
      </c>
      <c r="P142" s="31">
        <f t="shared" si="46"/>
        <v>31750.368000000002</v>
      </c>
      <c r="Q142" s="31"/>
      <c r="R142" s="111">
        <f t="shared" si="47"/>
        <v>31750.368000000002</v>
      </c>
      <c r="S142" s="353" t="s">
        <v>685</v>
      </c>
      <c r="T142" s="354"/>
    </row>
    <row r="143" spans="1:20" s="91" customFormat="1" ht="60" customHeight="1">
      <c r="A143" s="85" t="s">
        <v>617</v>
      </c>
      <c r="B143" s="86"/>
      <c r="C143" s="14" t="s">
        <v>83</v>
      </c>
      <c r="D143" s="87" t="s">
        <v>127</v>
      </c>
      <c r="E143" s="87"/>
      <c r="F143" s="87"/>
      <c r="G143" s="88"/>
      <c r="H143" s="89"/>
      <c r="I143" s="89"/>
      <c r="J143" s="31">
        <v>10523.52</v>
      </c>
      <c r="K143" s="31"/>
      <c r="L143" s="111">
        <f t="shared" si="44"/>
        <v>10523.52</v>
      </c>
      <c r="M143" s="31">
        <f>18.27*576</f>
        <v>10523.52</v>
      </c>
      <c r="N143" s="31"/>
      <c r="O143" s="111">
        <f t="shared" si="45"/>
        <v>10523.52</v>
      </c>
      <c r="P143" s="31">
        <f t="shared" si="46"/>
        <v>6840.2880000000005</v>
      </c>
      <c r="Q143" s="31"/>
      <c r="R143" s="111">
        <f t="shared" si="47"/>
        <v>6840.2880000000005</v>
      </c>
      <c r="S143" s="353" t="s">
        <v>685</v>
      </c>
      <c r="T143" s="354"/>
    </row>
    <row r="144" spans="1:20" s="91" customFormat="1" ht="60" customHeight="1">
      <c r="A144" s="85" t="s">
        <v>617</v>
      </c>
      <c r="B144" s="86"/>
      <c r="C144" s="14" t="s">
        <v>83</v>
      </c>
      <c r="D144" s="87" t="s">
        <v>127</v>
      </c>
      <c r="E144" s="87"/>
      <c r="F144" s="87"/>
      <c r="G144" s="88"/>
      <c r="H144" s="89"/>
      <c r="I144" s="89"/>
      <c r="J144" s="31">
        <v>10943.73</v>
      </c>
      <c r="K144" s="31"/>
      <c r="L144" s="111">
        <f t="shared" si="44"/>
        <v>10943.73</v>
      </c>
      <c r="M144" s="31">
        <f>18.27*599</f>
        <v>10943.73</v>
      </c>
      <c r="N144" s="31"/>
      <c r="O144" s="111">
        <f t="shared" si="45"/>
        <v>10943.73</v>
      </c>
      <c r="P144" s="31">
        <f t="shared" si="46"/>
        <v>7113.4245</v>
      </c>
      <c r="Q144" s="31"/>
      <c r="R144" s="111">
        <f t="shared" si="47"/>
        <v>7113.4245</v>
      </c>
      <c r="S144" s="353" t="s">
        <v>685</v>
      </c>
      <c r="T144" s="354"/>
    </row>
    <row r="145" spans="1:20" s="91" customFormat="1" ht="60" customHeight="1">
      <c r="A145" s="85" t="s">
        <v>617</v>
      </c>
      <c r="B145" s="86"/>
      <c r="C145" s="67" t="s">
        <v>45</v>
      </c>
      <c r="D145" s="67" t="s">
        <v>690</v>
      </c>
      <c r="E145" s="87"/>
      <c r="F145" s="87"/>
      <c r="G145" s="88"/>
      <c r="H145" s="89"/>
      <c r="I145" s="89"/>
      <c r="J145" s="31">
        <v>29978.72</v>
      </c>
      <c r="K145" s="31"/>
      <c r="L145" s="111">
        <f t="shared" si="44"/>
        <v>29978.72</v>
      </c>
      <c r="M145" s="31">
        <f>15.54*318+17.07*240+15.29*240+16.82*196+15.29*369+15.81*527</f>
        <v>29978.72</v>
      </c>
      <c r="N145" s="31"/>
      <c r="O145" s="111">
        <f t="shared" si="45"/>
        <v>29978.72</v>
      </c>
      <c r="P145" s="31">
        <f t="shared" si="46"/>
        <v>19486.168</v>
      </c>
      <c r="Q145" s="31"/>
      <c r="R145" s="111">
        <f t="shared" si="47"/>
        <v>19486.168</v>
      </c>
      <c r="S145" s="353" t="s">
        <v>685</v>
      </c>
      <c r="T145" s="354"/>
    </row>
    <row r="146" spans="1:20" s="91" customFormat="1" ht="60" customHeight="1">
      <c r="A146" s="85" t="s">
        <v>617</v>
      </c>
      <c r="B146" s="86"/>
      <c r="C146" s="67" t="s">
        <v>45</v>
      </c>
      <c r="D146" s="67" t="s">
        <v>690</v>
      </c>
      <c r="E146" s="87"/>
      <c r="F146" s="87"/>
      <c r="G146" s="88"/>
      <c r="H146" s="89"/>
      <c r="I146" s="89"/>
      <c r="J146" s="31">
        <v>12003.21</v>
      </c>
      <c r="K146" s="31"/>
      <c r="L146" s="111">
        <f t="shared" si="44"/>
        <v>12003.21</v>
      </c>
      <c r="M146" s="31">
        <v>12003.21</v>
      </c>
      <c r="N146" s="31"/>
      <c r="O146" s="111">
        <f t="shared" si="45"/>
        <v>12003.21</v>
      </c>
      <c r="P146" s="31">
        <f t="shared" si="46"/>
        <v>7802.086499999999</v>
      </c>
      <c r="Q146" s="31"/>
      <c r="R146" s="111">
        <f t="shared" si="47"/>
        <v>7802.086499999999</v>
      </c>
      <c r="S146" s="353" t="s">
        <v>685</v>
      </c>
      <c r="T146" s="354"/>
    </row>
    <row r="147" spans="1:20" s="91" customFormat="1" ht="60" customHeight="1">
      <c r="A147" s="85" t="s">
        <v>617</v>
      </c>
      <c r="B147" s="86"/>
      <c r="C147" s="67" t="s">
        <v>40</v>
      </c>
      <c r="D147" s="67" t="s">
        <v>693</v>
      </c>
      <c r="E147" s="87"/>
      <c r="F147" s="87"/>
      <c r="G147" s="88"/>
      <c r="H147" s="89"/>
      <c r="I147" s="89"/>
      <c r="J147" s="31">
        <v>70214.48</v>
      </c>
      <c r="K147" s="31"/>
      <c r="L147" s="111">
        <f t="shared" si="44"/>
        <v>70214.48</v>
      </c>
      <c r="M147" s="31">
        <f>204*40.47+428*21.06+416*18.69+412*18.86+416*13.9+104*40.73+104*34.29+104*31.53+104*30.64+540*19.33+424*16.3</f>
        <v>70214.48</v>
      </c>
      <c r="N147" s="31"/>
      <c r="O147" s="111">
        <f t="shared" si="45"/>
        <v>70214.48</v>
      </c>
      <c r="P147" s="31">
        <f t="shared" si="46"/>
        <v>45639.412</v>
      </c>
      <c r="Q147" s="31"/>
      <c r="R147" s="111">
        <f t="shared" si="47"/>
        <v>45639.412</v>
      </c>
      <c r="S147" s="169"/>
      <c r="T147" s="170"/>
    </row>
    <row r="148" spans="1:20" s="91" customFormat="1" ht="42.75" customHeight="1">
      <c r="A148" s="85" t="s">
        <v>617</v>
      </c>
      <c r="B148" s="86"/>
      <c r="C148" s="67" t="s">
        <v>40</v>
      </c>
      <c r="D148" s="67" t="s">
        <v>697</v>
      </c>
      <c r="E148" s="87"/>
      <c r="F148" s="87"/>
      <c r="G148" s="88"/>
      <c r="H148" s="89"/>
      <c r="I148" s="89"/>
      <c r="J148" s="31">
        <v>52841.66</v>
      </c>
      <c r="K148" s="31"/>
      <c r="L148" s="111">
        <f t="shared" si="44"/>
        <v>52841.66</v>
      </c>
      <c r="M148" s="31">
        <v>52841.66</v>
      </c>
      <c r="N148" s="31"/>
      <c r="O148" s="111">
        <f t="shared" si="45"/>
        <v>52841.66</v>
      </c>
      <c r="P148" s="31">
        <f t="shared" si="46"/>
        <v>34347.079000000005</v>
      </c>
      <c r="Q148" s="31"/>
      <c r="R148" s="111">
        <f t="shared" si="47"/>
        <v>34347.079000000005</v>
      </c>
      <c r="S148" s="169"/>
      <c r="T148" s="170"/>
    </row>
    <row r="149" spans="1:20" s="91" customFormat="1" ht="60" customHeight="1">
      <c r="A149" s="85" t="s">
        <v>617</v>
      </c>
      <c r="B149" s="86"/>
      <c r="C149" s="67" t="s">
        <v>130</v>
      </c>
      <c r="D149" s="87" t="s">
        <v>420</v>
      </c>
      <c r="E149" s="87"/>
      <c r="F149" s="87"/>
      <c r="G149" s="88"/>
      <c r="H149" s="89"/>
      <c r="I149" s="89"/>
      <c r="J149" s="31">
        <v>10537.14</v>
      </c>
      <c r="K149" s="31"/>
      <c r="L149" s="111">
        <f t="shared" si="44"/>
        <v>10537.14</v>
      </c>
      <c r="M149" s="31">
        <f>12.52*269+12.35*234+12.44*344</f>
        <v>10537.14</v>
      </c>
      <c r="N149" s="31"/>
      <c r="O149" s="111">
        <f t="shared" si="45"/>
        <v>10537.14</v>
      </c>
      <c r="P149" s="31">
        <f t="shared" si="46"/>
        <v>6849.141</v>
      </c>
      <c r="Q149" s="31"/>
      <c r="R149" s="111">
        <f t="shared" si="47"/>
        <v>6849.141</v>
      </c>
      <c r="S149" s="353" t="s">
        <v>685</v>
      </c>
      <c r="T149" s="354"/>
    </row>
    <row r="150" spans="1:20" s="91" customFormat="1" ht="60" customHeight="1">
      <c r="A150" s="85" t="s">
        <v>617</v>
      </c>
      <c r="B150" s="86"/>
      <c r="C150" s="67" t="s">
        <v>130</v>
      </c>
      <c r="D150" s="87" t="s">
        <v>420</v>
      </c>
      <c r="E150" s="87"/>
      <c r="F150" s="87"/>
      <c r="G150" s="88"/>
      <c r="H150" s="89"/>
      <c r="I150" s="89"/>
      <c r="J150" s="31">
        <v>8732.15</v>
      </c>
      <c r="K150" s="31"/>
      <c r="L150" s="111">
        <f t="shared" si="44"/>
        <v>8732.15</v>
      </c>
      <c r="M150" s="31">
        <f>12.52*269+12.35*234+12.44*344</f>
        <v>10537.14</v>
      </c>
      <c r="N150" s="31"/>
      <c r="O150" s="111">
        <f t="shared" si="45"/>
        <v>10537.14</v>
      </c>
      <c r="P150" s="31">
        <f t="shared" si="46"/>
        <v>6849.141</v>
      </c>
      <c r="Q150" s="31"/>
      <c r="R150" s="111">
        <f t="shared" si="47"/>
        <v>6849.141</v>
      </c>
      <c r="S150" s="353" t="s">
        <v>685</v>
      </c>
      <c r="T150" s="354"/>
    </row>
    <row r="151" spans="1:20" s="91" customFormat="1" ht="60.75" customHeight="1">
      <c r="A151" s="85" t="s">
        <v>617</v>
      </c>
      <c r="B151" s="86"/>
      <c r="C151" s="67" t="s">
        <v>43</v>
      </c>
      <c r="D151" s="67" t="s">
        <v>132</v>
      </c>
      <c r="E151" s="87"/>
      <c r="F151" s="87"/>
      <c r="G151" s="88"/>
      <c r="H151" s="89"/>
      <c r="I151" s="89"/>
      <c r="J151" s="31">
        <v>17596.2</v>
      </c>
      <c r="K151" s="31"/>
      <c r="L151" s="111">
        <f t="shared" si="40"/>
        <v>17596.2</v>
      </c>
      <c r="M151" s="31">
        <v>17596.2</v>
      </c>
      <c r="N151" s="31"/>
      <c r="O151" s="111">
        <f t="shared" si="45"/>
        <v>17596.2</v>
      </c>
      <c r="P151" s="31">
        <f t="shared" si="46"/>
        <v>11437.53</v>
      </c>
      <c r="Q151" s="31"/>
      <c r="R151" s="111">
        <f t="shared" si="47"/>
        <v>11437.53</v>
      </c>
      <c r="S151" s="353" t="s">
        <v>685</v>
      </c>
      <c r="T151" s="354"/>
    </row>
    <row r="152" spans="1:20" s="91" customFormat="1" ht="38.25" customHeight="1">
      <c r="A152" s="85" t="s">
        <v>617</v>
      </c>
      <c r="B152" s="86"/>
      <c r="C152" s="67" t="s">
        <v>43</v>
      </c>
      <c r="D152" s="67" t="s">
        <v>695</v>
      </c>
      <c r="E152" s="87"/>
      <c r="F152" s="87"/>
      <c r="G152" s="88"/>
      <c r="H152" s="89"/>
      <c r="I152" s="89"/>
      <c r="J152" s="31">
        <f>22.23*412+10.39*513+9.11*491+13.59*464</f>
        <v>25267.6</v>
      </c>
      <c r="K152" s="31"/>
      <c r="L152" s="111">
        <f t="shared" si="40"/>
        <v>25267.6</v>
      </c>
      <c r="M152" s="31">
        <f>22.23*412+10.39*513+9.11*491+13.59*464</f>
        <v>25267.6</v>
      </c>
      <c r="N152" s="31"/>
      <c r="O152" s="111">
        <f t="shared" si="45"/>
        <v>25267.6</v>
      </c>
      <c r="P152" s="31">
        <f t="shared" si="46"/>
        <v>16423.94</v>
      </c>
      <c r="Q152" s="31"/>
      <c r="R152" s="111">
        <f t="shared" si="47"/>
        <v>16423.94</v>
      </c>
      <c r="S152" s="353"/>
      <c r="T152" s="354"/>
    </row>
    <row r="153" spans="1:20" s="91" customFormat="1" ht="38.25" customHeight="1">
      <c r="A153" s="85" t="s">
        <v>617</v>
      </c>
      <c r="B153" s="86"/>
      <c r="C153" s="14" t="s">
        <v>41</v>
      </c>
      <c r="D153" s="67" t="s">
        <v>691</v>
      </c>
      <c r="E153" s="87"/>
      <c r="F153" s="87"/>
      <c r="G153" s="88"/>
      <c r="H153" s="89"/>
      <c r="I153" s="89"/>
      <c r="J153" s="31">
        <v>18541.4</v>
      </c>
      <c r="K153" s="31"/>
      <c r="L153" s="111">
        <f t="shared" si="40"/>
        <v>18541.4</v>
      </c>
      <c r="M153" s="31">
        <v>18541.4</v>
      </c>
      <c r="N153" s="31"/>
      <c r="O153" s="111">
        <f t="shared" si="45"/>
        <v>18541.4</v>
      </c>
      <c r="P153" s="31">
        <f t="shared" si="46"/>
        <v>12051.910000000002</v>
      </c>
      <c r="Q153" s="31"/>
      <c r="R153" s="111">
        <f t="shared" si="47"/>
        <v>12051.910000000002</v>
      </c>
      <c r="S153" s="169"/>
      <c r="T153" s="170"/>
    </row>
    <row r="154" spans="1:20" s="91" customFormat="1" ht="38.25" customHeight="1">
      <c r="A154" s="85" t="s">
        <v>617</v>
      </c>
      <c r="B154" s="86"/>
      <c r="C154" s="14" t="s">
        <v>41</v>
      </c>
      <c r="D154" s="67" t="s">
        <v>691</v>
      </c>
      <c r="E154" s="87"/>
      <c r="F154" s="87"/>
      <c r="G154" s="88"/>
      <c r="H154" s="89"/>
      <c r="I154" s="89"/>
      <c r="J154" s="31">
        <v>12586</v>
      </c>
      <c r="K154" s="31"/>
      <c r="L154" s="111">
        <f t="shared" si="40"/>
        <v>12586</v>
      </c>
      <c r="M154" s="31">
        <v>12586</v>
      </c>
      <c r="N154" s="31"/>
      <c r="O154" s="111">
        <f t="shared" si="45"/>
        <v>12586</v>
      </c>
      <c r="P154" s="31">
        <f t="shared" si="46"/>
        <v>8180.900000000001</v>
      </c>
      <c r="Q154" s="31"/>
      <c r="R154" s="111">
        <f t="shared" si="47"/>
        <v>8180.900000000001</v>
      </c>
      <c r="S154" s="169"/>
      <c r="T154" s="170"/>
    </row>
    <row r="155" spans="1:20" s="91" customFormat="1" ht="38.25" customHeight="1">
      <c r="A155" s="85" t="s">
        <v>617</v>
      </c>
      <c r="B155" s="86"/>
      <c r="C155" s="67" t="s">
        <v>125</v>
      </c>
      <c r="D155" s="87" t="s">
        <v>689</v>
      </c>
      <c r="E155" s="87"/>
      <c r="F155" s="87"/>
      <c r="G155" s="88"/>
      <c r="H155" s="89"/>
      <c r="I155" s="89"/>
      <c r="J155" s="31">
        <v>4155.2</v>
      </c>
      <c r="K155" s="31"/>
      <c r="L155" s="111">
        <f t="shared" si="40"/>
        <v>4155.2</v>
      </c>
      <c r="M155" s="31">
        <f>29.68*140</f>
        <v>4155.2</v>
      </c>
      <c r="N155" s="31"/>
      <c r="O155" s="111">
        <f t="shared" si="45"/>
        <v>4155.2</v>
      </c>
      <c r="P155" s="31">
        <f t="shared" si="46"/>
        <v>2700.88</v>
      </c>
      <c r="Q155" s="31"/>
      <c r="R155" s="111">
        <f t="shared" si="47"/>
        <v>2700.88</v>
      </c>
      <c r="S155" s="169"/>
      <c r="T155" s="170"/>
    </row>
    <row r="156" spans="1:20" s="91" customFormat="1" ht="57.75" customHeight="1">
      <c r="A156" s="85" t="s">
        <v>617</v>
      </c>
      <c r="B156" s="86"/>
      <c r="C156" s="67" t="s">
        <v>124</v>
      </c>
      <c r="D156" s="67" t="s">
        <v>688</v>
      </c>
      <c r="E156" s="87"/>
      <c r="F156" s="87"/>
      <c r="G156" s="88"/>
      <c r="H156" s="89"/>
      <c r="I156" s="89"/>
      <c r="J156" s="31">
        <f>41.58*9+17.82*110+17.82*179.47</f>
        <v>5532.5754</v>
      </c>
      <c r="K156" s="31"/>
      <c r="L156" s="111">
        <f t="shared" si="40"/>
        <v>5532.5754</v>
      </c>
      <c r="M156" s="31">
        <f>41.58*9+17.82*110+17.82*179.47</f>
        <v>5532.5754</v>
      </c>
      <c r="N156" s="31"/>
      <c r="O156" s="111">
        <f t="shared" si="45"/>
        <v>5532.5754</v>
      </c>
      <c r="P156" s="31">
        <f t="shared" si="46"/>
        <v>3596.1740099999997</v>
      </c>
      <c r="Q156" s="31"/>
      <c r="R156" s="111">
        <f t="shared" si="47"/>
        <v>3596.1740099999997</v>
      </c>
      <c r="S156" s="353" t="s">
        <v>685</v>
      </c>
      <c r="T156" s="354"/>
    </row>
    <row r="157" spans="1:20" s="91" customFormat="1" ht="57.75" customHeight="1">
      <c r="A157" s="85" t="s">
        <v>617</v>
      </c>
      <c r="B157" s="86"/>
      <c r="C157" s="67" t="s">
        <v>124</v>
      </c>
      <c r="D157" s="67" t="s">
        <v>696</v>
      </c>
      <c r="E157" s="87"/>
      <c r="F157" s="87"/>
      <c r="G157" s="88"/>
      <c r="H157" s="89"/>
      <c r="I157" s="89"/>
      <c r="J157" s="31">
        <v>15093.54</v>
      </c>
      <c r="K157" s="31"/>
      <c r="L157" s="111">
        <f t="shared" si="40"/>
        <v>15093.54</v>
      </c>
      <c r="M157" s="31">
        <f>41.58*12+17.82*312+17.82*507</f>
        <v>15093.54</v>
      </c>
      <c r="N157" s="31"/>
      <c r="O157" s="111">
        <f t="shared" si="45"/>
        <v>15093.54</v>
      </c>
      <c r="P157" s="31">
        <f t="shared" si="46"/>
        <v>9810.801000000001</v>
      </c>
      <c r="Q157" s="31"/>
      <c r="R157" s="111">
        <f t="shared" si="47"/>
        <v>9810.801000000001</v>
      </c>
      <c r="S157" s="353" t="s">
        <v>685</v>
      </c>
      <c r="T157" s="354"/>
    </row>
    <row r="158" spans="1:20" s="91" customFormat="1" ht="11.25">
      <c r="A158" s="85" t="s">
        <v>703</v>
      </c>
      <c r="B158" s="86"/>
      <c r="C158" s="67" t="s">
        <v>40</v>
      </c>
      <c r="D158" s="67"/>
      <c r="E158" s="87"/>
      <c r="F158" s="87"/>
      <c r="G158" s="88"/>
      <c r="H158" s="89"/>
      <c r="I158" s="89"/>
      <c r="J158" s="31">
        <v>59327.28</v>
      </c>
      <c r="K158" s="31"/>
      <c r="L158" s="111">
        <f t="shared" si="40"/>
        <v>59327.28</v>
      </c>
      <c r="M158" s="31">
        <v>59327.28</v>
      </c>
      <c r="N158" s="31"/>
      <c r="O158" s="111">
        <f t="shared" si="45"/>
        <v>59327.28</v>
      </c>
      <c r="P158" s="31">
        <f aca="true" t="shared" si="48" ref="P158:P167">M158*0.65</f>
        <v>38562.732</v>
      </c>
      <c r="Q158" s="31"/>
      <c r="R158" s="111">
        <f aca="true" t="shared" si="49" ref="R158:R167">P158+Q158</f>
        <v>38562.732</v>
      </c>
      <c r="S158" s="349"/>
      <c r="T158" s="350"/>
    </row>
    <row r="159" spans="1:20" s="91" customFormat="1" ht="22.5">
      <c r="A159" s="85" t="s">
        <v>703</v>
      </c>
      <c r="B159" s="86"/>
      <c r="C159" s="67" t="s">
        <v>124</v>
      </c>
      <c r="D159" s="67"/>
      <c r="E159" s="87"/>
      <c r="F159" s="87"/>
      <c r="G159" s="88"/>
      <c r="H159" s="89"/>
      <c r="I159" s="89"/>
      <c r="J159" s="31">
        <v>2684.88</v>
      </c>
      <c r="K159" s="31"/>
      <c r="L159" s="111">
        <f t="shared" si="40"/>
        <v>2684.88</v>
      </c>
      <c r="M159" s="31">
        <v>2684.88</v>
      </c>
      <c r="N159" s="31"/>
      <c r="O159" s="111">
        <f t="shared" si="45"/>
        <v>2684.88</v>
      </c>
      <c r="P159" s="31">
        <f t="shared" si="48"/>
        <v>1745.172</v>
      </c>
      <c r="Q159" s="31"/>
      <c r="R159" s="111">
        <f t="shared" si="49"/>
        <v>1745.172</v>
      </c>
      <c r="S159" s="300"/>
      <c r="T159" s="301"/>
    </row>
    <row r="160" spans="1:20" s="91" customFormat="1" ht="22.5">
      <c r="A160" s="85" t="s">
        <v>703</v>
      </c>
      <c r="B160" s="86"/>
      <c r="C160" s="67" t="s">
        <v>42</v>
      </c>
      <c r="D160" s="67" t="s">
        <v>687</v>
      </c>
      <c r="E160" s="87"/>
      <c r="F160" s="87"/>
      <c r="G160" s="88"/>
      <c r="H160" s="89"/>
      <c r="I160" s="89"/>
      <c r="J160" s="31">
        <v>52604.16</v>
      </c>
      <c r="K160" s="31"/>
      <c r="L160" s="111">
        <f t="shared" si="40"/>
        <v>52604.16</v>
      </c>
      <c r="M160" s="31">
        <v>52604.16</v>
      </c>
      <c r="N160" s="31"/>
      <c r="O160" s="111">
        <f aca="true" t="shared" si="50" ref="O160:O167">+N160+M160</f>
        <v>52604.16</v>
      </c>
      <c r="P160" s="31">
        <f t="shared" si="48"/>
        <v>34192.704000000005</v>
      </c>
      <c r="Q160" s="31"/>
      <c r="R160" s="111">
        <f t="shared" si="49"/>
        <v>34192.704000000005</v>
      </c>
      <c r="S160" s="300"/>
      <c r="T160" s="301"/>
    </row>
    <row r="161" spans="1:20" s="91" customFormat="1" ht="11.25">
      <c r="A161" s="85" t="s">
        <v>703</v>
      </c>
      <c r="B161" s="86"/>
      <c r="C161" s="67" t="s">
        <v>44</v>
      </c>
      <c r="D161" s="67" t="s">
        <v>136</v>
      </c>
      <c r="E161" s="87"/>
      <c r="F161" s="87"/>
      <c r="G161" s="88"/>
      <c r="H161" s="89"/>
      <c r="I161" s="89"/>
      <c r="J161" s="31">
        <v>2186.24</v>
      </c>
      <c r="K161" s="31"/>
      <c r="L161" s="111">
        <f t="shared" si="40"/>
        <v>2186.24</v>
      </c>
      <c r="M161" s="31">
        <v>2186.24</v>
      </c>
      <c r="N161" s="31"/>
      <c r="O161" s="111">
        <f t="shared" si="50"/>
        <v>2186.24</v>
      </c>
      <c r="P161" s="31">
        <f t="shared" si="48"/>
        <v>1421.0559999999998</v>
      </c>
      <c r="Q161" s="31"/>
      <c r="R161" s="111">
        <f t="shared" si="49"/>
        <v>1421.0559999999998</v>
      </c>
      <c r="S161" s="300"/>
      <c r="T161" s="301"/>
    </row>
    <row r="162" spans="1:20" s="91" customFormat="1" ht="22.5">
      <c r="A162" s="85" t="s">
        <v>703</v>
      </c>
      <c r="B162" s="86"/>
      <c r="C162" s="67" t="s">
        <v>123</v>
      </c>
      <c r="D162" s="67" t="s">
        <v>730</v>
      </c>
      <c r="E162" s="87"/>
      <c r="F162" s="87"/>
      <c r="G162" s="88"/>
      <c r="H162" s="89"/>
      <c r="I162" s="89"/>
      <c r="J162" s="31">
        <v>10204.64</v>
      </c>
      <c r="K162" s="31"/>
      <c r="L162" s="111">
        <f t="shared" si="40"/>
        <v>10204.64</v>
      </c>
      <c r="M162" s="31">
        <v>10204.64</v>
      </c>
      <c r="N162" s="31"/>
      <c r="O162" s="111">
        <f t="shared" si="50"/>
        <v>10204.64</v>
      </c>
      <c r="P162" s="31">
        <f t="shared" si="48"/>
        <v>6633.016</v>
      </c>
      <c r="Q162" s="31"/>
      <c r="R162" s="111">
        <f t="shared" si="49"/>
        <v>6633.016</v>
      </c>
      <c r="S162" s="300"/>
      <c r="T162" s="301"/>
    </row>
    <row r="163" spans="1:20" s="91" customFormat="1" ht="22.5">
      <c r="A163" s="85" t="s">
        <v>703</v>
      </c>
      <c r="B163" s="86"/>
      <c r="C163" s="14" t="s">
        <v>82</v>
      </c>
      <c r="D163" s="87" t="s">
        <v>676</v>
      </c>
      <c r="E163" s="87"/>
      <c r="F163" s="87"/>
      <c r="G163" s="88"/>
      <c r="H163" s="89"/>
      <c r="I163" s="89"/>
      <c r="J163" s="31">
        <v>7757.2</v>
      </c>
      <c r="K163" s="31"/>
      <c r="L163" s="111">
        <f t="shared" si="40"/>
        <v>7757.2</v>
      </c>
      <c r="M163" s="31">
        <v>7757.2</v>
      </c>
      <c r="N163" s="31"/>
      <c r="O163" s="111">
        <f t="shared" si="50"/>
        <v>7757.2</v>
      </c>
      <c r="P163" s="31">
        <f t="shared" si="48"/>
        <v>5042.18</v>
      </c>
      <c r="Q163" s="31"/>
      <c r="R163" s="111">
        <f t="shared" si="49"/>
        <v>5042.18</v>
      </c>
      <c r="S163" s="300"/>
      <c r="T163" s="301"/>
    </row>
    <row r="164" spans="1:20" s="91" customFormat="1" ht="22.5">
      <c r="A164" s="85" t="s">
        <v>703</v>
      </c>
      <c r="B164" s="86"/>
      <c r="C164" s="67" t="s">
        <v>45</v>
      </c>
      <c r="D164" s="67" t="s">
        <v>731</v>
      </c>
      <c r="E164" s="87"/>
      <c r="F164" s="87"/>
      <c r="G164" s="88"/>
      <c r="H164" s="89"/>
      <c r="I164" s="89"/>
      <c r="J164" s="31">
        <v>12379.47</v>
      </c>
      <c r="K164" s="31"/>
      <c r="L164" s="111">
        <f t="shared" si="40"/>
        <v>12379.47</v>
      </c>
      <c r="M164" s="31">
        <v>12379.47</v>
      </c>
      <c r="N164" s="31"/>
      <c r="O164" s="111">
        <f t="shared" si="50"/>
        <v>12379.47</v>
      </c>
      <c r="P164" s="31">
        <f t="shared" si="48"/>
        <v>8046.6555</v>
      </c>
      <c r="Q164" s="31"/>
      <c r="R164" s="111">
        <f t="shared" si="49"/>
        <v>8046.6555</v>
      </c>
      <c r="S164" s="300"/>
      <c r="T164" s="301"/>
    </row>
    <row r="165" spans="1:20" s="91" customFormat="1" ht="22.5">
      <c r="A165" s="85" t="s">
        <v>703</v>
      </c>
      <c r="B165" s="86"/>
      <c r="C165" s="14" t="s">
        <v>83</v>
      </c>
      <c r="D165" s="87" t="s">
        <v>127</v>
      </c>
      <c r="E165" s="87"/>
      <c r="F165" s="87"/>
      <c r="G165" s="88"/>
      <c r="H165" s="89"/>
      <c r="I165" s="89"/>
      <c r="J165" s="31">
        <v>12277.44</v>
      </c>
      <c r="K165" s="31"/>
      <c r="L165" s="111">
        <f t="shared" si="40"/>
        <v>12277.44</v>
      </c>
      <c r="M165" s="31">
        <v>12277.44</v>
      </c>
      <c r="N165" s="31"/>
      <c r="O165" s="111">
        <f t="shared" si="50"/>
        <v>12277.44</v>
      </c>
      <c r="P165" s="31">
        <f t="shared" si="48"/>
        <v>7980.336</v>
      </c>
      <c r="Q165" s="31"/>
      <c r="R165" s="111">
        <f t="shared" si="49"/>
        <v>7980.336</v>
      </c>
      <c r="S165" s="300"/>
      <c r="T165" s="301"/>
    </row>
    <row r="166" spans="1:20" s="91" customFormat="1" ht="11.25">
      <c r="A166" s="85" t="s">
        <v>703</v>
      </c>
      <c r="B166" s="86"/>
      <c r="C166" s="67" t="s">
        <v>130</v>
      </c>
      <c r="D166" s="87" t="s">
        <v>420</v>
      </c>
      <c r="E166" s="87"/>
      <c r="F166" s="87"/>
      <c r="G166" s="88"/>
      <c r="H166" s="89"/>
      <c r="I166" s="89"/>
      <c r="J166" s="31">
        <v>4813.59</v>
      </c>
      <c r="K166" s="31"/>
      <c r="L166" s="111">
        <f t="shared" si="40"/>
        <v>4813.59</v>
      </c>
      <c r="M166" s="31">
        <v>4813.59</v>
      </c>
      <c r="N166" s="31"/>
      <c r="O166" s="111">
        <f t="shared" si="50"/>
        <v>4813.59</v>
      </c>
      <c r="P166" s="31">
        <f t="shared" si="48"/>
        <v>3128.8335</v>
      </c>
      <c r="Q166" s="31"/>
      <c r="R166" s="111">
        <f t="shared" si="49"/>
        <v>3128.8335</v>
      </c>
      <c r="S166" s="300"/>
      <c r="T166" s="301"/>
    </row>
    <row r="167" spans="1:20" s="91" customFormat="1" ht="22.5">
      <c r="A167" s="85" t="s">
        <v>703</v>
      </c>
      <c r="B167" s="86"/>
      <c r="C167" s="67" t="s">
        <v>43</v>
      </c>
      <c r="D167" s="67" t="s">
        <v>132</v>
      </c>
      <c r="E167" s="87"/>
      <c r="F167" s="87"/>
      <c r="G167" s="88"/>
      <c r="H167" s="89"/>
      <c r="I167" s="89"/>
      <c r="J167" s="31">
        <v>9114.97</v>
      </c>
      <c r="K167" s="31"/>
      <c r="L167" s="111">
        <f t="shared" si="40"/>
        <v>9114.97</v>
      </c>
      <c r="M167" s="31">
        <v>9114.97</v>
      </c>
      <c r="N167" s="31"/>
      <c r="O167" s="111">
        <f t="shared" si="50"/>
        <v>9114.97</v>
      </c>
      <c r="P167" s="31">
        <f t="shared" si="48"/>
        <v>5924.7305</v>
      </c>
      <c r="Q167" s="31"/>
      <c r="R167" s="111">
        <f t="shared" si="49"/>
        <v>5924.7305</v>
      </c>
      <c r="S167" s="300"/>
      <c r="T167" s="301"/>
    </row>
    <row r="168" spans="1:20" s="91" customFormat="1" ht="11.25">
      <c r="A168" s="85"/>
      <c r="B168" s="86"/>
      <c r="C168" s="67"/>
      <c r="D168" s="87"/>
      <c r="E168" s="87"/>
      <c r="F168" s="87"/>
      <c r="G168" s="88"/>
      <c r="H168" s="89"/>
      <c r="I168" s="89"/>
      <c r="J168" s="31"/>
      <c r="K168" s="31"/>
      <c r="L168" s="111"/>
      <c r="M168" s="31"/>
      <c r="N168" s="31"/>
      <c r="O168" s="111"/>
      <c r="P168" s="31"/>
      <c r="Q168" s="31"/>
      <c r="R168" s="111"/>
      <c r="S168" s="353"/>
      <c r="T168" s="354"/>
    </row>
    <row r="169" ht="11.25"/>
    <row r="170" spans="1:20" ht="11.25">
      <c r="A170" s="361" t="s">
        <v>7</v>
      </c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3"/>
      <c r="M170" s="82" t="s">
        <v>104</v>
      </c>
      <c r="N170" s="28" t="s">
        <v>105</v>
      </c>
      <c r="O170" s="122" t="s">
        <v>106</v>
      </c>
      <c r="P170" s="28" t="s">
        <v>107</v>
      </c>
      <c r="Q170" s="28" t="s">
        <v>108</v>
      </c>
      <c r="R170" s="122" t="s">
        <v>109</v>
      </c>
      <c r="S170" s="32" t="s">
        <v>25</v>
      </c>
      <c r="T170" s="33" t="s">
        <v>26</v>
      </c>
    </row>
    <row r="171" spans="1:21" ht="11.25">
      <c r="A171" s="381"/>
      <c r="B171" s="382"/>
      <c r="C171" s="374"/>
      <c r="D171" s="375"/>
      <c r="E171" s="375"/>
      <c r="F171" s="375"/>
      <c r="G171" s="375"/>
      <c r="H171" s="375"/>
      <c r="I171" s="375"/>
      <c r="J171" s="375"/>
      <c r="K171" s="376"/>
      <c r="L171" s="112" t="s">
        <v>12</v>
      </c>
      <c r="M171" s="3">
        <v>245366.74</v>
      </c>
      <c r="N171" s="3"/>
      <c r="O171" s="123"/>
      <c r="P171" s="83"/>
      <c r="Q171" s="3"/>
      <c r="R171" s="123"/>
      <c r="S171" s="49"/>
      <c r="T171" s="49"/>
      <c r="U171" s="29"/>
    </row>
    <row r="172" spans="1:21" ht="11.25">
      <c r="A172" s="370"/>
      <c r="B172" s="371"/>
      <c r="C172" s="44"/>
      <c r="D172" s="43"/>
      <c r="E172" s="43"/>
      <c r="F172" s="43"/>
      <c r="G172" s="43"/>
      <c r="H172" s="43"/>
      <c r="I172" s="43"/>
      <c r="J172" s="43"/>
      <c r="K172" s="4">
        <v>0</v>
      </c>
      <c r="L172" s="113" t="s">
        <v>28</v>
      </c>
      <c r="M172" s="4"/>
      <c r="N172" s="4">
        <f>SUM(N184)</f>
        <v>0</v>
      </c>
      <c r="O172" s="124">
        <f>SUM(O184)</f>
        <v>0</v>
      </c>
      <c r="P172" s="4">
        <f>SUM(P184)</f>
        <v>0</v>
      </c>
      <c r="Q172" s="4">
        <f>SUM(Q184)</f>
        <v>0</v>
      </c>
      <c r="R172" s="124">
        <f>SUM(R184)</f>
        <v>0</v>
      </c>
      <c r="S172" s="50">
        <f aca="true" t="shared" si="51" ref="S172:S180">R172*0.375</f>
        <v>0</v>
      </c>
      <c r="T172" s="5">
        <f aca="true" t="shared" si="52" ref="T172:T177">R172-S172</f>
        <v>0</v>
      </c>
      <c r="U172" s="29"/>
    </row>
    <row r="173" spans="1:21" ht="11.25">
      <c r="A173" s="370"/>
      <c r="B173" s="371"/>
      <c r="C173" s="44"/>
      <c r="D173" s="43"/>
      <c r="E173" s="43"/>
      <c r="F173" s="63"/>
      <c r="G173" s="64"/>
      <c r="H173" s="43"/>
      <c r="I173" s="43"/>
      <c r="J173" s="43"/>
      <c r="K173" s="45"/>
      <c r="L173" s="113" t="s">
        <v>29</v>
      </c>
      <c r="M173" s="4"/>
      <c r="N173" s="4"/>
      <c r="O173" s="124"/>
      <c r="P173" s="4"/>
      <c r="Q173" s="4"/>
      <c r="R173" s="124"/>
      <c r="S173" s="50">
        <f t="shared" si="51"/>
        <v>0</v>
      </c>
      <c r="T173" s="5">
        <f t="shared" si="52"/>
        <v>0</v>
      </c>
      <c r="U173" s="29"/>
    </row>
    <row r="174" spans="1:21" ht="11.25">
      <c r="A174" s="370"/>
      <c r="B174" s="371"/>
      <c r="C174" s="44"/>
      <c r="D174" s="43"/>
      <c r="E174" s="43"/>
      <c r="F174" s="43"/>
      <c r="G174" s="43"/>
      <c r="H174" s="43"/>
      <c r="I174" s="43"/>
      <c r="J174" s="43"/>
      <c r="K174" s="45"/>
      <c r="L174" s="113" t="s">
        <v>121</v>
      </c>
      <c r="M174" s="4"/>
      <c r="N174" s="4"/>
      <c r="O174" s="124"/>
      <c r="P174" s="4"/>
      <c r="Q174" s="4"/>
      <c r="R174" s="124"/>
      <c r="S174" s="50">
        <f t="shared" si="51"/>
        <v>0</v>
      </c>
      <c r="T174" s="5">
        <f t="shared" si="52"/>
        <v>0</v>
      </c>
      <c r="U174" s="29"/>
    </row>
    <row r="175" spans="1:21" ht="11.25">
      <c r="A175" s="370"/>
      <c r="B175" s="371"/>
      <c r="C175" s="44"/>
      <c r="D175" s="43"/>
      <c r="E175" s="43"/>
      <c r="F175" s="43"/>
      <c r="G175" s="43"/>
      <c r="H175" s="43"/>
      <c r="I175" s="43"/>
      <c r="J175" s="43"/>
      <c r="K175" s="45"/>
      <c r="L175" s="113" t="s">
        <v>232</v>
      </c>
      <c r="M175" s="4">
        <f>SUM(M185:M187)</f>
        <v>37702.5</v>
      </c>
      <c r="N175" s="4">
        <f>SUM(N185:N187)</f>
        <v>0</v>
      </c>
      <c r="O175" s="124">
        <f>+M175+N175</f>
        <v>37702.5</v>
      </c>
      <c r="P175" s="4">
        <f>SUM(P185:P187)</f>
        <v>24506.625</v>
      </c>
      <c r="Q175" s="4">
        <f>SUM(Q185:Q187)</f>
        <v>0</v>
      </c>
      <c r="R175" s="124">
        <f aca="true" t="shared" si="53" ref="R175:R180">+Q175+P175</f>
        <v>24506.625</v>
      </c>
      <c r="S175" s="50">
        <f t="shared" si="51"/>
        <v>9189.984375</v>
      </c>
      <c r="T175" s="5">
        <f t="shared" si="52"/>
        <v>15316.640625</v>
      </c>
      <c r="U175" s="29"/>
    </row>
    <row r="176" spans="1:21" ht="11.25">
      <c r="A176" s="370"/>
      <c r="B176" s="371"/>
      <c r="C176" s="44"/>
      <c r="D176" s="43"/>
      <c r="E176" s="43"/>
      <c r="F176" s="43"/>
      <c r="G176" s="43"/>
      <c r="H176" s="43"/>
      <c r="I176" s="43"/>
      <c r="J176" s="43"/>
      <c r="K176" s="45"/>
      <c r="L176" s="113" t="s">
        <v>362</v>
      </c>
      <c r="M176" s="4">
        <f>SUM(M188:M191)</f>
        <v>24028.8</v>
      </c>
      <c r="N176" s="4">
        <f>SUM(N188:N191)</f>
        <v>0</v>
      </c>
      <c r="O176" s="124">
        <f aca="true" t="shared" si="54" ref="O176:O181">+N176+M176</f>
        <v>24028.8</v>
      </c>
      <c r="P176" s="4">
        <f>SUM(P188:P191)</f>
        <v>15618.72</v>
      </c>
      <c r="Q176" s="4">
        <f>SUM(Q188:Q191)</f>
        <v>0</v>
      </c>
      <c r="R176" s="124">
        <f t="shared" si="53"/>
        <v>15618.72</v>
      </c>
      <c r="S176" s="50">
        <f t="shared" si="51"/>
        <v>5857.0199999999995</v>
      </c>
      <c r="T176" s="5">
        <f t="shared" si="52"/>
        <v>9761.7</v>
      </c>
      <c r="U176" s="29"/>
    </row>
    <row r="177" spans="1:21" ht="11.25">
      <c r="A177" s="370"/>
      <c r="B177" s="371"/>
      <c r="C177" s="44"/>
      <c r="D177" s="43"/>
      <c r="E177" s="43"/>
      <c r="F177" s="43"/>
      <c r="G177" s="43"/>
      <c r="H177" s="43"/>
      <c r="I177" s="43"/>
      <c r="J177" s="43"/>
      <c r="K177" s="45"/>
      <c r="L177" s="113" t="s">
        <v>426</v>
      </c>
      <c r="M177" s="4">
        <f>SUM(M192:M193)</f>
        <v>18000</v>
      </c>
      <c r="N177" s="4">
        <f>SUM(N192:N193)</f>
        <v>3600</v>
      </c>
      <c r="O177" s="124">
        <f t="shared" si="54"/>
        <v>21600</v>
      </c>
      <c r="P177" s="4">
        <f>SUM(P192:P193)</f>
        <v>11700</v>
      </c>
      <c r="Q177" s="4">
        <f>SUM(Q192:Q193)</f>
        <v>2340</v>
      </c>
      <c r="R177" s="124">
        <f t="shared" si="53"/>
        <v>14040</v>
      </c>
      <c r="S177" s="50">
        <f t="shared" si="51"/>
        <v>5265</v>
      </c>
      <c r="T177" s="5">
        <f t="shared" si="52"/>
        <v>8775</v>
      </c>
      <c r="U177" s="29"/>
    </row>
    <row r="178" spans="1:21" ht="11.25">
      <c r="A178" s="370"/>
      <c r="B178" s="371"/>
      <c r="C178" s="44"/>
      <c r="D178" s="43"/>
      <c r="E178" s="43"/>
      <c r="F178" s="43"/>
      <c r="G178" s="43"/>
      <c r="H178" s="43"/>
      <c r="I178" s="43"/>
      <c r="J178" s="43"/>
      <c r="K178" s="45"/>
      <c r="L178" s="113" t="s">
        <v>569</v>
      </c>
      <c r="M178" s="4">
        <f>SUM(M194)</f>
        <v>490.9</v>
      </c>
      <c r="N178" s="4">
        <f>SUM(N194)</f>
        <v>0</v>
      </c>
      <c r="O178" s="124">
        <f t="shared" si="54"/>
        <v>490.9</v>
      </c>
      <c r="P178" s="4">
        <f>SUM(P194)</f>
        <v>319.085</v>
      </c>
      <c r="Q178" s="4">
        <f>SUM(Q194)</f>
        <v>0</v>
      </c>
      <c r="R178" s="124">
        <f t="shared" si="53"/>
        <v>319.085</v>
      </c>
      <c r="S178" s="50">
        <f t="shared" si="51"/>
        <v>119.65687499999999</v>
      </c>
      <c r="T178" s="5">
        <f>R178-S178</f>
        <v>199.428125</v>
      </c>
      <c r="U178" s="29"/>
    </row>
    <row r="179" spans="1:21" ht="11.25">
      <c r="A179" s="370"/>
      <c r="B179" s="371"/>
      <c r="C179" s="44"/>
      <c r="D179" s="43"/>
      <c r="E179" s="43"/>
      <c r="F179" s="43"/>
      <c r="G179" s="43"/>
      <c r="H179" s="43"/>
      <c r="I179" s="43"/>
      <c r="J179" s="43"/>
      <c r="K179" s="45"/>
      <c r="L179" s="113" t="s">
        <v>597</v>
      </c>
      <c r="M179" s="4">
        <f>+M195</f>
        <v>15777.800000000003</v>
      </c>
      <c r="N179" s="4"/>
      <c r="O179" s="124">
        <f t="shared" si="54"/>
        <v>15777.800000000003</v>
      </c>
      <c r="P179" s="4">
        <f>+P195</f>
        <v>10255.570000000002</v>
      </c>
      <c r="Q179" s="4"/>
      <c r="R179" s="124">
        <f t="shared" si="53"/>
        <v>10255.570000000002</v>
      </c>
      <c r="S179" s="50">
        <f t="shared" si="51"/>
        <v>3845.838750000001</v>
      </c>
      <c r="T179" s="5">
        <f>R179-S179</f>
        <v>6409.731250000001</v>
      </c>
      <c r="U179" s="29"/>
    </row>
    <row r="180" spans="1:21" ht="11.25">
      <c r="A180" s="370"/>
      <c r="B180" s="371"/>
      <c r="C180" s="44"/>
      <c r="D180" s="43"/>
      <c r="E180" s="43"/>
      <c r="F180" s="43"/>
      <c r="G180" s="43"/>
      <c r="H180" s="43"/>
      <c r="I180" s="43"/>
      <c r="J180" s="43"/>
      <c r="K180" s="45"/>
      <c r="L180" s="113" t="s">
        <v>616</v>
      </c>
      <c r="M180" s="4">
        <f>SUM(M196)</f>
        <v>50222.2</v>
      </c>
      <c r="N180" s="4">
        <f>SUM(N196)</f>
        <v>13200</v>
      </c>
      <c r="O180" s="124">
        <f t="shared" si="54"/>
        <v>63422.2</v>
      </c>
      <c r="P180" s="4">
        <f>SUM(P196)</f>
        <v>32644.43</v>
      </c>
      <c r="Q180" s="4">
        <f>SUM(Q196)</f>
        <v>8580</v>
      </c>
      <c r="R180" s="124">
        <f t="shared" si="53"/>
        <v>41224.43</v>
      </c>
      <c r="S180" s="50">
        <f t="shared" si="51"/>
        <v>15459.161250000001</v>
      </c>
      <c r="T180" s="5">
        <f>R180-S180</f>
        <v>25765.26875</v>
      </c>
      <c r="U180" s="29"/>
    </row>
    <row r="181" spans="1:21" ht="11.25">
      <c r="A181" s="370"/>
      <c r="B181" s="371"/>
      <c r="C181" s="44"/>
      <c r="D181" s="43"/>
      <c r="E181" s="43"/>
      <c r="F181" s="43"/>
      <c r="G181" s="43"/>
      <c r="H181" s="43"/>
      <c r="I181" s="43"/>
      <c r="J181" s="43"/>
      <c r="K181" s="45"/>
      <c r="L181" s="113" t="s">
        <v>728</v>
      </c>
      <c r="M181" s="4">
        <f>SUM(M197:M199)</f>
        <v>42972.2</v>
      </c>
      <c r="N181" s="4">
        <f>SUM(N197:N199)</f>
        <v>11000</v>
      </c>
      <c r="O181" s="124">
        <f t="shared" si="54"/>
        <v>53972.2</v>
      </c>
      <c r="P181" s="4">
        <f>SUM(P197:P199)</f>
        <v>27931.93</v>
      </c>
      <c r="Q181" s="4">
        <f>SUM(Q197:Q199)</f>
        <v>7150</v>
      </c>
      <c r="R181" s="124">
        <f>+Q181+P181</f>
        <v>35081.93</v>
      </c>
      <c r="S181" s="50"/>
      <c r="T181" s="5">
        <f>R181-S181</f>
        <v>35081.93</v>
      </c>
      <c r="U181" s="29"/>
    </row>
    <row r="182" spans="1:21" ht="11.25">
      <c r="A182" s="372"/>
      <c r="B182" s="373"/>
      <c r="C182" s="364"/>
      <c r="D182" s="365"/>
      <c r="E182" s="365"/>
      <c r="F182" s="365"/>
      <c r="G182" s="365"/>
      <c r="H182" s="365"/>
      <c r="I182" s="365"/>
      <c r="J182" s="365"/>
      <c r="K182" s="366"/>
      <c r="L182" s="114" t="s">
        <v>13</v>
      </c>
      <c r="M182" s="6">
        <f>M171-M172-M173-M174-M175-M176-M179-M177-M178-M180-M181</f>
        <v>56172.340000000026</v>
      </c>
      <c r="N182" s="6"/>
      <c r="O182" s="125"/>
      <c r="P182" s="6"/>
      <c r="Q182" s="6"/>
      <c r="R182" s="125"/>
      <c r="S182" s="35"/>
      <c r="T182" s="1"/>
      <c r="U182" s="29"/>
    </row>
    <row r="183" spans="1:20" ht="22.5">
      <c r="A183" s="7" t="s">
        <v>14</v>
      </c>
      <c r="B183" s="7" t="s">
        <v>11</v>
      </c>
      <c r="C183" s="34" t="s">
        <v>24</v>
      </c>
      <c r="D183" s="34" t="s">
        <v>20</v>
      </c>
      <c r="E183" s="41" t="s">
        <v>2</v>
      </c>
      <c r="F183" s="34" t="s">
        <v>19</v>
      </c>
      <c r="G183" s="34" t="s">
        <v>18</v>
      </c>
      <c r="H183" s="41" t="s">
        <v>17</v>
      </c>
      <c r="I183" s="41" t="s">
        <v>16</v>
      </c>
      <c r="J183" s="34" t="s">
        <v>3</v>
      </c>
      <c r="K183" s="34" t="s">
        <v>4</v>
      </c>
      <c r="L183" s="110" t="s">
        <v>5</v>
      </c>
      <c r="M183" s="7" t="s">
        <v>21</v>
      </c>
      <c r="N183" s="7" t="s">
        <v>85</v>
      </c>
      <c r="O183" s="110" t="s">
        <v>87</v>
      </c>
      <c r="P183" s="7" t="s">
        <v>22</v>
      </c>
      <c r="Q183" s="7" t="s">
        <v>88</v>
      </c>
      <c r="R183" s="110" t="s">
        <v>86</v>
      </c>
      <c r="S183" s="377" t="s">
        <v>27</v>
      </c>
      <c r="T183" s="377"/>
    </row>
    <row r="184" spans="1:20" ht="126" customHeight="1">
      <c r="A184" s="58" t="s">
        <v>15</v>
      </c>
      <c r="B184" s="81" t="s">
        <v>81</v>
      </c>
      <c r="C184" s="172" t="s">
        <v>40</v>
      </c>
      <c r="D184" s="67" t="s">
        <v>144</v>
      </c>
      <c r="E184" s="9" t="s">
        <v>59</v>
      </c>
      <c r="F184" s="79" t="s">
        <v>60</v>
      </c>
      <c r="G184" s="10">
        <v>38405</v>
      </c>
      <c r="H184" s="15">
        <v>38407</v>
      </c>
      <c r="I184" s="15" t="s">
        <v>61</v>
      </c>
      <c r="J184" s="12">
        <v>14166.67</v>
      </c>
      <c r="K184" s="12">
        <f>+J184*0.2</f>
        <v>2833.3340000000003</v>
      </c>
      <c r="L184" s="111">
        <f>SUM(J184:K184)</f>
        <v>17000.004</v>
      </c>
      <c r="M184" s="31"/>
      <c r="N184" s="31"/>
      <c r="O184" s="111"/>
      <c r="P184" s="31"/>
      <c r="Q184" s="31"/>
      <c r="R184" s="111">
        <f>M184*0.65</f>
        <v>0</v>
      </c>
      <c r="S184" s="305" t="s">
        <v>97</v>
      </c>
      <c r="T184" s="306"/>
    </row>
    <row r="185" spans="1:20" s="91" customFormat="1" ht="49.5" customHeight="1">
      <c r="A185" s="85" t="s">
        <v>146</v>
      </c>
      <c r="B185" s="86"/>
      <c r="C185" s="172" t="s">
        <v>40</v>
      </c>
      <c r="D185" s="14" t="s">
        <v>265</v>
      </c>
      <c r="E185" s="181" t="s">
        <v>266</v>
      </c>
      <c r="F185" s="181" t="s">
        <v>267</v>
      </c>
      <c r="G185" s="18">
        <v>38405</v>
      </c>
      <c r="H185" s="18">
        <v>38406</v>
      </c>
      <c r="I185" s="15" t="s">
        <v>268</v>
      </c>
      <c r="J185" s="62">
        <v>14166.67</v>
      </c>
      <c r="K185" s="62">
        <v>2833.33</v>
      </c>
      <c r="L185" s="184">
        <f aca="true" t="shared" si="55" ref="L185:L191">J185+K185</f>
        <v>17000</v>
      </c>
      <c r="M185" s="31">
        <v>14166.67</v>
      </c>
      <c r="N185" s="31"/>
      <c r="O185" s="111">
        <f aca="true" t="shared" si="56" ref="O185:O192">+N185+M185</f>
        <v>14166.67</v>
      </c>
      <c r="P185" s="31">
        <f aca="true" t="shared" si="57" ref="P185:Q188">M185*0.65</f>
        <v>9208.335500000001</v>
      </c>
      <c r="Q185" s="31">
        <f t="shared" si="57"/>
        <v>0</v>
      </c>
      <c r="R185" s="111">
        <f aca="true" t="shared" si="58" ref="R185:R192">+Q185+P185</f>
        <v>9208.335500000001</v>
      </c>
      <c r="S185" s="353" t="s">
        <v>275</v>
      </c>
      <c r="T185" s="354"/>
    </row>
    <row r="186" spans="1:20" s="91" customFormat="1" ht="46.5" customHeight="1">
      <c r="A186" s="85" t="s">
        <v>146</v>
      </c>
      <c r="B186" s="86"/>
      <c r="C186" s="172" t="s">
        <v>40</v>
      </c>
      <c r="D186" s="182" t="s">
        <v>269</v>
      </c>
      <c r="E186" s="181" t="s">
        <v>266</v>
      </c>
      <c r="F186" s="181" t="s">
        <v>270</v>
      </c>
      <c r="G186" s="18">
        <v>38714</v>
      </c>
      <c r="H186" s="18">
        <v>38717</v>
      </c>
      <c r="I186" s="180" t="s">
        <v>467</v>
      </c>
      <c r="J186" s="62">
        <v>23333.33</v>
      </c>
      <c r="K186" s="62">
        <v>4666.67</v>
      </c>
      <c r="L186" s="118">
        <f t="shared" si="55"/>
        <v>28000</v>
      </c>
      <c r="M186" s="31">
        <v>23333.33</v>
      </c>
      <c r="N186" s="31"/>
      <c r="O186" s="111">
        <f t="shared" si="56"/>
        <v>23333.33</v>
      </c>
      <c r="P186" s="31">
        <f t="shared" si="57"/>
        <v>15166.6645</v>
      </c>
      <c r="Q186" s="31">
        <f t="shared" si="57"/>
        <v>0</v>
      </c>
      <c r="R186" s="111">
        <f t="shared" si="58"/>
        <v>15166.6645</v>
      </c>
      <c r="S186" s="353" t="s">
        <v>276</v>
      </c>
      <c r="T186" s="354"/>
    </row>
    <row r="187" spans="1:20" s="91" customFormat="1" ht="36.75" customHeight="1">
      <c r="A187" s="85" t="s">
        <v>146</v>
      </c>
      <c r="B187" s="86"/>
      <c r="C187" s="172" t="s">
        <v>40</v>
      </c>
      <c r="D187" s="14" t="s">
        <v>271</v>
      </c>
      <c r="E187" s="181" t="s">
        <v>272</v>
      </c>
      <c r="F187" s="183" t="s">
        <v>273</v>
      </c>
      <c r="G187" s="18">
        <v>38715</v>
      </c>
      <c r="H187" s="18">
        <v>38716</v>
      </c>
      <c r="I187" s="18" t="s">
        <v>274</v>
      </c>
      <c r="J187" s="62">
        <v>327.6</v>
      </c>
      <c r="K187" s="62">
        <v>65.52</v>
      </c>
      <c r="L187" s="185">
        <f t="shared" si="55"/>
        <v>393.12</v>
      </c>
      <c r="M187" s="31">
        <f>(9)*(180/8)</f>
        <v>202.5</v>
      </c>
      <c r="N187" s="31"/>
      <c r="O187" s="111">
        <f t="shared" si="56"/>
        <v>202.5</v>
      </c>
      <c r="P187" s="31">
        <f t="shared" si="57"/>
        <v>131.625</v>
      </c>
      <c r="Q187" s="31">
        <f t="shared" si="57"/>
        <v>0</v>
      </c>
      <c r="R187" s="111">
        <f t="shared" si="58"/>
        <v>131.625</v>
      </c>
      <c r="S187" s="353" t="s">
        <v>277</v>
      </c>
      <c r="T187" s="354"/>
    </row>
    <row r="188" spans="1:20" s="91" customFormat="1" ht="33.75">
      <c r="A188" s="85" t="s">
        <v>361</v>
      </c>
      <c r="B188" s="86"/>
      <c r="C188" s="172" t="s">
        <v>40</v>
      </c>
      <c r="D188" s="215" t="s">
        <v>271</v>
      </c>
      <c r="E188" s="216" t="s">
        <v>272</v>
      </c>
      <c r="F188" s="217" t="s">
        <v>363</v>
      </c>
      <c r="G188" s="218">
        <v>38748</v>
      </c>
      <c r="H188" s="219">
        <v>38750</v>
      </c>
      <c r="I188" s="18" t="s">
        <v>364</v>
      </c>
      <c r="J188" s="220">
        <v>491.4</v>
      </c>
      <c r="K188" s="221">
        <f>J188*20/100</f>
        <v>98.28</v>
      </c>
      <c r="L188" s="184">
        <f t="shared" si="55"/>
        <v>589.68</v>
      </c>
      <c r="M188" s="220">
        <v>491.4</v>
      </c>
      <c r="N188" s="31"/>
      <c r="O188" s="111">
        <f t="shared" si="56"/>
        <v>491.4</v>
      </c>
      <c r="P188" s="31">
        <f t="shared" si="57"/>
        <v>319.40999999999997</v>
      </c>
      <c r="Q188" s="31"/>
      <c r="R188" s="111">
        <f t="shared" si="58"/>
        <v>319.40999999999997</v>
      </c>
      <c r="S188" s="353"/>
      <c r="T188" s="354"/>
    </row>
    <row r="189" spans="1:20" s="91" customFormat="1" ht="33.75">
      <c r="A189" s="85" t="s">
        <v>361</v>
      </c>
      <c r="B189" s="86"/>
      <c r="C189" s="172" t="s">
        <v>40</v>
      </c>
      <c r="D189" s="222" t="s">
        <v>271</v>
      </c>
      <c r="E189" s="223" t="s">
        <v>272</v>
      </c>
      <c r="F189" s="217" t="s">
        <v>365</v>
      </c>
      <c r="G189" s="224">
        <v>38807</v>
      </c>
      <c r="H189" s="180">
        <v>38811</v>
      </c>
      <c r="I189" s="199" t="s">
        <v>364</v>
      </c>
      <c r="J189" s="225">
        <v>546</v>
      </c>
      <c r="K189" s="226">
        <f>J189*20/100</f>
        <v>109.2</v>
      </c>
      <c r="L189" s="246">
        <f t="shared" si="55"/>
        <v>655.2</v>
      </c>
      <c r="M189" s="225">
        <v>546</v>
      </c>
      <c r="N189" s="31"/>
      <c r="O189" s="111">
        <f t="shared" si="56"/>
        <v>546</v>
      </c>
      <c r="P189" s="31">
        <f aca="true" t="shared" si="59" ref="P189:P194">M189*0.65</f>
        <v>354.90000000000003</v>
      </c>
      <c r="Q189" s="31"/>
      <c r="R189" s="111">
        <f t="shared" si="58"/>
        <v>354.90000000000003</v>
      </c>
      <c r="S189" s="353"/>
      <c r="T189" s="354"/>
    </row>
    <row r="190" spans="1:20" s="91" customFormat="1" ht="33.75">
      <c r="A190" s="85" t="s">
        <v>361</v>
      </c>
      <c r="B190" s="86"/>
      <c r="C190" s="172" t="s">
        <v>40</v>
      </c>
      <c r="D190" s="222" t="s">
        <v>271</v>
      </c>
      <c r="E190" s="223" t="s">
        <v>272</v>
      </c>
      <c r="F190" s="227" t="s">
        <v>366</v>
      </c>
      <c r="G190" s="157">
        <v>38779</v>
      </c>
      <c r="H190" s="157">
        <v>38784</v>
      </c>
      <c r="I190" s="157" t="s">
        <v>364</v>
      </c>
      <c r="J190" s="148">
        <v>491.4</v>
      </c>
      <c r="K190" s="226">
        <f>J190*20/100</f>
        <v>98.28</v>
      </c>
      <c r="L190" s="246">
        <f t="shared" si="55"/>
        <v>589.68</v>
      </c>
      <c r="M190" s="148">
        <v>491.4</v>
      </c>
      <c r="N190" s="31"/>
      <c r="O190" s="111">
        <f t="shared" si="56"/>
        <v>491.4</v>
      </c>
      <c r="P190" s="31">
        <f t="shared" si="59"/>
        <v>319.40999999999997</v>
      </c>
      <c r="Q190" s="31"/>
      <c r="R190" s="111">
        <f t="shared" si="58"/>
        <v>319.40999999999997</v>
      </c>
      <c r="S190" s="353"/>
      <c r="T190" s="354"/>
    </row>
    <row r="191" spans="1:20" s="91" customFormat="1" ht="33.75">
      <c r="A191" s="85" t="s">
        <v>361</v>
      </c>
      <c r="B191" s="86"/>
      <c r="C191" s="172" t="s">
        <v>40</v>
      </c>
      <c r="D191" s="147" t="s">
        <v>367</v>
      </c>
      <c r="E191" s="181" t="s">
        <v>368</v>
      </c>
      <c r="F191" s="227" t="s">
        <v>369</v>
      </c>
      <c r="G191" s="18">
        <v>38835</v>
      </c>
      <c r="H191" s="18">
        <v>38835</v>
      </c>
      <c r="I191" s="18" t="s">
        <v>370</v>
      </c>
      <c r="J191" s="228">
        <v>22500</v>
      </c>
      <c r="K191" s="228">
        <v>4500</v>
      </c>
      <c r="L191" s="184">
        <f t="shared" si="55"/>
        <v>27000</v>
      </c>
      <c r="M191" s="31">
        <f>300*75</f>
        <v>22500</v>
      </c>
      <c r="N191" s="31"/>
      <c r="O191" s="111">
        <f t="shared" si="56"/>
        <v>22500</v>
      </c>
      <c r="P191" s="31">
        <f t="shared" si="59"/>
        <v>14625</v>
      </c>
      <c r="Q191" s="31"/>
      <c r="R191" s="111">
        <f t="shared" si="58"/>
        <v>14625</v>
      </c>
      <c r="S191" s="353" t="s">
        <v>422</v>
      </c>
      <c r="T191" s="354"/>
    </row>
    <row r="192" spans="1:20" s="91" customFormat="1" ht="22.5" customHeight="1">
      <c r="A192" s="85" t="s">
        <v>455</v>
      </c>
      <c r="B192" s="86"/>
      <c r="C192" s="172" t="s">
        <v>40</v>
      </c>
      <c r="D192" s="147" t="s">
        <v>457</v>
      </c>
      <c r="E192" s="181" t="s">
        <v>458</v>
      </c>
      <c r="F192" s="227">
        <v>15</v>
      </c>
      <c r="G192" s="18">
        <v>38926</v>
      </c>
      <c r="H192" s="18">
        <v>38940</v>
      </c>
      <c r="I192" s="18" t="s">
        <v>50</v>
      </c>
      <c r="J192" s="228">
        <v>490.88</v>
      </c>
      <c r="K192" s="228">
        <v>98.18</v>
      </c>
      <c r="L192" s="184">
        <v>589.06</v>
      </c>
      <c r="M192" s="31"/>
      <c r="N192" s="31"/>
      <c r="O192" s="111">
        <f t="shared" si="56"/>
        <v>0</v>
      </c>
      <c r="P192" s="31">
        <f t="shared" si="59"/>
        <v>0</v>
      </c>
      <c r="Q192" s="31"/>
      <c r="R192" s="111">
        <f t="shared" si="58"/>
        <v>0</v>
      </c>
      <c r="S192" s="353" t="s">
        <v>461</v>
      </c>
      <c r="T192" s="354"/>
    </row>
    <row r="193" spans="1:20" s="91" customFormat="1" ht="48" customHeight="1">
      <c r="A193" s="85" t="s">
        <v>455</v>
      </c>
      <c r="B193" s="86"/>
      <c r="C193" s="172" t="s">
        <v>40</v>
      </c>
      <c r="D193" s="147" t="s">
        <v>367</v>
      </c>
      <c r="E193" s="181" t="s">
        <v>368</v>
      </c>
      <c r="F193" s="227" t="s">
        <v>459</v>
      </c>
      <c r="G193" s="18">
        <v>38954</v>
      </c>
      <c r="H193" s="18">
        <v>38960</v>
      </c>
      <c r="I193" s="18" t="s">
        <v>460</v>
      </c>
      <c r="J193" s="228">
        <v>18000</v>
      </c>
      <c r="K193" s="228">
        <v>3600</v>
      </c>
      <c r="L193" s="184">
        <v>21600</v>
      </c>
      <c r="M193" s="31">
        <v>18000</v>
      </c>
      <c r="N193" s="31">
        <v>3600</v>
      </c>
      <c r="O193" s="111">
        <f>+N193+M193</f>
        <v>21600</v>
      </c>
      <c r="P193" s="31">
        <f t="shared" si="59"/>
        <v>11700</v>
      </c>
      <c r="Q193" s="31">
        <f>N193*0.65</f>
        <v>2340</v>
      </c>
      <c r="R193" s="111">
        <f>+Q193+P193</f>
        <v>14040</v>
      </c>
      <c r="S193" s="353" t="s">
        <v>468</v>
      </c>
      <c r="T193" s="354"/>
    </row>
    <row r="194" spans="1:20" s="91" customFormat="1" ht="45" customHeight="1">
      <c r="A194" s="85" t="s">
        <v>518</v>
      </c>
      <c r="B194" s="86"/>
      <c r="C194" s="67" t="s">
        <v>40</v>
      </c>
      <c r="D194" s="147" t="s">
        <v>457</v>
      </c>
      <c r="E194" s="181" t="s">
        <v>458</v>
      </c>
      <c r="F194" s="227">
        <v>15</v>
      </c>
      <c r="G194" s="18">
        <v>38926</v>
      </c>
      <c r="H194" s="18">
        <v>38940</v>
      </c>
      <c r="I194" s="18" t="s">
        <v>50</v>
      </c>
      <c r="J194" s="228">
        <v>490.88</v>
      </c>
      <c r="K194" s="228">
        <v>98.18</v>
      </c>
      <c r="L194" s="184">
        <v>589.06</v>
      </c>
      <c r="M194" s="31">
        <v>490.9</v>
      </c>
      <c r="N194" s="31"/>
      <c r="O194" s="111">
        <f>+M194</f>
        <v>490.9</v>
      </c>
      <c r="P194" s="31">
        <f t="shared" si="59"/>
        <v>319.085</v>
      </c>
      <c r="Q194" s="31">
        <f>N194*0.65</f>
        <v>0</v>
      </c>
      <c r="R194" s="111">
        <f>+Q194+P194</f>
        <v>319.085</v>
      </c>
      <c r="S194" s="353" t="s">
        <v>520</v>
      </c>
      <c r="T194" s="354"/>
    </row>
    <row r="195" spans="1:20" s="91" customFormat="1" ht="45" customHeight="1">
      <c r="A195" s="85" t="s">
        <v>594</v>
      </c>
      <c r="B195" s="86"/>
      <c r="C195" s="67" t="s">
        <v>439</v>
      </c>
      <c r="D195" s="147"/>
      <c r="E195" s="181"/>
      <c r="F195" s="227"/>
      <c r="G195" s="18"/>
      <c r="H195" s="18"/>
      <c r="I195" s="18"/>
      <c r="J195" s="228">
        <v>79200</v>
      </c>
      <c r="K195" s="228"/>
      <c r="L195" s="184">
        <f>+K195+J195</f>
        <v>79200</v>
      </c>
      <c r="M195" s="228">
        <f>96000-SUM(M175:M178)</f>
        <v>15777.800000000003</v>
      </c>
      <c r="N195" s="228"/>
      <c r="O195" s="184">
        <f>+N195+M195</f>
        <v>15777.800000000003</v>
      </c>
      <c r="P195" s="31">
        <f>M195*0.65</f>
        <v>10255.570000000002</v>
      </c>
      <c r="Q195" s="31">
        <f>N195*0.65</f>
        <v>0</v>
      </c>
      <c r="R195" s="111">
        <f>+Q195+P195</f>
        <v>10255.570000000002</v>
      </c>
      <c r="S195" s="353" t="s">
        <v>595</v>
      </c>
      <c r="T195" s="354"/>
    </row>
    <row r="196" spans="1:20" s="91" customFormat="1" ht="72" customHeight="1">
      <c r="A196" s="85" t="s">
        <v>617</v>
      </c>
      <c r="B196" s="86"/>
      <c r="C196" s="67" t="s">
        <v>40</v>
      </c>
      <c r="D196" s="147" t="s">
        <v>607</v>
      </c>
      <c r="E196" s="181" t="s">
        <v>608</v>
      </c>
      <c r="F196" s="227" t="s">
        <v>464</v>
      </c>
      <c r="G196" s="18">
        <v>39156</v>
      </c>
      <c r="H196" s="18" t="s">
        <v>609</v>
      </c>
      <c r="I196" s="18" t="s">
        <v>610</v>
      </c>
      <c r="J196" s="228">
        <v>66000</v>
      </c>
      <c r="K196" s="228">
        <v>13200</v>
      </c>
      <c r="L196" s="184">
        <v>79200</v>
      </c>
      <c r="M196" s="31">
        <f>66000-M195</f>
        <v>50222.2</v>
      </c>
      <c r="N196" s="31">
        <v>13200</v>
      </c>
      <c r="O196" s="111">
        <f>+N196+M196</f>
        <v>63422.2</v>
      </c>
      <c r="P196" s="31">
        <f>M196*0.65</f>
        <v>32644.43</v>
      </c>
      <c r="Q196" s="31">
        <f>N196*0.65</f>
        <v>8580</v>
      </c>
      <c r="R196" s="111">
        <f>+Q196+P196</f>
        <v>41224.43</v>
      </c>
      <c r="S196" s="353" t="s">
        <v>669</v>
      </c>
      <c r="T196" s="354"/>
    </row>
    <row r="197" spans="1:20" s="91" customFormat="1" ht="33.75">
      <c r="A197" s="85" t="s">
        <v>703</v>
      </c>
      <c r="B197" s="86"/>
      <c r="C197" s="67" t="s">
        <v>40</v>
      </c>
      <c r="D197" s="147"/>
      <c r="E197" s="181"/>
      <c r="F197" s="227"/>
      <c r="G197" s="18"/>
      <c r="H197" s="18"/>
      <c r="I197" s="18"/>
      <c r="J197" s="228"/>
      <c r="K197" s="228"/>
      <c r="L197" s="184"/>
      <c r="M197" s="31">
        <f>-M195</f>
        <v>-15777.800000000003</v>
      </c>
      <c r="N197" s="31"/>
      <c r="O197" s="111">
        <f>+N197+M197</f>
        <v>-15777.800000000003</v>
      </c>
      <c r="P197" s="31">
        <f>M197*0.65</f>
        <v>-10255.570000000002</v>
      </c>
      <c r="Q197" s="31">
        <f>N197*0.65</f>
        <v>0</v>
      </c>
      <c r="R197" s="111">
        <f>+Q197+P197</f>
        <v>-10255.570000000002</v>
      </c>
      <c r="S197" s="169" t="s">
        <v>766</v>
      </c>
      <c r="T197" s="170"/>
    </row>
    <row r="198" spans="1:20" s="91" customFormat="1" ht="56.25">
      <c r="A198" s="85" t="s">
        <v>703</v>
      </c>
      <c r="B198" s="86"/>
      <c r="C198" s="67" t="s">
        <v>40</v>
      </c>
      <c r="D198" s="147" t="s">
        <v>705</v>
      </c>
      <c r="E198" s="181" t="s">
        <v>706</v>
      </c>
      <c r="F198" s="227" t="s">
        <v>707</v>
      </c>
      <c r="G198" s="18">
        <v>39566</v>
      </c>
      <c r="H198" s="18"/>
      <c r="I198" s="18"/>
      <c r="J198" s="228">
        <v>55000</v>
      </c>
      <c r="K198" s="228">
        <v>11000</v>
      </c>
      <c r="L198" s="184">
        <v>66000</v>
      </c>
      <c r="M198" s="228">
        <v>55000</v>
      </c>
      <c r="N198" s="228">
        <v>11000</v>
      </c>
      <c r="O198" s="111">
        <f>+N198+M198</f>
        <v>66000</v>
      </c>
      <c r="P198" s="31">
        <f>M198*0.65</f>
        <v>35750</v>
      </c>
      <c r="Q198" s="31">
        <f>N198*0.65</f>
        <v>7150</v>
      </c>
      <c r="R198" s="111">
        <f>+Q198+P198</f>
        <v>42900</v>
      </c>
      <c r="S198" s="169"/>
      <c r="T198" s="170"/>
    </row>
    <row r="199" spans="1:20" s="91" customFormat="1" ht="22.5">
      <c r="A199" s="85" t="s">
        <v>703</v>
      </c>
      <c r="B199" s="86"/>
      <c r="C199" s="67" t="s">
        <v>40</v>
      </c>
      <c r="D199" s="147" t="s">
        <v>708</v>
      </c>
      <c r="E199" s="181" t="s">
        <v>709</v>
      </c>
      <c r="F199" s="227" t="s">
        <v>710</v>
      </c>
      <c r="G199" s="18">
        <v>39661</v>
      </c>
      <c r="H199" s="18">
        <v>39665</v>
      </c>
      <c r="I199" s="18" t="s">
        <v>179</v>
      </c>
      <c r="J199" s="228">
        <v>3750</v>
      </c>
      <c r="K199" s="228"/>
      <c r="L199" s="184">
        <v>3750</v>
      </c>
      <c r="M199" s="31">
        <v>3750</v>
      </c>
      <c r="N199" s="31"/>
      <c r="O199" s="111">
        <f>+N199+M199</f>
        <v>3750</v>
      </c>
      <c r="P199" s="31">
        <f>M199*0.65</f>
        <v>2437.5</v>
      </c>
      <c r="Q199" s="31">
        <f>N199*0.65</f>
        <v>0</v>
      </c>
      <c r="R199" s="111">
        <f>+Q199+P199</f>
        <v>2437.5</v>
      </c>
      <c r="S199" s="349" t="s">
        <v>704</v>
      </c>
      <c r="T199" s="350"/>
    </row>
    <row r="200" spans="1:20" s="91" customFormat="1" ht="11.25">
      <c r="A200" s="85"/>
      <c r="B200" s="86"/>
      <c r="C200" s="67"/>
      <c r="D200" s="147"/>
      <c r="E200" s="181"/>
      <c r="F200" s="227"/>
      <c r="G200" s="18"/>
      <c r="H200" s="18"/>
      <c r="I200" s="18"/>
      <c r="J200" s="228"/>
      <c r="K200" s="228"/>
      <c r="L200" s="184"/>
      <c r="M200" s="31"/>
      <c r="N200" s="31"/>
      <c r="O200" s="111"/>
      <c r="P200" s="31"/>
      <c r="Q200" s="31"/>
      <c r="R200" s="111"/>
      <c r="S200" s="300"/>
      <c r="T200" s="301"/>
    </row>
    <row r="201" spans="1:20" s="91" customFormat="1" ht="13.5" customHeight="1">
      <c r="A201" s="85"/>
      <c r="B201" s="86"/>
      <c r="C201" s="67"/>
      <c r="D201" s="87"/>
      <c r="E201" s="87"/>
      <c r="F201" s="87"/>
      <c r="G201" s="88"/>
      <c r="H201" s="89"/>
      <c r="I201" s="89"/>
      <c r="J201" s="31"/>
      <c r="K201" s="31"/>
      <c r="L201" s="111"/>
      <c r="M201" s="31"/>
      <c r="N201" s="31"/>
      <c r="O201" s="111"/>
      <c r="P201" s="31"/>
      <c r="Q201" s="31"/>
      <c r="R201" s="111"/>
      <c r="S201" s="169"/>
      <c r="T201" s="170"/>
    </row>
    <row r="202" ht="11.25"/>
    <row r="203" spans="1:20" ht="11.25">
      <c r="A203" s="314" t="s">
        <v>1</v>
      </c>
      <c r="B203" s="362"/>
      <c r="C203" s="362"/>
      <c r="D203" s="362"/>
      <c r="E203" s="362"/>
      <c r="F203" s="362"/>
      <c r="G203" s="362"/>
      <c r="H203" s="362"/>
      <c r="I203" s="362"/>
      <c r="J203" s="362"/>
      <c r="K203" s="362"/>
      <c r="L203" s="363"/>
      <c r="M203" s="82" t="s">
        <v>104</v>
      </c>
      <c r="N203" s="28" t="s">
        <v>105</v>
      </c>
      <c r="O203" s="122" t="s">
        <v>106</v>
      </c>
      <c r="P203" s="28" t="s">
        <v>107</v>
      </c>
      <c r="Q203" s="28" t="s">
        <v>108</v>
      </c>
      <c r="R203" s="122" t="s">
        <v>109</v>
      </c>
      <c r="S203" s="32" t="s">
        <v>25</v>
      </c>
      <c r="T203" s="33" t="s">
        <v>26</v>
      </c>
    </row>
    <row r="204" spans="1:21" ht="11.25">
      <c r="A204" s="370"/>
      <c r="B204" s="371"/>
      <c r="C204" s="367"/>
      <c r="D204" s="368"/>
      <c r="E204" s="368"/>
      <c r="F204" s="368"/>
      <c r="G204" s="368"/>
      <c r="H204" s="368"/>
      <c r="I204" s="368"/>
      <c r="J204" s="368"/>
      <c r="K204" s="369"/>
      <c r="L204" s="107" t="s">
        <v>12</v>
      </c>
      <c r="M204" s="3">
        <v>0</v>
      </c>
      <c r="N204" s="3">
        <f>M204*0.2</f>
        <v>0</v>
      </c>
      <c r="O204" s="123">
        <f>SUM(M204:N204)</f>
        <v>0</v>
      </c>
      <c r="P204" s="83">
        <f>M204*0.65</f>
        <v>0</v>
      </c>
      <c r="Q204" s="3">
        <f>P204*0.2</f>
        <v>0</v>
      </c>
      <c r="R204" s="123">
        <f>SUM(P204:Q204)</f>
        <v>0</v>
      </c>
      <c r="S204" s="49"/>
      <c r="T204" s="49"/>
      <c r="U204" s="29"/>
    </row>
    <row r="205" spans="1:21" ht="11.25">
      <c r="A205" s="370"/>
      <c r="B205" s="371"/>
      <c r="C205" s="44"/>
      <c r="D205" s="43"/>
      <c r="E205" s="43"/>
      <c r="F205" s="43"/>
      <c r="G205" s="43"/>
      <c r="H205" s="43"/>
      <c r="I205" s="43"/>
      <c r="J205" s="43"/>
      <c r="K205" s="13">
        <f>SUM(K217:K218)</f>
        <v>0</v>
      </c>
      <c r="L205" s="108" t="s">
        <v>28</v>
      </c>
      <c r="M205" s="13">
        <f>SUM(M217:M218)</f>
        <v>0</v>
      </c>
      <c r="N205" s="13"/>
      <c r="O205" s="126"/>
      <c r="P205" s="13"/>
      <c r="Q205" s="13"/>
      <c r="R205" s="126">
        <f>SUM(R217:R218)</f>
        <v>0</v>
      </c>
      <c r="S205" s="50">
        <f>R205*0.375</f>
        <v>0</v>
      </c>
      <c r="T205" s="5">
        <f>R205-S205</f>
        <v>0</v>
      </c>
      <c r="U205" s="29"/>
    </row>
    <row r="206" spans="1:21" ht="11.25">
      <c r="A206" s="370"/>
      <c r="B206" s="371"/>
      <c r="C206" s="44"/>
      <c r="D206" s="43"/>
      <c r="E206" s="43"/>
      <c r="F206" s="43"/>
      <c r="G206" s="43"/>
      <c r="H206" s="43"/>
      <c r="I206" s="43"/>
      <c r="J206" s="43"/>
      <c r="K206" s="45"/>
      <c r="L206" s="113" t="s">
        <v>29</v>
      </c>
      <c r="M206" s="4">
        <v>0</v>
      </c>
      <c r="N206" s="4"/>
      <c r="O206" s="124"/>
      <c r="P206" s="4"/>
      <c r="Q206" s="4"/>
      <c r="R206" s="124">
        <v>0</v>
      </c>
      <c r="S206" s="50">
        <f>R206*0.375</f>
        <v>0</v>
      </c>
      <c r="T206" s="5">
        <f>R206-S206</f>
        <v>0</v>
      </c>
      <c r="U206" s="29"/>
    </row>
    <row r="207" spans="1:21" ht="11.25">
      <c r="A207" s="370"/>
      <c r="B207" s="371"/>
      <c r="C207" s="44"/>
      <c r="D207" s="43"/>
      <c r="E207" s="43"/>
      <c r="F207" s="43"/>
      <c r="G207" s="43"/>
      <c r="H207" s="43"/>
      <c r="I207" s="43"/>
      <c r="J207" s="43"/>
      <c r="K207" s="45"/>
      <c r="L207" s="113" t="s">
        <v>121</v>
      </c>
      <c r="M207" s="4"/>
      <c r="N207" s="4"/>
      <c r="O207" s="124"/>
      <c r="P207" s="4"/>
      <c r="Q207" s="4"/>
      <c r="R207" s="124"/>
      <c r="S207" s="94"/>
      <c r="T207" s="94"/>
      <c r="U207" s="29"/>
    </row>
    <row r="208" spans="1:21" ht="11.25">
      <c r="A208" s="370"/>
      <c r="B208" s="371"/>
      <c r="C208" s="44"/>
      <c r="D208" s="43"/>
      <c r="E208" s="43"/>
      <c r="F208" s="43"/>
      <c r="G208" s="43"/>
      <c r="H208" s="43"/>
      <c r="I208" s="43"/>
      <c r="J208" s="43"/>
      <c r="K208" s="45"/>
      <c r="L208" s="113" t="s">
        <v>232</v>
      </c>
      <c r="M208" s="4"/>
      <c r="N208" s="4"/>
      <c r="O208" s="124"/>
      <c r="P208" s="4"/>
      <c r="Q208" s="4"/>
      <c r="R208" s="124"/>
      <c r="S208" s="94"/>
      <c r="T208" s="94"/>
      <c r="U208" s="29"/>
    </row>
    <row r="209" spans="1:21" ht="11.25">
      <c r="A209" s="370"/>
      <c r="B209" s="371"/>
      <c r="C209" s="44"/>
      <c r="D209" s="43"/>
      <c r="E209" s="43"/>
      <c r="F209" s="43"/>
      <c r="G209" s="43"/>
      <c r="H209" s="43"/>
      <c r="I209" s="43"/>
      <c r="J209" s="43"/>
      <c r="K209" s="45"/>
      <c r="L209" s="113" t="s">
        <v>362</v>
      </c>
      <c r="M209" s="4"/>
      <c r="N209" s="4"/>
      <c r="O209" s="124"/>
      <c r="P209" s="4"/>
      <c r="Q209" s="4"/>
      <c r="R209" s="124"/>
      <c r="S209" s="94"/>
      <c r="T209" s="94"/>
      <c r="U209" s="29"/>
    </row>
    <row r="210" spans="1:21" ht="11.25">
      <c r="A210" s="370"/>
      <c r="B210" s="371"/>
      <c r="C210" s="44"/>
      <c r="D210" s="43"/>
      <c r="E210" s="43"/>
      <c r="F210" s="43"/>
      <c r="G210" s="43"/>
      <c r="H210" s="43"/>
      <c r="I210" s="43"/>
      <c r="J210" s="43"/>
      <c r="K210" s="45"/>
      <c r="L210" s="113" t="s">
        <v>426</v>
      </c>
      <c r="M210" s="4"/>
      <c r="N210" s="4"/>
      <c r="O210" s="124"/>
      <c r="P210" s="4"/>
      <c r="Q210" s="4"/>
      <c r="R210" s="124"/>
      <c r="S210" s="94"/>
      <c r="T210" s="94"/>
      <c r="U210" s="29"/>
    </row>
    <row r="211" spans="1:21" ht="11.25">
      <c r="A211" s="370"/>
      <c r="B211" s="371"/>
      <c r="C211" s="44"/>
      <c r="D211" s="43"/>
      <c r="E211" s="43"/>
      <c r="F211" s="43"/>
      <c r="G211" s="43"/>
      <c r="H211" s="43"/>
      <c r="I211" s="43"/>
      <c r="J211" s="43"/>
      <c r="K211" s="45"/>
      <c r="L211" s="113" t="s">
        <v>569</v>
      </c>
      <c r="M211" s="4"/>
      <c r="N211" s="4"/>
      <c r="O211" s="124"/>
      <c r="P211" s="4"/>
      <c r="Q211" s="4"/>
      <c r="R211" s="124"/>
      <c r="S211" s="94"/>
      <c r="T211" s="94"/>
      <c r="U211" s="29"/>
    </row>
    <row r="212" spans="1:21" ht="11.25">
      <c r="A212" s="370"/>
      <c r="B212" s="371"/>
      <c r="C212" s="44"/>
      <c r="D212" s="43"/>
      <c r="E212" s="43"/>
      <c r="F212" s="43"/>
      <c r="G212" s="43"/>
      <c r="H212" s="43"/>
      <c r="I212" s="43"/>
      <c r="J212" s="43"/>
      <c r="K212" s="45"/>
      <c r="L212" s="113" t="s">
        <v>597</v>
      </c>
      <c r="M212" s="4"/>
      <c r="N212" s="4"/>
      <c r="O212" s="124"/>
      <c r="P212" s="4"/>
      <c r="Q212" s="4"/>
      <c r="R212" s="124"/>
      <c r="S212" s="94"/>
      <c r="T212" s="94"/>
      <c r="U212" s="29"/>
    </row>
    <row r="213" spans="1:21" ht="11.25">
      <c r="A213" s="370"/>
      <c r="B213" s="371"/>
      <c r="C213" s="44"/>
      <c r="D213" s="43"/>
      <c r="E213" s="43"/>
      <c r="F213" s="43"/>
      <c r="G213" s="43"/>
      <c r="H213" s="43"/>
      <c r="I213" s="43"/>
      <c r="J213" s="43"/>
      <c r="K213" s="45"/>
      <c r="L213" s="113" t="s">
        <v>616</v>
      </c>
      <c r="M213" s="4"/>
      <c r="N213" s="4"/>
      <c r="O213" s="124"/>
      <c r="P213" s="4"/>
      <c r="Q213" s="4"/>
      <c r="R213" s="124"/>
      <c r="S213" s="94"/>
      <c r="T213" s="94"/>
      <c r="U213" s="29"/>
    </row>
    <row r="214" spans="1:21" ht="11.25">
      <c r="A214" s="370"/>
      <c r="B214" s="371"/>
      <c r="C214" s="44"/>
      <c r="D214" s="43"/>
      <c r="E214" s="43"/>
      <c r="F214" s="43"/>
      <c r="G214" s="43"/>
      <c r="H214" s="43"/>
      <c r="I214" s="43"/>
      <c r="J214" s="43"/>
      <c r="K214" s="45"/>
      <c r="L214" s="113" t="s">
        <v>728</v>
      </c>
      <c r="M214" s="4"/>
      <c r="N214" s="4"/>
      <c r="O214" s="124"/>
      <c r="P214" s="4"/>
      <c r="Q214" s="4"/>
      <c r="R214" s="124"/>
      <c r="S214" s="94"/>
      <c r="T214" s="94"/>
      <c r="U214" s="29"/>
    </row>
    <row r="215" spans="1:21" ht="11.25">
      <c r="A215" s="372"/>
      <c r="B215" s="373"/>
      <c r="C215" s="364"/>
      <c r="D215" s="365"/>
      <c r="E215" s="365"/>
      <c r="F215" s="365"/>
      <c r="G215" s="365"/>
      <c r="H215" s="365"/>
      <c r="I215" s="365"/>
      <c r="J215" s="365"/>
      <c r="K215" s="366"/>
      <c r="L215" s="109" t="s">
        <v>13</v>
      </c>
      <c r="M215" s="6">
        <f>M204-M205-M206</f>
        <v>0</v>
      </c>
      <c r="N215" s="6"/>
      <c r="O215" s="125"/>
      <c r="P215" s="6"/>
      <c r="Q215" s="6"/>
      <c r="R215" s="127">
        <f>R204-R205</f>
        <v>0</v>
      </c>
      <c r="S215" s="51"/>
      <c r="T215" s="1"/>
      <c r="U215" s="29"/>
    </row>
    <row r="216" spans="1:20" ht="22.5">
      <c r="A216" s="7" t="s">
        <v>14</v>
      </c>
      <c r="B216" s="7" t="s">
        <v>11</v>
      </c>
      <c r="C216" s="34" t="s">
        <v>24</v>
      </c>
      <c r="D216" s="34" t="s">
        <v>20</v>
      </c>
      <c r="E216" s="41" t="s">
        <v>2</v>
      </c>
      <c r="F216" s="34" t="s">
        <v>19</v>
      </c>
      <c r="G216" s="34" t="s">
        <v>18</v>
      </c>
      <c r="H216" s="41" t="s">
        <v>17</v>
      </c>
      <c r="I216" s="41" t="s">
        <v>16</v>
      </c>
      <c r="J216" s="34" t="s">
        <v>3</v>
      </c>
      <c r="K216" s="34" t="s">
        <v>4</v>
      </c>
      <c r="L216" s="110" t="s">
        <v>5</v>
      </c>
      <c r="M216" s="7" t="s">
        <v>21</v>
      </c>
      <c r="N216" s="7" t="s">
        <v>85</v>
      </c>
      <c r="O216" s="110" t="s">
        <v>87</v>
      </c>
      <c r="P216" s="7" t="s">
        <v>22</v>
      </c>
      <c r="Q216" s="7" t="s">
        <v>88</v>
      </c>
      <c r="R216" s="110" t="s">
        <v>86</v>
      </c>
      <c r="S216" s="309" t="s">
        <v>27</v>
      </c>
      <c r="T216" s="309"/>
    </row>
    <row r="217" spans="1:20" ht="11.25">
      <c r="A217" s="58"/>
      <c r="B217" s="8"/>
      <c r="C217" s="9"/>
      <c r="D217" s="14"/>
      <c r="E217" s="14"/>
      <c r="F217" s="9"/>
      <c r="G217" s="10"/>
      <c r="H217" s="11"/>
      <c r="I217" s="11"/>
      <c r="J217" s="12"/>
      <c r="K217" s="12">
        <f>+J217*0.2</f>
        <v>0</v>
      </c>
      <c r="L217" s="111">
        <f>SUM(J217:K217)</f>
        <v>0</v>
      </c>
      <c r="M217" s="12">
        <f>+L217</f>
        <v>0</v>
      </c>
      <c r="N217" s="12"/>
      <c r="O217" s="111"/>
      <c r="P217" s="12"/>
      <c r="Q217" s="12"/>
      <c r="R217" s="111">
        <f>M217*0.65</f>
        <v>0</v>
      </c>
      <c r="S217" s="304"/>
      <c r="T217" s="304"/>
    </row>
    <row r="218" spans="1:20" ht="11.25">
      <c r="A218" s="59"/>
      <c r="B218" s="8"/>
      <c r="C218" s="9"/>
      <c r="D218" s="9"/>
      <c r="E218" s="9"/>
      <c r="F218" s="9"/>
      <c r="G218" s="10"/>
      <c r="H218" s="11"/>
      <c r="I218" s="11"/>
      <c r="J218" s="12"/>
      <c r="K218" s="12"/>
      <c r="L218" s="111"/>
      <c r="M218" s="12"/>
      <c r="N218" s="12"/>
      <c r="O218" s="111"/>
      <c r="P218" s="12"/>
      <c r="Q218" s="12"/>
      <c r="R218" s="111"/>
      <c r="S218" s="304"/>
      <c r="T218" s="304"/>
    </row>
    <row r="219" ht="11.25"/>
    <row r="220" spans="1:20" ht="11.25">
      <c r="A220" s="314" t="s">
        <v>8</v>
      </c>
      <c r="B220" s="362"/>
      <c r="C220" s="362"/>
      <c r="D220" s="362"/>
      <c r="E220" s="362"/>
      <c r="F220" s="362"/>
      <c r="G220" s="362"/>
      <c r="H220" s="362"/>
      <c r="I220" s="362"/>
      <c r="J220" s="362"/>
      <c r="K220" s="362"/>
      <c r="L220" s="363"/>
      <c r="M220" s="82" t="s">
        <v>104</v>
      </c>
      <c r="N220" s="28" t="s">
        <v>105</v>
      </c>
      <c r="O220" s="122" t="s">
        <v>106</v>
      </c>
      <c r="P220" s="28" t="s">
        <v>107</v>
      </c>
      <c r="Q220" s="28" t="s">
        <v>108</v>
      </c>
      <c r="R220" s="122" t="s">
        <v>109</v>
      </c>
      <c r="S220" s="32" t="s">
        <v>25</v>
      </c>
      <c r="T220" s="33" t="s">
        <v>26</v>
      </c>
    </row>
    <row r="221" spans="1:21" ht="11.25">
      <c r="A221" s="370"/>
      <c r="B221" s="371"/>
      <c r="C221" s="367"/>
      <c r="D221" s="368"/>
      <c r="E221" s="368"/>
      <c r="F221" s="368"/>
      <c r="G221" s="368"/>
      <c r="H221" s="368"/>
      <c r="I221" s="368"/>
      <c r="J221" s="368"/>
      <c r="K221" s="369"/>
      <c r="L221" s="115" t="s">
        <v>12</v>
      </c>
      <c r="M221" s="3">
        <v>329505.6</v>
      </c>
      <c r="N221" s="3"/>
      <c r="O221" s="123"/>
      <c r="P221" s="83"/>
      <c r="Q221" s="3"/>
      <c r="R221" s="123"/>
      <c r="S221" s="49"/>
      <c r="T221" s="49"/>
      <c r="U221" s="29"/>
    </row>
    <row r="222" spans="1:21" ht="11.25">
      <c r="A222" s="370"/>
      <c r="B222" s="371"/>
      <c r="C222" s="44"/>
      <c r="D222" s="43"/>
      <c r="E222" s="43"/>
      <c r="F222" s="43"/>
      <c r="G222" s="43"/>
      <c r="H222" s="43"/>
      <c r="I222" s="43"/>
      <c r="J222" s="43"/>
      <c r="K222" s="4"/>
      <c r="L222" s="108" t="s">
        <v>28</v>
      </c>
      <c r="M222" s="4"/>
      <c r="N222" s="4"/>
      <c r="O222" s="124"/>
      <c r="P222" s="4"/>
      <c r="Q222" s="4"/>
      <c r="R222" s="124"/>
      <c r="S222" s="50">
        <f aca="true" t="shared" si="60" ref="S222:S230">R222*0.375</f>
        <v>0</v>
      </c>
      <c r="T222" s="5">
        <f aca="true" t="shared" si="61" ref="T222:T227">R222-S222</f>
        <v>0</v>
      </c>
      <c r="U222" s="29"/>
    </row>
    <row r="223" spans="1:21" ht="11.25">
      <c r="A223" s="370"/>
      <c r="B223" s="371"/>
      <c r="C223" s="44"/>
      <c r="D223" s="43"/>
      <c r="E223" s="43"/>
      <c r="F223" s="43"/>
      <c r="G223" s="43"/>
      <c r="H223" s="43"/>
      <c r="I223" s="43"/>
      <c r="J223" s="43"/>
      <c r="K223" s="45"/>
      <c r="L223" s="113" t="s">
        <v>29</v>
      </c>
      <c r="M223" s="4">
        <v>0</v>
      </c>
      <c r="N223" s="4"/>
      <c r="O223" s="124"/>
      <c r="P223" s="4"/>
      <c r="Q223" s="4"/>
      <c r="R223" s="124">
        <v>0</v>
      </c>
      <c r="S223" s="50">
        <f t="shared" si="60"/>
        <v>0</v>
      </c>
      <c r="T223" s="5">
        <f t="shared" si="61"/>
        <v>0</v>
      </c>
      <c r="U223" s="29"/>
    </row>
    <row r="224" spans="1:21" ht="11.25">
      <c r="A224" s="370"/>
      <c r="B224" s="371"/>
      <c r="C224" s="44"/>
      <c r="D224" s="43"/>
      <c r="E224" s="43"/>
      <c r="F224" s="43"/>
      <c r="G224" s="43"/>
      <c r="H224" s="43"/>
      <c r="I224" s="43"/>
      <c r="J224" s="43"/>
      <c r="K224" s="45"/>
      <c r="L224" s="113" t="s">
        <v>121</v>
      </c>
      <c r="M224" s="4"/>
      <c r="N224" s="4"/>
      <c r="O224" s="124"/>
      <c r="P224" s="4"/>
      <c r="Q224" s="4"/>
      <c r="R224" s="124"/>
      <c r="S224" s="50">
        <f t="shared" si="60"/>
        <v>0</v>
      </c>
      <c r="T224" s="5">
        <f t="shared" si="61"/>
        <v>0</v>
      </c>
      <c r="U224" s="29"/>
    </row>
    <row r="225" spans="1:21" ht="11.25">
      <c r="A225" s="370"/>
      <c r="B225" s="371"/>
      <c r="C225" s="44"/>
      <c r="D225" s="43"/>
      <c r="E225" s="43"/>
      <c r="F225" s="43"/>
      <c r="G225" s="43"/>
      <c r="H225" s="43"/>
      <c r="I225" s="43"/>
      <c r="J225" s="43"/>
      <c r="K225" s="45"/>
      <c r="L225" s="113" t="s">
        <v>232</v>
      </c>
      <c r="M225" s="4"/>
      <c r="N225" s="4"/>
      <c r="O225" s="124"/>
      <c r="P225" s="4"/>
      <c r="Q225" s="4"/>
      <c r="R225" s="124"/>
      <c r="S225" s="50">
        <f t="shared" si="60"/>
        <v>0</v>
      </c>
      <c r="T225" s="5">
        <f t="shared" si="61"/>
        <v>0</v>
      </c>
      <c r="U225" s="29"/>
    </row>
    <row r="226" spans="1:21" ht="11.25">
      <c r="A226" s="370"/>
      <c r="B226" s="371"/>
      <c r="C226" s="44"/>
      <c r="D226" s="43"/>
      <c r="E226" s="43"/>
      <c r="F226" s="43"/>
      <c r="G226" s="43"/>
      <c r="H226" s="43"/>
      <c r="I226" s="43"/>
      <c r="J226" s="43"/>
      <c r="K226" s="45"/>
      <c r="L226" s="113" t="s">
        <v>362</v>
      </c>
      <c r="M226" s="4"/>
      <c r="N226" s="4"/>
      <c r="O226" s="124"/>
      <c r="P226" s="4"/>
      <c r="Q226" s="4"/>
      <c r="R226" s="124"/>
      <c r="S226" s="50">
        <f t="shared" si="60"/>
        <v>0</v>
      </c>
      <c r="T226" s="5">
        <f t="shared" si="61"/>
        <v>0</v>
      </c>
      <c r="U226" s="29"/>
    </row>
    <row r="227" spans="1:21" ht="11.25">
      <c r="A227" s="370"/>
      <c r="B227" s="371"/>
      <c r="C227" s="44"/>
      <c r="D227" s="43"/>
      <c r="E227" s="43"/>
      <c r="F227" s="43"/>
      <c r="G227" s="43"/>
      <c r="H227" s="43"/>
      <c r="I227" s="43"/>
      <c r="J227" s="43"/>
      <c r="K227" s="45"/>
      <c r="L227" s="113" t="s">
        <v>426</v>
      </c>
      <c r="M227" s="4">
        <f>SUM(M234:M236)</f>
        <v>22900</v>
      </c>
      <c r="N227" s="4">
        <f>SUM(N234:N236)</f>
        <v>4580</v>
      </c>
      <c r="O227" s="124">
        <f>+N227+M227</f>
        <v>27480</v>
      </c>
      <c r="P227" s="4">
        <f>SUM(P234:P236)</f>
        <v>14885</v>
      </c>
      <c r="Q227" s="4">
        <f>SUM(Q234:Q236)</f>
        <v>2977</v>
      </c>
      <c r="R227" s="124">
        <f>+Q227+P227</f>
        <v>17862</v>
      </c>
      <c r="S227" s="50">
        <f t="shared" si="60"/>
        <v>6698.25</v>
      </c>
      <c r="T227" s="5">
        <f t="shared" si="61"/>
        <v>11163.75</v>
      </c>
      <c r="U227" s="29"/>
    </row>
    <row r="228" spans="1:21" ht="11.25">
      <c r="A228" s="370"/>
      <c r="B228" s="371"/>
      <c r="C228" s="44"/>
      <c r="D228" s="43"/>
      <c r="E228" s="43"/>
      <c r="F228" s="43"/>
      <c r="G228" s="43"/>
      <c r="H228" s="43"/>
      <c r="I228" s="43"/>
      <c r="J228" s="43"/>
      <c r="K228" s="45"/>
      <c r="L228" s="113" t="s">
        <v>569</v>
      </c>
      <c r="M228" s="4"/>
      <c r="N228" s="4"/>
      <c r="O228" s="124"/>
      <c r="P228" s="4"/>
      <c r="Q228" s="4"/>
      <c r="R228" s="124"/>
      <c r="S228" s="50">
        <f t="shared" si="60"/>
        <v>0</v>
      </c>
      <c r="T228" s="5">
        <f>R228-S228</f>
        <v>0</v>
      </c>
      <c r="U228" s="29"/>
    </row>
    <row r="229" spans="1:21" ht="11.25">
      <c r="A229" s="370"/>
      <c r="B229" s="371"/>
      <c r="C229" s="44"/>
      <c r="D229" s="43"/>
      <c r="E229" s="43"/>
      <c r="F229" s="43"/>
      <c r="G229" s="43"/>
      <c r="H229" s="43"/>
      <c r="I229" s="43"/>
      <c r="J229" s="43"/>
      <c r="K229" s="45"/>
      <c r="L229" s="113" t="s">
        <v>597</v>
      </c>
      <c r="M229" s="4">
        <f>+M237+M238</f>
        <v>4450</v>
      </c>
      <c r="N229" s="4">
        <f>+N237+N238</f>
        <v>890</v>
      </c>
      <c r="O229" s="124">
        <f>+N229+M229</f>
        <v>5340</v>
      </c>
      <c r="P229" s="4">
        <f>+P237+P238</f>
        <v>2892.5</v>
      </c>
      <c r="Q229" s="4">
        <f>+Q237+Q238</f>
        <v>578.5</v>
      </c>
      <c r="R229" s="124">
        <f>+Q229+P229</f>
        <v>3471</v>
      </c>
      <c r="S229" s="50">
        <f t="shared" si="60"/>
        <v>1301.625</v>
      </c>
      <c r="T229" s="5">
        <f>R229-S229</f>
        <v>2169.375</v>
      </c>
      <c r="U229" s="29"/>
    </row>
    <row r="230" spans="1:21" ht="11.25">
      <c r="A230" s="370"/>
      <c r="B230" s="371"/>
      <c r="C230" s="44"/>
      <c r="D230" s="43"/>
      <c r="E230" s="43"/>
      <c r="F230" s="43"/>
      <c r="G230" s="43"/>
      <c r="H230" s="43"/>
      <c r="I230" s="43"/>
      <c r="J230" s="43"/>
      <c r="K230" s="45"/>
      <c r="L230" s="113" t="s">
        <v>616</v>
      </c>
      <c r="M230" s="4">
        <f>+M239</f>
        <v>4100</v>
      </c>
      <c r="N230" s="4">
        <f>+N239</f>
        <v>820</v>
      </c>
      <c r="O230" s="124">
        <f>+N230+M230</f>
        <v>4920</v>
      </c>
      <c r="P230" s="4">
        <f>+P239</f>
        <v>2665</v>
      </c>
      <c r="Q230" s="4">
        <f>+Q239</f>
        <v>533</v>
      </c>
      <c r="R230" s="124">
        <f>+Q230+P230</f>
        <v>3198</v>
      </c>
      <c r="S230" s="50">
        <f t="shared" si="60"/>
        <v>1199.25</v>
      </c>
      <c r="T230" s="5">
        <f>R230-S230</f>
        <v>1998.75</v>
      </c>
      <c r="U230" s="29"/>
    </row>
    <row r="231" spans="1:21" ht="11.25">
      <c r="A231" s="370"/>
      <c r="B231" s="371"/>
      <c r="C231" s="44"/>
      <c r="D231" s="43"/>
      <c r="E231" s="43"/>
      <c r="F231" s="43"/>
      <c r="G231" s="43"/>
      <c r="H231" s="43"/>
      <c r="I231" s="43"/>
      <c r="J231" s="43"/>
      <c r="K231" s="45"/>
      <c r="L231" s="113" t="s">
        <v>728</v>
      </c>
      <c r="M231" s="4">
        <f>SUM(M240:M252)</f>
        <v>243138</v>
      </c>
      <c r="N231" s="4">
        <f>SUM(N240:N252)</f>
        <v>48627.600000000006</v>
      </c>
      <c r="O231" s="124">
        <f>+N231+M231</f>
        <v>291765.6</v>
      </c>
      <c r="P231" s="4">
        <f>SUM(P240:P252)</f>
        <v>158039.7</v>
      </c>
      <c r="Q231" s="4">
        <f>SUM(Q240:Q252)</f>
        <v>31607.939999999995</v>
      </c>
      <c r="R231" s="124">
        <f>+Q231+P231</f>
        <v>189647.64</v>
      </c>
      <c r="S231" s="50"/>
      <c r="T231" s="5">
        <f>R231-S231</f>
        <v>189647.64</v>
      </c>
      <c r="U231" s="29"/>
    </row>
    <row r="232" spans="1:21" ht="11.25">
      <c r="A232" s="372"/>
      <c r="B232" s="373"/>
      <c r="C232" s="364"/>
      <c r="D232" s="365"/>
      <c r="E232" s="365"/>
      <c r="F232" s="365"/>
      <c r="G232" s="365"/>
      <c r="H232" s="365"/>
      <c r="I232" s="365"/>
      <c r="J232" s="365"/>
      <c r="K232" s="366"/>
      <c r="L232" s="109" t="s">
        <v>13</v>
      </c>
      <c r="M232" s="6">
        <f>M221-M222-M223-M224-M225-M226-M227-M228-M229-M230-M231</f>
        <v>54917.59999999998</v>
      </c>
      <c r="N232" s="6"/>
      <c r="O232" s="6"/>
      <c r="P232" s="6"/>
      <c r="Q232" s="6"/>
      <c r="R232" s="6"/>
      <c r="S232" s="1"/>
      <c r="T232" s="1"/>
      <c r="U232" s="29"/>
    </row>
    <row r="233" spans="1:20" ht="22.5">
      <c r="A233" s="7" t="s">
        <v>14</v>
      </c>
      <c r="B233" s="7" t="s">
        <v>11</v>
      </c>
      <c r="C233" s="34" t="s">
        <v>24</v>
      </c>
      <c r="D233" s="34" t="s">
        <v>20</v>
      </c>
      <c r="E233" s="41" t="s">
        <v>2</v>
      </c>
      <c r="F233" s="34" t="s">
        <v>19</v>
      </c>
      <c r="G233" s="34" t="s">
        <v>18</v>
      </c>
      <c r="H233" s="41" t="s">
        <v>17</v>
      </c>
      <c r="I233" s="41" t="s">
        <v>16</v>
      </c>
      <c r="J233" s="34" t="s">
        <v>3</v>
      </c>
      <c r="K233" s="34" t="s">
        <v>4</v>
      </c>
      <c r="L233" s="110" t="s">
        <v>5</v>
      </c>
      <c r="M233" s="7" t="s">
        <v>21</v>
      </c>
      <c r="N233" s="7" t="s">
        <v>85</v>
      </c>
      <c r="O233" s="110" t="s">
        <v>87</v>
      </c>
      <c r="P233" s="7" t="s">
        <v>22</v>
      </c>
      <c r="Q233" s="7" t="s">
        <v>88</v>
      </c>
      <c r="R233" s="110" t="s">
        <v>86</v>
      </c>
      <c r="S233" s="309" t="s">
        <v>27</v>
      </c>
      <c r="T233" s="309"/>
    </row>
    <row r="234" spans="1:20" ht="22.5">
      <c r="A234" s="58" t="s">
        <v>455</v>
      </c>
      <c r="B234" s="8"/>
      <c r="C234" s="67" t="s">
        <v>124</v>
      </c>
      <c r="D234" s="16" t="s">
        <v>506</v>
      </c>
      <c r="E234" s="8" t="s">
        <v>507</v>
      </c>
      <c r="F234" s="8">
        <v>9</v>
      </c>
      <c r="G234" s="17">
        <v>38839</v>
      </c>
      <c r="H234" s="18">
        <v>38901</v>
      </c>
      <c r="I234" s="19" t="s">
        <v>508</v>
      </c>
      <c r="J234" s="12">
        <v>8000</v>
      </c>
      <c r="K234" s="12">
        <v>1600</v>
      </c>
      <c r="L234" s="116">
        <f>J234+K234</f>
        <v>9600</v>
      </c>
      <c r="M234" s="12">
        <v>8000</v>
      </c>
      <c r="N234" s="12">
        <v>1600</v>
      </c>
      <c r="O234" s="116">
        <f>M234+N234</f>
        <v>9600</v>
      </c>
      <c r="P234" s="12">
        <f aca="true" t="shared" si="62" ref="P234:Q236">+M234*0.65</f>
        <v>5200</v>
      </c>
      <c r="Q234" s="12">
        <f t="shared" si="62"/>
        <v>1040</v>
      </c>
      <c r="R234" s="111">
        <f aca="true" t="shared" si="63" ref="R234:R239">+Q234+P234</f>
        <v>6240</v>
      </c>
      <c r="S234" s="304"/>
      <c r="T234" s="304"/>
    </row>
    <row r="235" spans="1:20" ht="22.5">
      <c r="A235" s="58" t="s">
        <v>455</v>
      </c>
      <c r="B235" s="8"/>
      <c r="C235" s="67" t="s">
        <v>124</v>
      </c>
      <c r="D235" s="16" t="s">
        <v>506</v>
      </c>
      <c r="E235" s="8" t="s">
        <v>507</v>
      </c>
      <c r="F235" s="8">
        <v>10</v>
      </c>
      <c r="G235" s="17">
        <v>38839</v>
      </c>
      <c r="H235" s="18">
        <v>38901</v>
      </c>
      <c r="I235" s="19" t="s">
        <v>508</v>
      </c>
      <c r="J235" s="12">
        <v>7900</v>
      </c>
      <c r="K235" s="12">
        <v>1580</v>
      </c>
      <c r="L235" s="116">
        <f>J235+K235</f>
        <v>9480</v>
      </c>
      <c r="M235" s="12">
        <v>7900</v>
      </c>
      <c r="N235" s="12">
        <v>1580</v>
      </c>
      <c r="O235" s="116">
        <f>M235+N235</f>
        <v>9480</v>
      </c>
      <c r="P235" s="12">
        <f t="shared" si="62"/>
        <v>5135</v>
      </c>
      <c r="Q235" s="12">
        <f t="shared" si="62"/>
        <v>1027</v>
      </c>
      <c r="R235" s="111">
        <f t="shared" si="63"/>
        <v>6162</v>
      </c>
      <c r="S235" s="304"/>
      <c r="T235" s="304"/>
    </row>
    <row r="236" spans="1:20" ht="22.5">
      <c r="A236" s="58" t="s">
        <v>455</v>
      </c>
      <c r="B236" s="8"/>
      <c r="C236" s="67" t="s">
        <v>124</v>
      </c>
      <c r="D236" s="16" t="s">
        <v>506</v>
      </c>
      <c r="E236" s="8" t="s">
        <v>507</v>
      </c>
      <c r="F236" s="8">
        <v>11</v>
      </c>
      <c r="G236" s="17">
        <v>38839</v>
      </c>
      <c r="H236" s="18">
        <v>38901</v>
      </c>
      <c r="I236" s="19" t="s">
        <v>508</v>
      </c>
      <c r="J236" s="12">
        <v>7000</v>
      </c>
      <c r="K236" s="12">
        <v>1400</v>
      </c>
      <c r="L236" s="116">
        <f>J236+K236</f>
        <v>8400</v>
      </c>
      <c r="M236" s="12">
        <v>7000</v>
      </c>
      <c r="N236" s="12">
        <v>1400</v>
      </c>
      <c r="O236" s="116">
        <f>M236+N236</f>
        <v>8400</v>
      </c>
      <c r="P236" s="12">
        <f t="shared" si="62"/>
        <v>4550</v>
      </c>
      <c r="Q236" s="12">
        <f t="shared" si="62"/>
        <v>910</v>
      </c>
      <c r="R236" s="111">
        <f t="shared" si="63"/>
        <v>5460</v>
      </c>
      <c r="S236" s="304"/>
      <c r="T236" s="304"/>
    </row>
    <row r="237" spans="1:20" ht="36" customHeight="1">
      <c r="A237" s="58" t="s">
        <v>594</v>
      </c>
      <c r="B237" s="8"/>
      <c r="C237" s="67" t="s">
        <v>124</v>
      </c>
      <c r="D237" s="16" t="s">
        <v>599</v>
      </c>
      <c r="E237" s="8" t="s">
        <v>600</v>
      </c>
      <c r="F237" s="8">
        <v>38</v>
      </c>
      <c r="G237" s="17">
        <v>38791</v>
      </c>
      <c r="H237" s="18">
        <v>38868</v>
      </c>
      <c r="I237" s="19" t="s">
        <v>601</v>
      </c>
      <c r="J237" s="12">
        <v>250</v>
      </c>
      <c r="K237" s="12">
        <v>50</v>
      </c>
      <c r="L237" s="116">
        <v>300</v>
      </c>
      <c r="M237" s="12">
        <v>250</v>
      </c>
      <c r="N237" s="12">
        <v>50</v>
      </c>
      <c r="O237" s="116">
        <v>300</v>
      </c>
      <c r="P237" s="12">
        <f aca="true" t="shared" si="64" ref="P237:Q239">+M237*0.65</f>
        <v>162.5</v>
      </c>
      <c r="Q237" s="12">
        <f t="shared" si="64"/>
        <v>32.5</v>
      </c>
      <c r="R237" s="111">
        <f t="shared" si="63"/>
        <v>195</v>
      </c>
      <c r="S237" s="169"/>
      <c r="T237" s="170"/>
    </row>
    <row r="238" spans="1:20" ht="36" customHeight="1">
      <c r="A238" s="58" t="s">
        <v>594</v>
      </c>
      <c r="B238" s="8"/>
      <c r="C238" s="67" t="s">
        <v>40</v>
      </c>
      <c r="D238" s="229" t="s">
        <v>680</v>
      </c>
      <c r="E238" s="230" t="s">
        <v>463</v>
      </c>
      <c r="F238" s="230" t="s">
        <v>465</v>
      </c>
      <c r="G238" s="231">
        <v>38791</v>
      </c>
      <c r="H238" s="248" t="s">
        <v>612</v>
      </c>
      <c r="I238" s="248" t="s">
        <v>613</v>
      </c>
      <c r="J238" s="232">
        <v>4200</v>
      </c>
      <c r="K238" s="232">
        <f>+J238*0.2</f>
        <v>840</v>
      </c>
      <c r="L238" s="247">
        <f>+K238+J238</f>
        <v>5040</v>
      </c>
      <c r="M238" s="232">
        <v>4200</v>
      </c>
      <c r="N238" s="232">
        <f>+M238*0.2</f>
        <v>840</v>
      </c>
      <c r="O238" s="247">
        <f>+N238+M238</f>
        <v>5040</v>
      </c>
      <c r="P238" s="31">
        <f t="shared" si="64"/>
        <v>2730</v>
      </c>
      <c r="Q238" s="31">
        <f t="shared" si="64"/>
        <v>546</v>
      </c>
      <c r="R238" s="111">
        <f t="shared" si="63"/>
        <v>3276</v>
      </c>
      <c r="S238" s="169"/>
      <c r="T238" s="170"/>
    </row>
    <row r="239" spans="1:20" ht="36" customHeight="1">
      <c r="A239" s="58" t="s">
        <v>617</v>
      </c>
      <c r="B239" s="8"/>
      <c r="C239" s="67" t="s">
        <v>124</v>
      </c>
      <c r="D239" s="16" t="s">
        <v>653</v>
      </c>
      <c r="E239" s="8" t="s">
        <v>654</v>
      </c>
      <c r="F239" s="8" t="s">
        <v>655</v>
      </c>
      <c r="G239" s="17">
        <v>39394</v>
      </c>
      <c r="H239" s="18">
        <v>39428</v>
      </c>
      <c r="I239" s="19" t="s">
        <v>601</v>
      </c>
      <c r="J239" s="12">
        <v>4100</v>
      </c>
      <c r="K239" s="12">
        <v>820</v>
      </c>
      <c r="L239" s="116">
        <v>4920</v>
      </c>
      <c r="M239" s="12">
        <v>4100</v>
      </c>
      <c r="N239" s="12">
        <v>820</v>
      </c>
      <c r="O239" s="247">
        <f>+N239+M239</f>
        <v>4920</v>
      </c>
      <c r="P239" s="31">
        <f t="shared" si="64"/>
        <v>2665</v>
      </c>
      <c r="Q239" s="31">
        <f t="shared" si="64"/>
        <v>533</v>
      </c>
      <c r="R239" s="111">
        <f t="shared" si="63"/>
        <v>3198</v>
      </c>
      <c r="S239" s="169"/>
      <c r="T239" s="170"/>
    </row>
    <row r="240" spans="1:20" ht="78.75">
      <c r="A240" s="58" t="s">
        <v>703</v>
      </c>
      <c r="B240" s="8"/>
      <c r="C240" s="67" t="s">
        <v>40</v>
      </c>
      <c r="D240" s="16" t="s">
        <v>711</v>
      </c>
      <c r="E240" s="8" t="s">
        <v>706</v>
      </c>
      <c r="F240" s="8" t="s">
        <v>712</v>
      </c>
      <c r="G240" s="17">
        <v>39566</v>
      </c>
      <c r="H240" s="18"/>
      <c r="I240" s="19"/>
      <c r="J240" s="12">
        <v>33600</v>
      </c>
      <c r="K240" s="12">
        <v>6720</v>
      </c>
      <c r="L240" s="116">
        <v>40320</v>
      </c>
      <c r="M240" s="12">
        <v>33600</v>
      </c>
      <c r="N240" s="12">
        <v>6720</v>
      </c>
      <c r="O240" s="247">
        <f>+N240+M240</f>
        <v>40320</v>
      </c>
      <c r="P240" s="31">
        <f>+M240*0.65</f>
        <v>21840</v>
      </c>
      <c r="Q240" s="31">
        <f>+N240*0.65</f>
        <v>4368</v>
      </c>
      <c r="R240" s="111">
        <f>+Q240+P240</f>
        <v>26208</v>
      </c>
      <c r="S240" s="169"/>
      <c r="T240" s="170"/>
    </row>
    <row r="241" spans="1:20" ht="78.75">
      <c r="A241" s="58" t="s">
        <v>703</v>
      </c>
      <c r="B241" s="8"/>
      <c r="C241" s="67" t="s">
        <v>40</v>
      </c>
      <c r="D241" s="16" t="s">
        <v>713</v>
      </c>
      <c r="E241" s="8" t="s">
        <v>706</v>
      </c>
      <c r="F241" s="8" t="s">
        <v>714</v>
      </c>
      <c r="G241" s="17">
        <v>39566</v>
      </c>
      <c r="H241" s="18"/>
      <c r="I241" s="19"/>
      <c r="J241" s="12">
        <v>37500</v>
      </c>
      <c r="K241" s="12">
        <v>7500</v>
      </c>
      <c r="L241" s="116">
        <v>45000</v>
      </c>
      <c r="M241" s="12">
        <v>37500</v>
      </c>
      <c r="N241" s="12">
        <v>7500</v>
      </c>
      <c r="O241" s="247">
        <f>+N241+M241</f>
        <v>45000</v>
      </c>
      <c r="P241" s="31">
        <f>+M241*0.65</f>
        <v>24375</v>
      </c>
      <c r="Q241" s="31">
        <f>+N241*0.65</f>
        <v>4875</v>
      </c>
      <c r="R241" s="111">
        <f>+Q241+P241</f>
        <v>29250</v>
      </c>
      <c r="S241" s="169"/>
      <c r="T241" s="170"/>
    </row>
    <row r="242" spans="1:20" ht="67.5">
      <c r="A242" s="58" t="s">
        <v>703</v>
      </c>
      <c r="B242" s="8"/>
      <c r="C242" s="67" t="s">
        <v>40</v>
      </c>
      <c r="D242" s="16" t="s">
        <v>715</v>
      </c>
      <c r="E242" s="8" t="s">
        <v>706</v>
      </c>
      <c r="F242" s="8" t="s">
        <v>716</v>
      </c>
      <c r="G242" s="17">
        <v>39566</v>
      </c>
      <c r="H242" s="18"/>
      <c r="I242" s="19"/>
      <c r="J242" s="12">
        <v>125000</v>
      </c>
      <c r="K242" s="12">
        <v>25000</v>
      </c>
      <c r="L242" s="116">
        <v>150000</v>
      </c>
      <c r="M242" s="12">
        <v>125000</v>
      </c>
      <c r="N242" s="12">
        <v>25000</v>
      </c>
      <c r="O242" s="247">
        <f>+N242+M242</f>
        <v>150000</v>
      </c>
      <c r="P242" s="31">
        <f>+M242*0.65</f>
        <v>81250</v>
      </c>
      <c r="Q242" s="31">
        <f>+N242*0.65</f>
        <v>16250</v>
      </c>
      <c r="R242" s="111">
        <f>+Q242+P242</f>
        <v>97500</v>
      </c>
      <c r="S242" s="169"/>
      <c r="T242" s="170"/>
    </row>
    <row r="243" spans="1:20" ht="33.75">
      <c r="A243" s="58" t="s">
        <v>703</v>
      </c>
      <c r="B243" s="8"/>
      <c r="C243" s="67" t="s">
        <v>42</v>
      </c>
      <c r="D243" s="16" t="s">
        <v>737</v>
      </c>
      <c r="E243" s="8" t="s">
        <v>738</v>
      </c>
      <c r="F243" s="8">
        <v>502</v>
      </c>
      <c r="G243" s="17">
        <v>38637</v>
      </c>
      <c r="H243" s="18">
        <v>38964</v>
      </c>
      <c r="I243" s="19" t="s">
        <v>328</v>
      </c>
      <c r="J243" s="12">
        <v>5450</v>
      </c>
      <c r="K243" s="12">
        <v>1090</v>
      </c>
      <c r="L243" s="116">
        <v>6540</v>
      </c>
      <c r="M243" s="12">
        <v>5450</v>
      </c>
      <c r="N243" s="12">
        <v>1090</v>
      </c>
      <c r="O243" s="247">
        <f>+N243+M243</f>
        <v>6540</v>
      </c>
      <c r="P243" s="31">
        <f>+M243*0.65</f>
        <v>3542.5</v>
      </c>
      <c r="Q243" s="31">
        <f>+N243*0.65</f>
        <v>708.5</v>
      </c>
      <c r="R243" s="111">
        <f>+Q243+P243</f>
        <v>4251</v>
      </c>
      <c r="S243" s="169"/>
      <c r="T243" s="170"/>
    </row>
    <row r="244" spans="1:20" ht="33.75">
      <c r="A244" s="58" t="s">
        <v>703</v>
      </c>
      <c r="B244" s="8"/>
      <c r="C244" s="67" t="s">
        <v>42</v>
      </c>
      <c r="D244" s="16" t="s">
        <v>737</v>
      </c>
      <c r="E244" s="8" t="s">
        <v>738</v>
      </c>
      <c r="F244" s="8">
        <v>31</v>
      </c>
      <c r="G244" s="17">
        <v>38742</v>
      </c>
      <c r="H244" s="18">
        <v>38964</v>
      </c>
      <c r="I244" s="19" t="s">
        <v>328</v>
      </c>
      <c r="J244" s="12">
        <v>4500</v>
      </c>
      <c r="K244" s="12">
        <v>900</v>
      </c>
      <c r="L244" s="116">
        <v>5400</v>
      </c>
      <c r="M244" s="12">
        <v>4500</v>
      </c>
      <c r="N244" s="12">
        <v>900</v>
      </c>
      <c r="O244" s="247">
        <f aca="true" t="shared" si="65" ref="O244:O252">+N244+M244</f>
        <v>5400</v>
      </c>
      <c r="P244" s="31">
        <f aca="true" t="shared" si="66" ref="P244:P252">+M244*0.65</f>
        <v>2925</v>
      </c>
      <c r="Q244" s="31">
        <f aca="true" t="shared" si="67" ref="Q244:Q252">+N244*0.65</f>
        <v>585</v>
      </c>
      <c r="R244" s="111">
        <f aca="true" t="shared" si="68" ref="R244:R252">+Q244+P244</f>
        <v>3510</v>
      </c>
      <c r="S244" s="169"/>
      <c r="T244" s="170"/>
    </row>
    <row r="245" spans="1:20" ht="33.75">
      <c r="A245" s="58" t="s">
        <v>703</v>
      </c>
      <c r="B245" s="8"/>
      <c r="C245" s="67" t="s">
        <v>42</v>
      </c>
      <c r="D245" s="16" t="s">
        <v>737</v>
      </c>
      <c r="E245" s="8" t="s">
        <v>738</v>
      </c>
      <c r="F245" s="8">
        <v>171</v>
      </c>
      <c r="G245" s="17">
        <v>38828</v>
      </c>
      <c r="H245" s="18">
        <v>38964</v>
      </c>
      <c r="I245" s="19" t="s">
        <v>328</v>
      </c>
      <c r="J245" s="12">
        <v>4500</v>
      </c>
      <c r="K245" s="12">
        <v>900</v>
      </c>
      <c r="L245" s="116">
        <v>5400</v>
      </c>
      <c r="M245" s="12">
        <v>4500</v>
      </c>
      <c r="N245" s="12">
        <v>900</v>
      </c>
      <c r="O245" s="247">
        <f t="shared" si="65"/>
        <v>5400</v>
      </c>
      <c r="P245" s="31">
        <f t="shared" si="66"/>
        <v>2925</v>
      </c>
      <c r="Q245" s="31">
        <f t="shared" si="67"/>
        <v>585</v>
      </c>
      <c r="R245" s="111">
        <f t="shared" si="68"/>
        <v>3510</v>
      </c>
      <c r="S245" s="169"/>
      <c r="T245" s="170"/>
    </row>
    <row r="246" spans="1:20" ht="33.75">
      <c r="A246" s="58" t="s">
        <v>703</v>
      </c>
      <c r="B246" s="8"/>
      <c r="C246" s="67" t="s">
        <v>42</v>
      </c>
      <c r="D246" s="16" t="s">
        <v>737</v>
      </c>
      <c r="E246" s="8" t="s">
        <v>738</v>
      </c>
      <c r="F246" s="8">
        <v>378</v>
      </c>
      <c r="G246" s="17">
        <v>38911</v>
      </c>
      <c r="H246" s="18">
        <v>38964</v>
      </c>
      <c r="I246" s="19" t="s">
        <v>328</v>
      </c>
      <c r="J246" s="12">
        <v>4500</v>
      </c>
      <c r="K246" s="12">
        <v>900</v>
      </c>
      <c r="L246" s="116">
        <v>5400</v>
      </c>
      <c r="M246" s="12">
        <v>4500</v>
      </c>
      <c r="N246" s="12">
        <v>900</v>
      </c>
      <c r="O246" s="247">
        <f t="shared" si="65"/>
        <v>5400</v>
      </c>
      <c r="P246" s="31">
        <f t="shared" si="66"/>
        <v>2925</v>
      </c>
      <c r="Q246" s="31">
        <f t="shared" si="67"/>
        <v>585</v>
      </c>
      <c r="R246" s="111">
        <f t="shared" si="68"/>
        <v>3510</v>
      </c>
      <c r="S246" s="169"/>
      <c r="T246" s="170"/>
    </row>
    <row r="247" spans="1:20" ht="33.75">
      <c r="A247" s="58" t="s">
        <v>703</v>
      </c>
      <c r="B247" s="8"/>
      <c r="C247" s="67" t="s">
        <v>42</v>
      </c>
      <c r="D247" s="16" t="s">
        <v>737</v>
      </c>
      <c r="E247" s="8" t="s">
        <v>738</v>
      </c>
      <c r="F247" s="8">
        <v>9</v>
      </c>
      <c r="G247" s="17">
        <v>39104</v>
      </c>
      <c r="H247" s="18">
        <v>39126</v>
      </c>
      <c r="I247" s="19" t="s">
        <v>328</v>
      </c>
      <c r="J247" s="12">
        <v>4500</v>
      </c>
      <c r="K247" s="12">
        <v>900</v>
      </c>
      <c r="L247" s="116">
        <v>5400</v>
      </c>
      <c r="M247" s="12">
        <v>4500</v>
      </c>
      <c r="N247" s="12">
        <v>900</v>
      </c>
      <c r="O247" s="247">
        <f t="shared" si="65"/>
        <v>5400</v>
      </c>
      <c r="P247" s="31">
        <f t="shared" si="66"/>
        <v>2925</v>
      </c>
      <c r="Q247" s="31">
        <f t="shared" si="67"/>
        <v>585</v>
      </c>
      <c r="R247" s="111">
        <f t="shared" si="68"/>
        <v>3510</v>
      </c>
      <c r="S247" s="169"/>
      <c r="T247" s="170"/>
    </row>
    <row r="248" spans="1:20" ht="33.75">
      <c r="A248" s="58" t="s">
        <v>703</v>
      </c>
      <c r="B248" s="8"/>
      <c r="C248" s="67" t="s">
        <v>42</v>
      </c>
      <c r="D248" s="16" t="s">
        <v>737</v>
      </c>
      <c r="E248" s="8" t="s">
        <v>738</v>
      </c>
      <c r="F248" s="8">
        <v>113</v>
      </c>
      <c r="G248" s="17">
        <v>39191</v>
      </c>
      <c r="H248" s="18">
        <v>39237</v>
      </c>
      <c r="I248" s="19" t="s">
        <v>328</v>
      </c>
      <c r="J248" s="12">
        <v>4770</v>
      </c>
      <c r="K248" s="12">
        <v>954</v>
      </c>
      <c r="L248" s="116">
        <v>5724</v>
      </c>
      <c r="M248" s="12">
        <v>4770</v>
      </c>
      <c r="N248" s="12">
        <v>954</v>
      </c>
      <c r="O248" s="247">
        <f t="shared" si="65"/>
        <v>5724</v>
      </c>
      <c r="P248" s="31">
        <f t="shared" si="66"/>
        <v>3100.5</v>
      </c>
      <c r="Q248" s="31">
        <f t="shared" si="67"/>
        <v>620.1</v>
      </c>
      <c r="R248" s="111">
        <f t="shared" si="68"/>
        <v>3720.6</v>
      </c>
      <c r="S248" s="169"/>
      <c r="T248" s="170"/>
    </row>
    <row r="249" spans="1:20" ht="33.75">
      <c r="A249" s="58" t="s">
        <v>703</v>
      </c>
      <c r="B249" s="8"/>
      <c r="C249" s="67" t="s">
        <v>42</v>
      </c>
      <c r="D249" s="16" t="s">
        <v>737</v>
      </c>
      <c r="E249" s="8" t="s">
        <v>738</v>
      </c>
      <c r="F249" s="8">
        <v>339</v>
      </c>
      <c r="G249" s="17">
        <v>39281</v>
      </c>
      <c r="H249" s="18">
        <v>39325</v>
      </c>
      <c r="I249" s="19" t="s">
        <v>328</v>
      </c>
      <c r="J249" s="12">
        <v>4635</v>
      </c>
      <c r="K249" s="12">
        <v>927</v>
      </c>
      <c r="L249" s="116">
        <v>5562</v>
      </c>
      <c r="M249" s="12">
        <v>4635</v>
      </c>
      <c r="N249" s="12">
        <v>927</v>
      </c>
      <c r="O249" s="247">
        <f t="shared" si="65"/>
        <v>5562</v>
      </c>
      <c r="P249" s="31">
        <f t="shared" si="66"/>
        <v>3012.75</v>
      </c>
      <c r="Q249" s="31">
        <f t="shared" si="67"/>
        <v>602.5500000000001</v>
      </c>
      <c r="R249" s="111">
        <f t="shared" si="68"/>
        <v>3615.3</v>
      </c>
      <c r="S249" s="169"/>
      <c r="T249" s="170"/>
    </row>
    <row r="250" spans="1:20" ht="33.75">
      <c r="A250" s="58" t="s">
        <v>703</v>
      </c>
      <c r="B250" s="8"/>
      <c r="C250" s="67" t="s">
        <v>42</v>
      </c>
      <c r="D250" s="16" t="s">
        <v>737</v>
      </c>
      <c r="E250" s="8" t="s">
        <v>738</v>
      </c>
      <c r="F250" s="8">
        <v>514</v>
      </c>
      <c r="G250" s="17">
        <v>39371</v>
      </c>
      <c r="H250" s="18">
        <v>39416</v>
      </c>
      <c r="I250" s="19" t="s">
        <v>328</v>
      </c>
      <c r="J250" s="12">
        <v>4635</v>
      </c>
      <c r="K250" s="12">
        <v>927</v>
      </c>
      <c r="L250" s="116">
        <v>5562</v>
      </c>
      <c r="M250" s="12">
        <v>4635</v>
      </c>
      <c r="N250" s="12">
        <v>927</v>
      </c>
      <c r="O250" s="247">
        <f t="shared" si="65"/>
        <v>5562</v>
      </c>
      <c r="P250" s="31">
        <f t="shared" si="66"/>
        <v>3012.75</v>
      </c>
      <c r="Q250" s="31">
        <f t="shared" si="67"/>
        <v>602.5500000000001</v>
      </c>
      <c r="R250" s="111">
        <f t="shared" si="68"/>
        <v>3615.3</v>
      </c>
      <c r="S250" s="169"/>
      <c r="T250" s="170"/>
    </row>
    <row r="251" spans="1:20" ht="33.75">
      <c r="A251" s="58" t="s">
        <v>703</v>
      </c>
      <c r="B251" s="8"/>
      <c r="C251" s="67" t="s">
        <v>42</v>
      </c>
      <c r="D251" s="16" t="s">
        <v>737</v>
      </c>
      <c r="E251" s="8" t="s">
        <v>738</v>
      </c>
      <c r="F251" s="8">
        <v>32</v>
      </c>
      <c r="G251" s="17">
        <v>39465</v>
      </c>
      <c r="H251" s="18">
        <v>39512</v>
      </c>
      <c r="I251" s="19" t="s">
        <v>328</v>
      </c>
      <c r="J251" s="12">
        <v>4774</v>
      </c>
      <c r="K251" s="12">
        <v>954.8</v>
      </c>
      <c r="L251" s="116">
        <v>5728.8</v>
      </c>
      <c r="M251" s="12">
        <v>4774</v>
      </c>
      <c r="N251" s="12">
        <v>954.8</v>
      </c>
      <c r="O251" s="247">
        <f t="shared" si="65"/>
        <v>5728.8</v>
      </c>
      <c r="P251" s="31">
        <f t="shared" si="66"/>
        <v>3103.1</v>
      </c>
      <c r="Q251" s="31">
        <f t="shared" si="67"/>
        <v>620.62</v>
      </c>
      <c r="R251" s="111">
        <f t="shared" si="68"/>
        <v>3723.72</v>
      </c>
      <c r="S251" s="169"/>
      <c r="T251" s="170"/>
    </row>
    <row r="252" spans="1:20" ht="33.75">
      <c r="A252" s="58" t="s">
        <v>703</v>
      </c>
      <c r="B252" s="8"/>
      <c r="C252" s="67" t="s">
        <v>42</v>
      </c>
      <c r="D252" s="16" t="s">
        <v>737</v>
      </c>
      <c r="E252" s="8" t="s">
        <v>738</v>
      </c>
      <c r="F252" s="8">
        <v>186</v>
      </c>
      <c r="G252" s="17">
        <v>39554</v>
      </c>
      <c r="H252" s="18">
        <v>39599</v>
      </c>
      <c r="I252" s="19" t="s">
        <v>328</v>
      </c>
      <c r="J252" s="12">
        <v>4774</v>
      </c>
      <c r="K252" s="12">
        <v>954.8</v>
      </c>
      <c r="L252" s="116">
        <v>5728.8</v>
      </c>
      <c r="M252" s="12">
        <v>4774</v>
      </c>
      <c r="N252" s="12">
        <v>954.8</v>
      </c>
      <c r="O252" s="247">
        <f t="shared" si="65"/>
        <v>5728.8</v>
      </c>
      <c r="P252" s="31">
        <f t="shared" si="66"/>
        <v>3103.1</v>
      </c>
      <c r="Q252" s="31">
        <f t="shared" si="67"/>
        <v>620.62</v>
      </c>
      <c r="R252" s="111">
        <f t="shared" si="68"/>
        <v>3723.72</v>
      </c>
      <c r="S252" s="169"/>
      <c r="T252" s="170"/>
    </row>
    <row r="253" spans="1:20" ht="11.25">
      <c r="A253" s="59"/>
      <c r="B253" s="8"/>
      <c r="C253" s="9"/>
      <c r="D253" s="9"/>
      <c r="E253" s="9"/>
      <c r="F253" s="9"/>
      <c r="G253" s="10"/>
      <c r="H253" s="11"/>
      <c r="I253" s="11"/>
      <c r="J253" s="12"/>
      <c r="K253" s="12"/>
      <c r="L253" s="111"/>
      <c r="M253" s="12"/>
      <c r="N253" s="12"/>
      <c r="O253" s="111"/>
      <c r="P253" s="12"/>
      <c r="Q253" s="12"/>
      <c r="R253" s="111"/>
      <c r="S253" s="304"/>
      <c r="T253" s="304"/>
    </row>
    <row r="254" ht="11.25"/>
    <row r="255" spans="1:20" ht="11.25">
      <c r="A255" s="314" t="s">
        <v>23</v>
      </c>
      <c r="B255" s="359"/>
      <c r="C255" s="359"/>
      <c r="D255" s="359"/>
      <c r="E255" s="359"/>
      <c r="F255" s="359"/>
      <c r="G255" s="359"/>
      <c r="H255" s="359"/>
      <c r="I255" s="359"/>
      <c r="J255" s="359"/>
      <c r="K255" s="359"/>
      <c r="L255" s="360"/>
      <c r="M255" s="82" t="s">
        <v>104</v>
      </c>
      <c r="N255" s="28" t="s">
        <v>105</v>
      </c>
      <c r="O255" s="122" t="s">
        <v>106</v>
      </c>
      <c r="P255" s="28" t="s">
        <v>107</v>
      </c>
      <c r="Q255" s="28" t="s">
        <v>108</v>
      </c>
      <c r="R255" s="122" t="s">
        <v>109</v>
      </c>
      <c r="S255" s="32" t="s">
        <v>25</v>
      </c>
      <c r="T255" s="33" t="s">
        <v>26</v>
      </c>
    </row>
    <row r="256" spans="1:21" ht="11.25">
      <c r="A256" s="370"/>
      <c r="B256" s="371"/>
      <c r="C256" s="374"/>
      <c r="D256" s="375"/>
      <c r="E256" s="375"/>
      <c r="F256" s="375"/>
      <c r="G256" s="375"/>
      <c r="H256" s="375"/>
      <c r="I256" s="375"/>
      <c r="J256" s="375"/>
      <c r="K256" s="376"/>
      <c r="L256" s="115" t="s">
        <v>12</v>
      </c>
      <c r="M256" s="3">
        <v>0</v>
      </c>
      <c r="N256" s="3"/>
      <c r="O256" s="123"/>
      <c r="P256" s="83"/>
      <c r="Q256" s="3"/>
      <c r="R256" s="123"/>
      <c r="S256" s="54"/>
      <c r="T256" s="54"/>
      <c r="U256" s="29"/>
    </row>
    <row r="257" spans="1:21" ht="11.25">
      <c r="A257" s="370"/>
      <c r="B257" s="371"/>
      <c r="C257" s="44"/>
      <c r="D257" s="43"/>
      <c r="E257" s="43"/>
      <c r="F257" s="43"/>
      <c r="G257" s="43"/>
      <c r="H257" s="43"/>
      <c r="I257" s="43"/>
      <c r="J257" s="43"/>
      <c r="K257" s="4"/>
      <c r="L257" s="108" t="s">
        <v>28</v>
      </c>
      <c r="M257" s="4">
        <f>SUM(M269:M272)</f>
        <v>0</v>
      </c>
      <c r="N257" s="4"/>
      <c r="O257" s="124"/>
      <c r="P257" s="4"/>
      <c r="Q257" s="4"/>
      <c r="R257" s="124">
        <f>SUM(R269)</f>
        <v>0</v>
      </c>
      <c r="S257" s="50">
        <f>R257*0.375</f>
        <v>0</v>
      </c>
      <c r="T257" s="5">
        <f>R257-S257</f>
        <v>0</v>
      </c>
      <c r="U257" s="29"/>
    </row>
    <row r="258" spans="1:21" ht="11.25">
      <c r="A258" s="370"/>
      <c r="B258" s="371"/>
      <c r="C258" s="44"/>
      <c r="D258" s="43"/>
      <c r="E258" s="43"/>
      <c r="F258" s="43"/>
      <c r="G258" s="43"/>
      <c r="H258" s="43"/>
      <c r="I258" s="43"/>
      <c r="J258" s="43"/>
      <c r="K258" s="45"/>
      <c r="L258" s="108" t="s">
        <v>29</v>
      </c>
      <c r="M258" s="4">
        <f>SUM(M272:M272)</f>
        <v>0</v>
      </c>
      <c r="N258" s="4"/>
      <c r="O258" s="124"/>
      <c r="P258" s="4"/>
      <c r="Q258" s="4"/>
      <c r="R258" s="124">
        <f>SUM(R272:R272)</f>
        <v>0</v>
      </c>
      <c r="S258" s="50">
        <f>R258*0.375</f>
        <v>0</v>
      </c>
      <c r="T258" s="5">
        <f>R258-S258</f>
        <v>0</v>
      </c>
      <c r="U258" s="29"/>
    </row>
    <row r="259" spans="1:21" ht="11.25">
      <c r="A259" s="370"/>
      <c r="B259" s="371"/>
      <c r="C259" s="44"/>
      <c r="D259" s="43"/>
      <c r="E259" s="43"/>
      <c r="F259" s="43"/>
      <c r="G259" s="43"/>
      <c r="H259" s="43"/>
      <c r="I259" s="43"/>
      <c r="J259" s="43"/>
      <c r="K259" s="45"/>
      <c r="L259" s="108" t="s">
        <v>121</v>
      </c>
      <c r="M259" s="4"/>
      <c r="N259" s="4"/>
      <c r="O259" s="124"/>
      <c r="P259" s="4"/>
      <c r="Q259" s="4"/>
      <c r="R259" s="124"/>
      <c r="S259" s="94"/>
      <c r="T259" s="94"/>
      <c r="U259" s="29"/>
    </row>
    <row r="260" spans="1:21" ht="11.25">
      <c r="A260" s="370"/>
      <c r="B260" s="371"/>
      <c r="C260" s="44"/>
      <c r="D260" s="43"/>
      <c r="E260" s="43"/>
      <c r="F260" s="43"/>
      <c r="G260" s="43"/>
      <c r="H260" s="43"/>
      <c r="I260" s="43"/>
      <c r="J260" s="43"/>
      <c r="K260" s="45"/>
      <c r="L260" s="108" t="s">
        <v>232</v>
      </c>
      <c r="M260" s="4"/>
      <c r="N260" s="4"/>
      <c r="O260" s="124"/>
      <c r="P260" s="4"/>
      <c r="Q260" s="4"/>
      <c r="R260" s="124"/>
      <c r="S260" s="94"/>
      <c r="T260" s="94"/>
      <c r="U260" s="29"/>
    </row>
    <row r="261" spans="1:21" ht="11.25">
      <c r="A261" s="370"/>
      <c r="B261" s="371"/>
      <c r="C261" s="44"/>
      <c r="D261" s="43"/>
      <c r="E261" s="43"/>
      <c r="F261" s="43"/>
      <c r="G261" s="43"/>
      <c r="H261" s="43"/>
      <c r="I261" s="43"/>
      <c r="J261" s="43"/>
      <c r="K261" s="45"/>
      <c r="L261" s="108" t="s">
        <v>362</v>
      </c>
      <c r="M261" s="4"/>
      <c r="N261" s="4"/>
      <c r="O261" s="124"/>
      <c r="P261" s="4"/>
      <c r="Q261" s="4"/>
      <c r="R261" s="124"/>
      <c r="S261" s="94"/>
      <c r="T261" s="94"/>
      <c r="U261" s="29"/>
    </row>
    <row r="262" spans="1:21" ht="11.25">
      <c r="A262" s="370"/>
      <c r="B262" s="371"/>
      <c r="C262" s="44"/>
      <c r="D262" s="43"/>
      <c r="E262" s="43"/>
      <c r="F262" s="43"/>
      <c r="G262" s="43"/>
      <c r="H262" s="43"/>
      <c r="I262" s="43"/>
      <c r="J262" s="43"/>
      <c r="K262" s="45"/>
      <c r="L262" s="108" t="s">
        <v>426</v>
      </c>
      <c r="M262" s="4"/>
      <c r="N262" s="4"/>
      <c r="O262" s="124"/>
      <c r="P262" s="4"/>
      <c r="Q262" s="4"/>
      <c r="R262" s="124"/>
      <c r="S262" s="94"/>
      <c r="T262" s="94"/>
      <c r="U262" s="29"/>
    </row>
    <row r="263" spans="1:21" ht="11.25">
      <c r="A263" s="370"/>
      <c r="B263" s="371"/>
      <c r="C263" s="44"/>
      <c r="D263" s="43"/>
      <c r="E263" s="43"/>
      <c r="F263" s="43"/>
      <c r="G263" s="43"/>
      <c r="H263" s="43"/>
      <c r="I263" s="43"/>
      <c r="J263" s="43"/>
      <c r="K263" s="45"/>
      <c r="L263" s="108" t="s">
        <v>569</v>
      </c>
      <c r="M263" s="4"/>
      <c r="N263" s="4"/>
      <c r="O263" s="124"/>
      <c r="P263" s="4"/>
      <c r="Q263" s="4"/>
      <c r="R263" s="124"/>
      <c r="S263" s="94"/>
      <c r="T263" s="94"/>
      <c r="U263" s="29"/>
    </row>
    <row r="264" spans="1:21" ht="11.25">
      <c r="A264" s="370"/>
      <c r="B264" s="371"/>
      <c r="C264" s="44"/>
      <c r="D264" s="43"/>
      <c r="E264" s="43"/>
      <c r="F264" s="43"/>
      <c r="G264" s="43"/>
      <c r="H264" s="43"/>
      <c r="I264" s="43"/>
      <c r="J264" s="43"/>
      <c r="K264" s="45"/>
      <c r="L264" s="108" t="s">
        <v>597</v>
      </c>
      <c r="M264" s="4"/>
      <c r="N264" s="4"/>
      <c r="O264" s="124"/>
      <c r="P264" s="4"/>
      <c r="Q264" s="4"/>
      <c r="R264" s="124"/>
      <c r="S264" s="94"/>
      <c r="T264" s="94"/>
      <c r="U264" s="29"/>
    </row>
    <row r="265" spans="1:21" ht="11.25">
      <c r="A265" s="370"/>
      <c r="B265" s="371"/>
      <c r="C265" s="44"/>
      <c r="D265" s="43"/>
      <c r="E265" s="43"/>
      <c r="F265" s="43"/>
      <c r="G265" s="43"/>
      <c r="H265" s="43"/>
      <c r="I265" s="43"/>
      <c r="J265" s="43"/>
      <c r="K265" s="45"/>
      <c r="L265" s="108" t="s">
        <v>616</v>
      </c>
      <c r="M265" s="4"/>
      <c r="N265" s="4"/>
      <c r="O265" s="124"/>
      <c r="P265" s="4"/>
      <c r="Q265" s="4"/>
      <c r="R265" s="124"/>
      <c r="S265" s="94"/>
      <c r="T265" s="94"/>
      <c r="U265" s="29"/>
    </row>
    <row r="266" spans="1:21" ht="11.25">
      <c r="A266" s="370"/>
      <c r="B266" s="371"/>
      <c r="C266" s="44"/>
      <c r="D266" s="43"/>
      <c r="E266" s="43"/>
      <c r="F266" s="43"/>
      <c r="G266" s="43"/>
      <c r="H266" s="43"/>
      <c r="I266" s="43"/>
      <c r="J266" s="43"/>
      <c r="K266" s="45"/>
      <c r="L266" s="108" t="s">
        <v>728</v>
      </c>
      <c r="M266" s="4"/>
      <c r="N266" s="4"/>
      <c r="O266" s="124"/>
      <c r="P266" s="4"/>
      <c r="Q266" s="4"/>
      <c r="R266" s="124"/>
      <c r="S266" s="94"/>
      <c r="T266" s="94"/>
      <c r="U266" s="29"/>
    </row>
    <row r="267" spans="1:21" ht="11.25">
      <c r="A267" s="372"/>
      <c r="B267" s="373"/>
      <c r="C267" s="46"/>
      <c r="D267" s="47"/>
      <c r="E267" s="47"/>
      <c r="F267" s="47"/>
      <c r="G267" s="47"/>
      <c r="H267" s="47"/>
      <c r="I267" s="47"/>
      <c r="J267" s="47"/>
      <c r="K267" s="48"/>
      <c r="L267" s="109" t="s">
        <v>13</v>
      </c>
      <c r="M267" s="6">
        <f>M256-M257-M258-M259-M260</f>
        <v>0</v>
      </c>
      <c r="N267" s="6"/>
      <c r="O267" s="6"/>
      <c r="P267" s="6"/>
      <c r="Q267" s="6"/>
      <c r="R267" s="6"/>
      <c r="S267" s="1"/>
      <c r="T267" s="1"/>
      <c r="U267" s="29"/>
    </row>
    <row r="268" spans="1:20" ht="22.5">
      <c r="A268" s="7" t="s">
        <v>14</v>
      </c>
      <c r="B268" s="7" t="s">
        <v>11</v>
      </c>
      <c r="C268" s="34" t="s">
        <v>24</v>
      </c>
      <c r="D268" s="34" t="s">
        <v>20</v>
      </c>
      <c r="E268" s="41" t="s">
        <v>2</v>
      </c>
      <c r="F268" s="34" t="s">
        <v>19</v>
      </c>
      <c r="G268" s="34" t="s">
        <v>18</v>
      </c>
      <c r="H268" s="41" t="s">
        <v>17</v>
      </c>
      <c r="I268" s="41" t="s">
        <v>16</v>
      </c>
      <c r="J268" s="34" t="s">
        <v>3</v>
      </c>
      <c r="K268" s="34" t="s">
        <v>4</v>
      </c>
      <c r="L268" s="110" t="s">
        <v>5</v>
      </c>
      <c r="M268" s="7" t="s">
        <v>21</v>
      </c>
      <c r="N268" s="7" t="s">
        <v>85</v>
      </c>
      <c r="O268" s="110" t="s">
        <v>87</v>
      </c>
      <c r="P268" s="7" t="s">
        <v>22</v>
      </c>
      <c r="Q268" s="7" t="s">
        <v>88</v>
      </c>
      <c r="R268" s="110" t="s">
        <v>86</v>
      </c>
      <c r="S268" s="309" t="s">
        <v>27</v>
      </c>
      <c r="T268" s="309"/>
    </row>
    <row r="269" spans="1:20" ht="92.25" customHeight="1">
      <c r="A269" s="85" t="s">
        <v>455</v>
      </c>
      <c r="B269" s="86"/>
      <c r="C269" s="172" t="s">
        <v>40</v>
      </c>
      <c r="D269" s="251" t="s">
        <v>462</v>
      </c>
      <c r="E269" s="14" t="s">
        <v>463</v>
      </c>
      <c r="F269" s="22" t="s">
        <v>464</v>
      </c>
      <c r="G269" s="23">
        <v>38791</v>
      </c>
      <c r="H269" s="17">
        <v>38959</v>
      </c>
      <c r="I269" s="24" t="s">
        <v>460</v>
      </c>
      <c r="J269" s="250">
        <v>66000</v>
      </c>
      <c r="K269" s="26">
        <v>13200</v>
      </c>
      <c r="L269" s="117">
        <v>79200</v>
      </c>
      <c r="M269" s="12"/>
      <c r="N269" s="12"/>
      <c r="O269" s="111"/>
      <c r="P269" s="12"/>
      <c r="Q269" s="12"/>
      <c r="R269" s="111"/>
      <c r="S269" s="399" t="s">
        <v>681</v>
      </c>
      <c r="T269" s="400"/>
    </row>
    <row r="270" spans="1:20" ht="22.5">
      <c r="A270" s="85" t="s">
        <v>455</v>
      </c>
      <c r="B270" s="86"/>
      <c r="C270" s="172" t="s">
        <v>40</v>
      </c>
      <c r="D270" s="251" t="s">
        <v>466</v>
      </c>
      <c r="E270" s="14" t="s">
        <v>463</v>
      </c>
      <c r="F270" s="22" t="s">
        <v>465</v>
      </c>
      <c r="G270" s="23">
        <v>38791</v>
      </c>
      <c r="H270" s="17">
        <v>38959</v>
      </c>
      <c r="I270" s="24" t="s">
        <v>460</v>
      </c>
      <c r="J270" s="250">
        <v>46062</v>
      </c>
      <c r="K270" s="26">
        <v>9212.4</v>
      </c>
      <c r="L270" s="117">
        <v>55274.4</v>
      </c>
      <c r="M270" s="12"/>
      <c r="N270" s="12"/>
      <c r="O270" s="111"/>
      <c r="P270" s="12"/>
      <c r="Q270" s="12"/>
      <c r="R270" s="111"/>
      <c r="S270" s="399" t="s">
        <v>682</v>
      </c>
      <c r="T270" s="400"/>
    </row>
    <row r="271" spans="1:20" ht="11.25">
      <c r="A271" s="58"/>
      <c r="B271" s="8"/>
      <c r="C271" s="9"/>
      <c r="D271" s="21"/>
      <c r="E271" s="14"/>
      <c r="F271" s="22"/>
      <c r="G271" s="23"/>
      <c r="H271" s="17"/>
      <c r="I271" s="24"/>
      <c r="J271" s="25"/>
      <c r="K271" s="26"/>
      <c r="L271" s="117"/>
      <c r="M271" s="12"/>
      <c r="N271" s="12"/>
      <c r="O271" s="111"/>
      <c r="P271" s="12"/>
      <c r="Q271" s="12"/>
      <c r="R271" s="111"/>
      <c r="S271" s="16"/>
      <c r="T271" s="16"/>
    </row>
    <row r="272" spans="1:20" ht="11.25">
      <c r="A272" s="58"/>
      <c r="B272" s="8"/>
      <c r="C272" s="9"/>
      <c r="D272" s="9"/>
      <c r="E272" s="9"/>
      <c r="F272" s="8"/>
      <c r="G272" s="17"/>
      <c r="H272" s="17"/>
      <c r="I272" s="24"/>
      <c r="J272" s="20"/>
      <c r="K272" s="26"/>
      <c r="L272" s="117"/>
      <c r="M272" s="12"/>
      <c r="N272" s="12"/>
      <c r="O272" s="111"/>
      <c r="P272" s="12"/>
      <c r="Q272" s="12"/>
      <c r="R272" s="111"/>
      <c r="S272" s="304"/>
      <c r="T272" s="304"/>
    </row>
    <row r="273" ht="11.25"/>
    <row r="274" spans="1:20" ht="11.25">
      <c r="A274" s="314" t="s">
        <v>9</v>
      </c>
      <c r="B274" s="359"/>
      <c r="C274" s="359"/>
      <c r="D274" s="359"/>
      <c r="E274" s="359"/>
      <c r="F274" s="359"/>
      <c r="G274" s="359"/>
      <c r="H274" s="359"/>
      <c r="I274" s="359"/>
      <c r="J274" s="359"/>
      <c r="K274" s="359"/>
      <c r="L274" s="360"/>
      <c r="M274" s="82" t="s">
        <v>104</v>
      </c>
      <c r="N274" s="28" t="s">
        <v>105</v>
      </c>
      <c r="O274" s="122" t="s">
        <v>106</v>
      </c>
      <c r="P274" s="28" t="s">
        <v>107</v>
      </c>
      <c r="Q274" s="28" t="s">
        <v>108</v>
      </c>
      <c r="R274" s="122" t="s">
        <v>109</v>
      </c>
      <c r="S274" s="32" t="s">
        <v>25</v>
      </c>
      <c r="T274" s="33" t="s">
        <v>26</v>
      </c>
    </row>
    <row r="275" spans="1:21" ht="11.25">
      <c r="A275" s="370"/>
      <c r="B275" s="371"/>
      <c r="C275" s="374"/>
      <c r="D275" s="375"/>
      <c r="E275" s="375"/>
      <c r="F275" s="375"/>
      <c r="G275" s="375"/>
      <c r="H275" s="375"/>
      <c r="I275" s="375"/>
      <c r="J275" s="375"/>
      <c r="K275" s="376"/>
      <c r="L275" s="115" t="s">
        <v>12</v>
      </c>
      <c r="M275" s="3">
        <v>257493.18</v>
      </c>
      <c r="N275" s="3"/>
      <c r="O275" s="123"/>
      <c r="P275" s="83"/>
      <c r="Q275" s="3"/>
      <c r="R275" s="123"/>
      <c r="S275" s="49"/>
      <c r="T275" s="49"/>
      <c r="U275" s="29"/>
    </row>
    <row r="276" spans="1:21" ht="11.25">
      <c r="A276" s="370"/>
      <c r="B276" s="371"/>
      <c r="C276" s="44"/>
      <c r="D276" s="43"/>
      <c r="E276" s="43"/>
      <c r="F276" s="43"/>
      <c r="G276" s="43"/>
      <c r="H276" s="43"/>
      <c r="I276" s="43"/>
      <c r="J276" s="43"/>
      <c r="K276" s="4"/>
      <c r="L276" s="108" t="s">
        <v>28</v>
      </c>
      <c r="M276" s="4">
        <v>0</v>
      </c>
      <c r="N276" s="4"/>
      <c r="O276" s="124"/>
      <c r="P276" s="4"/>
      <c r="Q276" s="4"/>
      <c r="R276" s="124">
        <v>0</v>
      </c>
      <c r="S276" s="50">
        <f aca="true" t="shared" si="69" ref="S276:S285">R276*0.375</f>
        <v>0</v>
      </c>
      <c r="T276" s="5">
        <f aca="true" t="shared" si="70" ref="T276:T281">R276-S276</f>
        <v>0</v>
      </c>
      <c r="U276" s="29"/>
    </row>
    <row r="277" spans="1:21" ht="11.25">
      <c r="A277" s="370"/>
      <c r="B277" s="371"/>
      <c r="C277" s="44"/>
      <c r="D277" s="43"/>
      <c r="E277" s="43"/>
      <c r="F277" s="43"/>
      <c r="G277" s="43"/>
      <c r="H277" s="43"/>
      <c r="I277" s="43"/>
      <c r="J277" s="43"/>
      <c r="K277" s="45"/>
      <c r="L277" s="108" t="s">
        <v>29</v>
      </c>
      <c r="M277" s="4"/>
      <c r="N277" s="4"/>
      <c r="O277" s="124"/>
      <c r="P277" s="4"/>
      <c r="Q277" s="4"/>
      <c r="R277" s="124"/>
      <c r="S277" s="50">
        <f t="shared" si="69"/>
        <v>0</v>
      </c>
      <c r="T277" s="5">
        <f t="shared" si="70"/>
        <v>0</v>
      </c>
      <c r="U277" s="29"/>
    </row>
    <row r="278" spans="1:21" ht="11.25">
      <c r="A278" s="370"/>
      <c r="B278" s="371"/>
      <c r="C278" s="44"/>
      <c r="D278" s="43"/>
      <c r="E278" s="43"/>
      <c r="F278" s="43"/>
      <c r="G278" s="43"/>
      <c r="H278" s="43"/>
      <c r="I278" s="43"/>
      <c r="J278" s="43"/>
      <c r="K278" s="45"/>
      <c r="L278" s="108" t="s">
        <v>121</v>
      </c>
      <c r="M278" s="4">
        <f aca="true" t="shared" si="71" ref="M278:R278">+M288</f>
        <v>15786</v>
      </c>
      <c r="N278" s="4">
        <f t="shared" si="71"/>
        <v>3157.2</v>
      </c>
      <c r="O278" s="124">
        <f t="shared" si="71"/>
        <v>18943.2</v>
      </c>
      <c r="P278" s="4">
        <f t="shared" si="71"/>
        <v>10260.9</v>
      </c>
      <c r="Q278" s="4">
        <f t="shared" si="71"/>
        <v>2052.18</v>
      </c>
      <c r="R278" s="124">
        <f t="shared" si="71"/>
        <v>12313.08</v>
      </c>
      <c r="S278" s="50">
        <f t="shared" si="69"/>
        <v>4617.405</v>
      </c>
      <c r="T278" s="5">
        <f t="shared" si="70"/>
        <v>7695.675</v>
      </c>
      <c r="U278" s="29"/>
    </row>
    <row r="279" spans="1:21" ht="11.25">
      <c r="A279" s="370"/>
      <c r="B279" s="371"/>
      <c r="C279" s="44"/>
      <c r="D279" s="43"/>
      <c r="E279" s="43"/>
      <c r="F279" s="43"/>
      <c r="G279" s="43"/>
      <c r="H279" s="43"/>
      <c r="I279" s="43"/>
      <c r="J279" s="43"/>
      <c r="K279" s="45"/>
      <c r="L279" s="108" t="s">
        <v>232</v>
      </c>
      <c r="M279" s="4">
        <f>SUM(M289:M294)</f>
        <v>48215.520000000004</v>
      </c>
      <c r="N279" s="4">
        <f>SUM(N289:N294)</f>
        <v>783.9</v>
      </c>
      <c r="O279" s="124">
        <f>+N279+M279</f>
        <v>48999.420000000006</v>
      </c>
      <c r="P279" s="4">
        <f>SUM(P289:P294)</f>
        <v>31340.088000000003</v>
      </c>
      <c r="Q279" s="4">
        <f>SUM(Q289:Q294)</f>
        <v>509.535</v>
      </c>
      <c r="R279" s="124">
        <f>+Q279+P279</f>
        <v>31849.623000000003</v>
      </c>
      <c r="S279" s="50">
        <f t="shared" si="69"/>
        <v>11943.608625</v>
      </c>
      <c r="T279" s="5">
        <f t="shared" si="70"/>
        <v>19906.014375000002</v>
      </c>
      <c r="U279" s="29"/>
    </row>
    <row r="280" spans="1:21" ht="11.25">
      <c r="A280" s="370"/>
      <c r="B280" s="371"/>
      <c r="C280" s="44"/>
      <c r="D280" s="43"/>
      <c r="E280" s="43"/>
      <c r="F280" s="43"/>
      <c r="G280" s="43"/>
      <c r="H280" s="43"/>
      <c r="I280" s="43"/>
      <c r="J280" s="43"/>
      <c r="K280" s="45"/>
      <c r="L280" s="108" t="s">
        <v>362</v>
      </c>
      <c r="M280" s="4">
        <f>+M295</f>
        <v>62880</v>
      </c>
      <c r="N280" s="4">
        <f>+N295</f>
        <v>0</v>
      </c>
      <c r="O280" s="124">
        <f>+N280+M280</f>
        <v>62880</v>
      </c>
      <c r="P280" s="4">
        <f>+P295</f>
        <v>40872</v>
      </c>
      <c r="Q280" s="4">
        <f>+Q295</f>
        <v>0</v>
      </c>
      <c r="R280" s="124">
        <f>+Q280+P280</f>
        <v>40872</v>
      </c>
      <c r="S280" s="50">
        <f t="shared" si="69"/>
        <v>15327</v>
      </c>
      <c r="T280" s="5">
        <f t="shared" si="70"/>
        <v>25545</v>
      </c>
      <c r="U280" s="29"/>
    </row>
    <row r="281" spans="1:21" ht="11.25">
      <c r="A281" s="370"/>
      <c r="B281" s="371"/>
      <c r="C281" s="44"/>
      <c r="D281" s="43"/>
      <c r="E281" s="43"/>
      <c r="F281" s="43"/>
      <c r="G281" s="43"/>
      <c r="H281" s="43"/>
      <c r="I281" s="43"/>
      <c r="J281" s="43"/>
      <c r="K281" s="45"/>
      <c r="L281" s="108" t="s">
        <v>426</v>
      </c>
      <c r="M281" s="4">
        <f>SUM(M296:M299)</f>
        <v>35342</v>
      </c>
      <c r="N281" s="4">
        <f>SUM(N296:N299)</f>
        <v>7068.4</v>
      </c>
      <c r="O281" s="124">
        <f>+N281+M281</f>
        <v>42410.4</v>
      </c>
      <c r="P281" s="4">
        <f>SUM(P296:P299)</f>
        <v>22972.3</v>
      </c>
      <c r="Q281" s="4">
        <f>SUM(Q296:Q299)</f>
        <v>4594.46</v>
      </c>
      <c r="R281" s="124">
        <f>+Q281+P281</f>
        <v>27566.76</v>
      </c>
      <c r="S281" s="50">
        <f t="shared" si="69"/>
        <v>10337.535</v>
      </c>
      <c r="T281" s="5">
        <f t="shared" si="70"/>
        <v>17229.225</v>
      </c>
      <c r="U281" s="29"/>
    </row>
    <row r="282" spans="1:21" ht="11.25">
      <c r="A282" s="370"/>
      <c r="B282" s="371"/>
      <c r="C282" s="44"/>
      <c r="D282" s="43"/>
      <c r="E282" s="43"/>
      <c r="F282" s="43"/>
      <c r="G282" s="43"/>
      <c r="H282" s="43"/>
      <c r="I282" s="43"/>
      <c r="J282" s="43"/>
      <c r="K282" s="45"/>
      <c r="L282" s="108" t="s">
        <v>569</v>
      </c>
      <c r="M282" s="4"/>
      <c r="N282" s="4"/>
      <c r="O282" s="124"/>
      <c r="P282" s="4"/>
      <c r="Q282" s="4"/>
      <c r="R282" s="124"/>
      <c r="S282" s="50">
        <f t="shared" si="69"/>
        <v>0</v>
      </c>
      <c r="T282" s="5">
        <f>R282-S282</f>
        <v>0</v>
      </c>
      <c r="U282" s="29"/>
    </row>
    <row r="283" spans="1:21" ht="11.25">
      <c r="A283" s="370"/>
      <c r="B283" s="371"/>
      <c r="C283" s="44"/>
      <c r="D283" s="43"/>
      <c r="E283" s="43"/>
      <c r="F283" s="43"/>
      <c r="G283" s="43"/>
      <c r="H283" s="43"/>
      <c r="I283" s="43"/>
      <c r="J283" s="43"/>
      <c r="K283" s="45"/>
      <c r="L283" s="108" t="s">
        <v>597</v>
      </c>
      <c r="M283" s="4">
        <f>+M300</f>
        <v>41862</v>
      </c>
      <c r="N283" s="4">
        <f>+N300</f>
        <v>8372.4</v>
      </c>
      <c r="O283" s="124">
        <f>+N283+M283</f>
        <v>50234.4</v>
      </c>
      <c r="P283" s="4">
        <f>+P300</f>
        <v>27210.3</v>
      </c>
      <c r="Q283" s="4">
        <f>+Q300</f>
        <v>5442.06</v>
      </c>
      <c r="R283" s="124">
        <f>+Q283+P283</f>
        <v>32652.36</v>
      </c>
      <c r="S283" s="50">
        <f t="shared" si="69"/>
        <v>12244.635</v>
      </c>
      <c r="T283" s="5">
        <f>R283-S283</f>
        <v>20407.725</v>
      </c>
      <c r="U283" s="29"/>
    </row>
    <row r="284" spans="1:21" ht="11.25">
      <c r="A284" s="370"/>
      <c r="B284" s="371"/>
      <c r="C284" s="44"/>
      <c r="D284" s="43"/>
      <c r="E284" s="43"/>
      <c r="F284" s="43"/>
      <c r="G284" s="43"/>
      <c r="H284" s="43"/>
      <c r="I284" s="43"/>
      <c r="J284" s="43"/>
      <c r="K284" s="45"/>
      <c r="L284" s="108" t="s">
        <v>616</v>
      </c>
      <c r="M284" s="4"/>
      <c r="N284" s="4"/>
      <c r="O284" s="124"/>
      <c r="P284" s="4"/>
      <c r="Q284" s="4"/>
      <c r="R284" s="124"/>
      <c r="S284" s="50">
        <f t="shared" si="69"/>
        <v>0</v>
      </c>
      <c r="T284" s="5">
        <f>R284-S284</f>
        <v>0</v>
      </c>
      <c r="U284" s="29"/>
    </row>
    <row r="285" spans="1:21" ht="11.25">
      <c r="A285" s="370"/>
      <c r="B285" s="371"/>
      <c r="C285" s="44"/>
      <c r="D285" s="43"/>
      <c r="E285" s="43"/>
      <c r="F285" s="43"/>
      <c r="G285" s="43"/>
      <c r="H285" s="43"/>
      <c r="I285" s="43"/>
      <c r="J285" s="43"/>
      <c r="K285" s="45"/>
      <c r="L285" s="108" t="s">
        <v>728</v>
      </c>
      <c r="M285" s="4">
        <f>+M301</f>
        <v>1499</v>
      </c>
      <c r="N285" s="4">
        <f>+N301</f>
        <v>299.8</v>
      </c>
      <c r="O285" s="124">
        <f>+N285+M285</f>
        <v>1798.8</v>
      </c>
      <c r="P285" s="4">
        <f>+P301</f>
        <v>974.35</v>
      </c>
      <c r="Q285" s="4">
        <f>+Q301</f>
        <v>194.87</v>
      </c>
      <c r="R285" s="124">
        <f>+Q285+P285</f>
        <v>1169.22</v>
      </c>
      <c r="S285" s="50">
        <f t="shared" si="69"/>
        <v>438.4575</v>
      </c>
      <c r="T285" s="5">
        <f>R285-S285</f>
        <v>730.7625</v>
      </c>
      <c r="U285" s="29"/>
    </row>
    <row r="286" spans="1:21" ht="11.25">
      <c r="A286" s="372"/>
      <c r="B286" s="373"/>
      <c r="C286" s="364"/>
      <c r="D286" s="365"/>
      <c r="E286" s="365"/>
      <c r="F286" s="365"/>
      <c r="G286" s="365"/>
      <c r="H286" s="365"/>
      <c r="I286" s="365"/>
      <c r="J286" s="365"/>
      <c r="K286" s="366"/>
      <c r="L286" s="109" t="s">
        <v>13</v>
      </c>
      <c r="M286" s="6">
        <f>M275-M276-M277-M278-M279-M280-M281-M282-M283-M285</f>
        <v>51908.659999999974</v>
      </c>
      <c r="N286" s="6"/>
      <c r="O286" s="125"/>
      <c r="P286" s="6"/>
      <c r="Q286" s="6"/>
      <c r="R286" s="125"/>
      <c r="S286" s="1"/>
      <c r="T286" s="1"/>
      <c r="U286" s="29"/>
    </row>
    <row r="287" spans="1:20" ht="22.5">
      <c r="A287" s="7" t="s">
        <v>14</v>
      </c>
      <c r="B287" s="7" t="s">
        <v>11</v>
      </c>
      <c r="C287" s="34" t="s">
        <v>24</v>
      </c>
      <c r="D287" s="34" t="s">
        <v>20</v>
      </c>
      <c r="E287" s="41" t="s">
        <v>2</v>
      </c>
      <c r="F287" s="34" t="s">
        <v>19</v>
      </c>
      <c r="G287" s="34" t="s">
        <v>18</v>
      </c>
      <c r="H287" s="41" t="s">
        <v>17</v>
      </c>
      <c r="I287" s="41" t="s">
        <v>16</v>
      </c>
      <c r="J287" s="34" t="s">
        <v>3</v>
      </c>
      <c r="K287" s="34" t="s">
        <v>4</v>
      </c>
      <c r="L287" s="110" t="s">
        <v>5</v>
      </c>
      <c r="M287" s="7" t="s">
        <v>21</v>
      </c>
      <c r="N287" s="7" t="s">
        <v>85</v>
      </c>
      <c r="O287" s="110" t="s">
        <v>87</v>
      </c>
      <c r="P287" s="7" t="s">
        <v>22</v>
      </c>
      <c r="Q287" s="7" t="s">
        <v>88</v>
      </c>
      <c r="R287" s="110" t="s">
        <v>86</v>
      </c>
      <c r="S287" s="309" t="s">
        <v>27</v>
      </c>
      <c r="T287" s="309"/>
    </row>
    <row r="288" spans="1:20" ht="33" customHeight="1">
      <c r="A288" s="58" t="s">
        <v>116</v>
      </c>
      <c r="B288" s="8"/>
      <c r="C288" s="2" t="s">
        <v>40</v>
      </c>
      <c r="D288" s="14" t="s">
        <v>118</v>
      </c>
      <c r="E288" s="62" t="s">
        <v>119</v>
      </c>
      <c r="F288" s="93">
        <v>1594</v>
      </c>
      <c r="G288" s="15">
        <v>38567</v>
      </c>
      <c r="H288" s="15">
        <v>38574</v>
      </c>
      <c r="I288" s="62" t="s">
        <v>120</v>
      </c>
      <c r="J288" s="62">
        <v>15786</v>
      </c>
      <c r="K288" s="62">
        <v>3157.2</v>
      </c>
      <c r="L288" s="118">
        <f>J288+K288</f>
        <v>18943.2</v>
      </c>
      <c r="M288" s="12">
        <v>15786</v>
      </c>
      <c r="N288" s="12">
        <v>3157.2</v>
      </c>
      <c r="O288" s="111">
        <f>+N288+M288</f>
        <v>18943.2</v>
      </c>
      <c r="P288" s="12">
        <f aca="true" t="shared" si="72" ref="P288:Q292">+M288*0.65</f>
        <v>10260.9</v>
      </c>
      <c r="Q288" s="12">
        <f t="shared" si="72"/>
        <v>2052.18</v>
      </c>
      <c r="R288" s="111">
        <f aca="true" t="shared" si="73" ref="R288:R294">+Q288+P288</f>
        <v>12313.08</v>
      </c>
      <c r="S288" s="383" t="s">
        <v>243</v>
      </c>
      <c r="T288" s="384"/>
    </row>
    <row r="289" spans="1:20" s="91" customFormat="1" ht="35.25" customHeight="1">
      <c r="A289" s="85" t="s">
        <v>146</v>
      </c>
      <c r="B289" s="86"/>
      <c r="C289" s="256" t="s">
        <v>40</v>
      </c>
      <c r="D289" s="67" t="s">
        <v>118</v>
      </c>
      <c r="E289" s="92" t="s">
        <v>119</v>
      </c>
      <c r="F289" s="142">
        <v>1594</v>
      </c>
      <c r="G289" s="90">
        <v>38567</v>
      </c>
      <c r="H289" s="90">
        <v>38574</v>
      </c>
      <c r="I289" s="92" t="s">
        <v>120</v>
      </c>
      <c r="J289" s="92">
        <v>15786</v>
      </c>
      <c r="K289" s="92">
        <v>3157.2</v>
      </c>
      <c r="L289" s="118">
        <f>J289+K289</f>
        <v>18943.2</v>
      </c>
      <c r="M289" s="31">
        <f>-15786+1500</f>
        <v>-14286</v>
      </c>
      <c r="N289" s="31">
        <f>-3157.2+300</f>
        <v>-2857.2</v>
      </c>
      <c r="O289" s="111">
        <f>+N289+M289</f>
        <v>-17143.2</v>
      </c>
      <c r="P289" s="31">
        <f t="shared" si="72"/>
        <v>-9285.9</v>
      </c>
      <c r="Q289" s="31">
        <f t="shared" si="72"/>
        <v>-1857.1799999999998</v>
      </c>
      <c r="R289" s="111">
        <f t="shared" si="73"/>
        <v>-11143.08</v>
      </c>
      <c r="S289" s="383" t="s">
        <v>242</v>
      </c>
      <c r="T289" s="384"/>
    </row>
    <row r="290" spans="1:20" s="91" customFormat="1" ht="24.75" customHeight="1">
      <c r="A290" s="85" t="s">
        <v>146</v>
      </c>
      <c r="B290" s="86"/>
      <c r="C290" s="67" t="s">
        <v>40</v>
      </c>
      <c r="D290" s="174" t="s">
        <v>247</v>
      </c>
      <c r="E290" s="174" t="s">
        <v>248</v>
      </c>
      <c r="F290" s="174" t="s">
        <v>249</v>
      </c>
      <c r="G290" s="15">
        <v>38614</v>
      </c>
      <c r="H290" s="18">
        <v>38617</v>
      </c>
      <c r="I290" s="175" t="s">
        <v>250</v>
      </c>
      <c r="J290" s="62">
        <v>750</v>
      </c>
      <c r="K290" s="62">
        <v>150</v>
      </c>
      <c r="L290" s="118">
        <v>900</v>
      </c>
      <c r="M290" s="31">
        <v>750</v>
      </c>
      <c r="N290" s="31"/>
      <c r="O290" s="111">
        <f>+N290+M290</f>
        <v>750</v>
      </c>
      <c r="P290" s="12">
        <f t="shared" si="72"/>
        <v>487.5</v>
      </c>
      <c r="Q290" s="12">
        <f t="shared" si="72"/>
        <v>0</v>
      </c>
      <c r="R290" s="111">
        <f t="shared" si="73"/>
        <v>487.5</v>
      </c>
      <c r="S290" s="353" t="s">
        <v>262</v>
      </c>
      <c r="T290" s="354"/>
    </row>
    <row r="291" spans="1:20" s="91" customFormat="1" ht="24.75" customHeight="1">
      <c r="A291" s="85" t="s">
        <v>146</v>
      </c>
      <c r="B291" s="86"/>
      <c r="C291" s="67" t="s">
        <v>40</v>
      </c>
      <c r="D291" s="174" t="s">
        <v>251</v>
      </c>
      <c r="E291" s="174" t="s">
        <v>252</v>
      </c>
      <c r="F291" s="174" t="s">
        <v>263</v>
      </c>
      <c r="G291" s="15">
        <v>38561</v>
      </c>
      <c r="H291" s="18">
        <v>38568</v>
      </c>
      <c r="I291" s="302" t="s">
        <v>253</v>
      </c>
      <c r="J291" s="62">
        <v>5908</v>
      </c>
      <c r="K291" s="62">
        <f>J291*20/100</f>
        <v>1181.6</v>
      </c>
      <c r="L291" s="118">
        <f>J291+K291</f>
        <v>7089.6</v>
      </c>
      <c r="M291" s="31">
        <v>5908</v>
      </c>
      <c r="N291" s="31">
        <v>1181.6</v>
      </c>
      <c r="O291" s="111">
        <f>+N291+M291</f>
        <v>7089.6</v>
      </c>
      <c r="P291" s="12">
        <f t="shared" si="72"/>
        <v>3840.2000000000003</v>
      </c>
      <c r="Q291" s="12">
        <f t="shared" si="72"/>
        <v>768.04</v>
      </c>
      <c r="R291" s="111">
        <f t="shared" si="73"/>
        <v>4608.24</v>
      </c>
      <c r="S291" s="353" t="s">
        <v>262</v>
      </c>
      <c r="T291" s="354"/>
    </row>
    <row r="292" spans="1:20" s="91" customFormat="1" ht="24.75" customHeight="1">
      <c r="A292" s="85" t="s">
        <v>146</v>
      </c>
      <c r="B292" s="86"/>
      <c r="C292" s="67" t="s">
        <v>40</v>
      </c>
      <c r="D292" s="174" t="s">
        <v>254</v>
      </c>
      <c r="E292" s="174" t="s">
        <v>255</v>
      </c>
      <c r="F292" s="174" t="s">
        <v>264</v>
      </c>
      <c r="G292" s="19">
        <v>38562</v>
      </c>
      <c r="H292" s="18">
        <v>38568</v>
      </c>
      <c r="I292" s="303"/>
      <c r="J292" s="62">
        <v>9390.52</v>
      </c>
      <c r="K292" s="62">
        <f>+J292*0.2</f>
        <v>1878.1040000000003</v>
      </c>
      <c r="L292" s="118">
        <f>J292+K292</f>
        <v>11268.624</v>
      </c>
      <c r="M292" s="31">
        <v>9390.52</v>
      </c>
      <c r="N292" s="31">
        <v>1878.1</v>
      </c>
      <c r="O292" s="111">
        <f>+N292+M292</f>
        <v>11268.62</v>
      </c>
      <c r="P292" s="31">
        <f t="shared" si="72"/>
        <v>6103.838000000001</v>
      </c>
      <c r="Q292" s="31">
        <f t="shared" si="72"/>
        <v>1220.7649999999999</v>
      </c>
      <c r="R292" s="111">
        <f t="shared" si="73"/>
        <v>7324.603000000001</v>
      </c>
      <c r="S292" s="353" t="s">
        <v>262</v>
      </c>
      <c r="T292" s="354"/>
    </row>
    <row r="293" spans="1:20" s="91" customFormat="1" ht="24.75" customHeight="1">
      <c r="A293" s="85" t="s">
        <v>146</v>
      </c>
      <c r="B293" s="86"/>
      <c r="C293" s="67" t="s">
        <v>40</v>
      </c>
      <c r="D293" s="174" t="s">
        <v>256</v>
      </c>
      <c r="E293" s="174" t="s">
        <v>255</v>
      </c>
      <c r="F293" s="176" t="s">
        <v>257</v>
      </c>
      <c r="G293" s="177" t="s">
        <v>258</v>
      </c>
      <c r="H293" s="318">
        <v>38670</v>
      </c>
      <c r="I293" s="302" t="s">
        <v>259</v>
      </c>
      <c r="J293" s="62">
        <v>43546</v>
      </c>
      <c r="K293" s="62">
        <f>+J293*0.2</f>
        <v>8709.2</v>
      </c>
      <c r="L293" s="118">
        <f>SUM(J293:K293)</f>
        <v>52255.2</v>
      </c>
      <c r="M293" s="31">
        <v>43546</v>
      </c>
      <c r="N293" s="31"/>
      <c r="O293" s="111">
        <f>+M293+N293</f>
        <v>43546</v>
      </c>
      <c r="P293" s="31">
        <f aca="true" t="shared" si="74" ref="P293:P299">+M293*0.65</f>
        <v>28304.9</v>
      </c>
      <c r="Q293" s="31"/>
      <c r="R293" s="111">
        <f t="shared" si="73"/>
        <v>28304.9</v>
      </c>
      <c r="S293" s="353" t="s">
        <v>262</v>
      </c>
      <c r="T293" s="354"/>
    </row>
    <row r="294" spans="1:20" s="91" customFormat="1" ht="24.75" customHeight="1">
      <c r="A294" s="85" t="s">
        <v>146</v>
      </c>
      <c r="B294" s="86"/>
      <c r="C294" s="67" t="s">
        <v>40</v>
      </c>
      <c r="D294" s="174" t="s">
        <v>260</v>
      </c>
      <c r="E294" s="174" t="s">
        <v>255</v>
      </c>
      <c r="F294" s="174" t="s">
        <v>261</v>
      </c>
      <c r="G294" s="15">
        <v>38651</v>
      </c>
      <c r="H294" s="319"/>
      <c r="I294" s="303"/>
      <c r="J294" s="62">
        <v>2907</v>
      </c>
      <c r="K294" s="62">
        <f>+J294*0.2</f>
        <v>581.4</v>
      </c>
      <c r="L294" s="118">
        <f>SUM(J294:K294)</f>
        <v>3488.4</v>
      </c>
      <c r="M294" s="31">
        <v>2907</v>
      </c>
      <c r="N294" s="31">
        <v>581.4</v>
      </c>
      <c r="O294" s="111">
        <f>+M294+N294</f>
        <v>3488.4</v>
      </c>
      <c r="P294" s="31">
        <f t="shared" si="74"/>
        <v>1889.55</v>
      </c>
      <c r="Q294" s="31">
        <f>+N294*0.65</f>
        <v>377.91</v>
      </c>
      <c r="R294" s="111">
        <f t="shared" si="73"/>
        <v>2267.46</v>
      </c>
      <c r="S294" s="353" t="s">
        <v>262</v>
      </c>
      <c r="T294" s="354"/>
    </row>
    <row r="295" spans="1:20" s="91" customFormat="1" ht="50.25" customHeight="1">
      <c r="A295" s="85" t="s">
        <v>361</v>
      </c>
      <c r="B295" s="86"/>
      <c r="C295" s="67" t="s">
        <v>40</v>
      </c>
      <c r="D295" s="229" t="s">
        <v>371</v>
      </c>
      <c r="E295" s="230" t="s">
        <v>372</v>
      </c>
      <c r="F295" s="230" t="s">
        <v>373</v>
      </c>
      <c r="G295" s="231">
        <v>38701</v>
      </c>
      <c r="H295" s="231">
        <v>38741</v>
      </c>
      <c r="I295" s="248" t="s">
        <v>374</v>
      </c>
      <c r="J295" s="232">
        <v>62880</v>
      </c>
      <c r="K295" s="232">
        <f>J295*20/100</f>
        <v>12576</v>
      </c>
      <c r="L295" s="247">
        <f>J295+K295</f>
        <v>75456</v>
      </c>
      <c r="M295" s="232">
        <v>62880</v>
      </c>
      <c r="N295" s="31"/>
      <c r="O295" s="111">
        <f aca="true" t="shared" si="75" ref="O295:O300">+N295+M295</f>
        <v>62880</v>
      </c>
      <c r="P295" s="31">
        <f t="shared" si="74"/>
        <v>40872</v>
      </c>
      <c r="Q295" s="31"/>
      <c r="R295" s="111">
        <f aca="true" t="shared" si="76" ref="R295:R300">+Q295+P295</f>
        <v>40872</v>
      </c>
      <c r="S295" s="353" t="s">
        <v>421</v>
      </c>
      <c r="T295" s="354"/>
    </row>
    <row r="296" spans="1:20" s="91" customFormat="1" ht="56.25">
      <c r="A296" s="85" t="s">
        <v>455</v>
      </c>
      <c r="B296" s="86"/>
      <c r="C296" s="67" t="s">
        <v>40</v>
      </c>
      <c r="D296" s="229" t="s">
        <v>471</v>
      </c>
      <c r="E296" s="230" t="s">
        <v>463</v>
      </c>
      <c r="F296" s="230" t="s">
        <v>472</v>
      </c>
      <c r="G296" s="231">
        <v>38737</v>
      </c>
      <c r="H296" s="231">
        <v>38959</v>
      </c>
      <c r="I296" s="248" t="s">
        <v>460</v>
      </c>
      <c r="J296" s="232">
        <v>8835.5</v>
      </c>
      <c r="K296" s="232">
        <v>1767.1</v>
      </c>
      <c r="L296" s="247">
        <v>10602.6</v>
      </c>
      <c r="M296" s="232">
        <v>8835.5</v>
      </c>
      <c r="N296" s="232">
        <v>1767.1</v>
      </c>
      <c r="O296" s="111">
        <f t="shared" si="75"/>
        <v>10602.6</v>
      </c>
      <c r="P296" s="31">
        <f t="shared" si="74"/>
        <v>5743.075</v>
      </c>
      <c r="Q296" s="31">
        <f>+N296*0.65</f>
        <v>1148.615</v>
      </c>
      <c r="R296" s="111">
        <f t="shared" si="76"/>
        <v>6891.69</v>
      </c>
      <c r="S296" s="320" t="s">
        <v>480</v>
      </c>
      <c r="T296" s="321"/>
    </row>
    <row r="297" spans="1:20" s="91" customFormat="1" ht="67.5">
      <c r="A297" s="85" t="s">
        <v>455</v>
      </c>
      <c r="B297" s="86"/>
      <c r="C297" s="67" t="s">
        <v>40</v>
      </c>
      <c r="D297" s="229" t="s">
        <v>473</v>
      </c>
      <c r="E297" s="230" t="s">
        <v>463</v>
      </c>
      <c r="F297" s="230" t="s">
        <v>474</v>
      </c>
      <c r="G297" s="231">
        <v>38758</v>
      </c>
      <c r="H297" s="231" t="s">
        <v>475</v>
      </c>
      <c r="I297" s="248" t="s">
        <v>460</v>
      </c>
      <c r="J297" s="232">
        <v>3641.82</v>
      </c>
      <c r="K297" s="232">
        <v>728.364</v>
      </c>
      <c r="L297" s="247">
        <v>4370.184</v>
      </c>
      <c r="M297" s="232">
        <v>8835.5</v>
      </c>
      <c r="N297" s="232">
        <v>1767.1</v>
      </c>
      <c r="O297" s="111">
        <f t="shared" si="75"/>
        <v>10602.6</v>
      </c>
      <c r="P297" s="31">
        <f t="shared" si="74"/>
        <v>5743.075</v>
      </c>
      <c r="Q297" s="31">
        <f>+N297*0.65</f>
        <v>1148.615</v>
      </c>
      <c r="R297" s="111">
        <f t="shared" si="76"/>
        <v>6891.69</v>
      </c>
      <c r="S297" s="322"/>
      <c r="T297" s="323"/>
    </row>
    <row r="298" spans="1:20" s="91" customFormat="1" ht="112.5">
      <c r="A298" s="85" t="s">
        <v>455</v>
      </c>
      <c r="B298" s="86"/>
      <c r="C298" s="67" t="s">
        <v>40</v>
      </c>
      <c r="D298" s="229" t="s">
        <v>476</v>
      </c>
      <c r="E298" s="230" t="s">
        <v>463</v>
      </c>
      <c r="F298" s="230" t="s">
        <v>477</v>
      </c>
      <c r="G298" s="231">
        <v>38849</v>
      </c>
      <c r="H298" s="231">
        <v>38959</v>
      </c>
      <c r="I298" s="248" t="s">
        <v>460</v>
      </c>
      <c r="J298" s="232">
        <v>4031.82</v>
      </c>
      <c r="K298" s="232">
        <v>806.364</v>
      </c>
      <c r="L298" s="247">
        <v>4838.184</v>
      </c>
      <c r="M298" s="232">
        <v>8835.5</v>
      </c>
      <c r="N298" s="232">
        <v>1767.1</v>
      </c>
      <c r="O298" s="111">
        <f t="shared" si="75"/>
        <v>10602.6</v>
      </c>
      <c r="P298" s="31">
        <f t="shared" si="74"/>
        <v>5743.075</v>
      </c>
      <c r="Q298" s="31">
        <f>+N298*0.65</f>
        <v>1148.615</v>
      </c>
      <c r="R298" s="111">
        <f t="shared" si="76"/>
        <v>6891.69</v>
      </c>
      <c r="S298" s="322"/>
      <c r="T298" s="323"/>
    </row>
    <row r="299" spans="1:20" s="91" customFormat="1" ht="78.75">
      <c r="A299" s="85" t="s">
        <v>455</v>
      </c>
      <c r="B299" s="86"/>
      <c r="C299" s="67" t="s">
        <v>40</v>
      </c>
      <c r="D299" s="229" t="s">
        <v>478</v>
      </c>
      <c r="E299" s="230" t="s">
        <v>463</v>
      </c>
      <c r="F299" s="230" t="s">
        <v>479</v>
      </c>
      <c r="G299" s="231">
        <v>38772</v>
      </c>
      <c r="H299" s="231">
        <v>38959</v>
      </c>
      <c r="I299" s="248" t="s">
        <v>460</v>
      </c>
      <c r="J299" s="232">
        <v>23751</v>
      </c>
      <c r="K299" s="232">
        <v>4750.2</v>
      </c>
      <c r="L299" s="247">
        <v>28501.2</v>
      </c>
      <c r="M299" s="232">
        <v>8835.5</v>
      </c>
      <c r="N299" s="232">
        <v>1767.1</v>
      </c>
      <c r="O299" s="111">
        <f t="shared" si="75"/>
        <v>10602.6</v>
      </c>
      <c r="P299" s="31">
        <f t="shared" si="74"/>
        <v>5743.075</v>
      </c>
      <c r="Q299" s="31">
        <f>+N299*0.65</f>
        <v>1148.615</v>
      </c>
      <c r="R299" s="111">
        <f t="shared" si="76"/>
        <v>6891.69</v>
      </c>
      <c r="S299" s="324"/>
      <c r="T299" s="325"/>
    </row>
    <row r="300" spans="1:20" s="91" customFormat="1" ht="95.25" customHeight="1">
      <c r="A300" s="85" t="s">
        <v>594</v>
      </c>
      <c r="B300" s="86"/>
      <c r="C300" s="67" t="s">
        <v>40</v>
      </c>
      <c r="D300" s="229" t="s">
        <v>679</v>
      </c>
      <c r="E300" s="230" t="s">
        <v>463</v>
      </c>
      <c r="F300" s="230" t="s">
        <v>465</v>
      </c>
      <c r="G300" s="231">
        <v>38791</v>
      </c>
      <c r="H300" s="248" t="s">
        <v>612</v>
      </c>
      <c r="I300" s="248" t="s">
        <v>613</v>
      </c>
      <c r="J300" s="232">
        <v>46062</v>
      </c>
      <c r="K300" s="232">
        <v>9212.4</v>
      </c>
      <c r="L300" s="247">
        <v>55274.4</v>
      </c>
      <c r="M300" s="232">
        <f>46062-4200</f>
        <v>41862</v>
      </c>
      <c r="N300" s="232">
        <f>+M300*0.2</f>
        <v>8372.4</v>
      </c>
      <c r="O300" s="247">
        <f t="shared" si="75"/>
        <v>50234.4</v>
      </c>
      <c r="P300" s="31">
        <f>+M300*0.65</f>
        <v>27210.3</v>
      </c>
      <c r="Q300" s="31">
        <f>+N300*0.65</f>
        <v>5442.06</v>
      </c>
      <c r="R300" s="111">
        <f t="shared" si="76"/>
        <v>32652.36</v>
      </c>
      <c r="S300" s="353"/>
      <c r="T300" s="354"/>
    </row>
    <row r="301" spans="1:20" s="91" customFormat="1" ht="11.25">
      <c r="A301" s="85" t="s">
        <v>703</v>
      </c>
      <c r="B301" s="86"/>
      <c r="C301" s="67" t="s">
        <v>42</v>
      </c>
      <c r="D301" s="229" t="s">
        <v>733</v>
      </c>
      <c r="E301" s="230" t="s">
        <v>734</v>
      </c>
      <c r="F301" s="230" t="s">
        <v>735</v>
      </c>
      <c r="G301" s="231">
        <v>38733</v>
      </c>
      <c r="H301" s="248">
        <v>38738</v>
      </c>
      <c r="I301" s="248" t="s">
        <v>736</v>
      </c>
      <c r="J301" s="232">
        <v>1499</v>
      </c>
      <c r="K301" s="232">
        <v>299.8</v>
      </c>
      <c r="L301" s="247">
        <v>1798.8</v>
      </c>
      <c r="M301" s="232">
        <v>1499</v>
      </c>
      <c r="N301" s="232">
        <v>299.8</v>
      </c>
      <c r="O301" s="247">
        <f>+N301+M301</f>
        <v>1798.8</v>
      </c>
      <c r="P301" s="31">
        <f>+M301*0.65</f>
        <v>974.35</v>
      </c>
      <c r="Q301" s="31">
        <f>+N301*0.65</f>
        <v>194.87</v>
      </c>
      <c r="R301" s="111">
        <f>+Q301+P301</f>
        <v>1169.22</v>
      </c>
      <c r="S301" s="169"/>
      <c r="T301" s="170"/>
    </row>
    <row r="302" spans="1:20" s="91" customFormat="1" ht="24.75" customHeight="1">
      <c r="A302" s="85"/>
      <c r="B302" s="86"/>
      <c r="C302" s="67"/>
      <c r="D302" s="87"/>
      <c r="E302" s="87"/>
      <c r="F302" s="87"/>
      <c r="G302" s="88"/>
      <c r="H302" s="89"/>
      <c r="I302" s="89"/>
      <c r="J302" s="31"/>
      <c r="K302" s="31"/>
      <c r="L302" s="111"/>
      <c r="M302" s="31"/>
      <c r="N302" s="31"/>
      <c r="O302" s="111"/>
      <c r="P302" s="31"/>
      <c r="Q302" s="31"/>
      <c r="R302" s="111"/>
      <c r="S302" s="169"/>
      <c r="T302" s="170"/>
    </row>
    <row r="303" ht="11.25"/>
    <row r="304" spans="1:20" ht="11.25">
      <c r="A304" s="314" t="s">
        <v>10</v>
      </c>
      <c r="B304" s="359"/>
      <c r="C304" s="359"/>
      <c r="D304" s="359"/>
      <c r="E304" s="359"/>
      <c r="F304" s="359"/>
      <c r="G304" s="359"/>
      <c r="H304" s="359"/>
      <c r="I304" s="359"/>
      <c r="J304" s="359"/>
      <c r="K304" s="359"/>
      <c r="L304" s="360"/>
      <c r="M304" s="82" t="s">
        <v>104</v>
      </c>
      <c r="N304" s="28" t="s">
        <v>105</v>
      </c>
      <c r="O304" s="122" t="s">
        <v>106</v>
      </c>
      <c r="P304" s="28" t="s">
        <v>107</v>
      </c>
      <c r="Q304" s="28" t="s">
        <v>108</v>
      </c>
      <c r="R304" s="122" t="s">
        <v>109</v>
      </c>
      <c r="S304" s="32" t="s">
        <v>25</v>
      </c>
      <c r="T304" s="33" t="s">
        <v>26</v>
      </c>
    </row>
    <row r="305" spans="1:21" ht="11.25">
      <c r="A305" s="370"/>
      <c r="B305" s="371"/>
      <c r="C305" s="374"/>
      <c r="D305" s="375"/>
      <c r="E305" s="375"/>
      <c r="F305" s="375"/>
      <c r="G305" s="375"/>
      <c r="H305" s="375"/>
      <c r="I305" s="375"/>
      <c r="J305" s="375"/>
      <c r="K305" s="376"/>
      <c r="L305" s="115" t="s">
        <v>12</v>
      </c>
      <c r="M305" s="3">
        <v>244079.6</v>
      </c>
      <c r="N305" s="3"/>
      <c r="O305" s="123"/>
      <c r="P305" s="83"/>
      <c r="Q305" s="3"/>
      <c r="R305" s="123"/>
      <c r="S305" s="49"/>
      <c r="T305" s="49"/>
      <c r="U305" s="29"/>
    </row>
    <row r="306" spans="1:21" ht="11.25">
      <c r="A306" s="370"/>
      <c r="B306" s="371"/>
      <c r="C306" s="44"/>
      <c r="D306" s="43"/>
      <c r="E306" s="43"/>
      <c r="F306" s="43"/>
      <c r="G306" s="43"/>
      <c r="H306" s="43"/>
      <c r="I306" s="43"/>
      <c r="J306" s="43"/>
      <c r="K306" s="4"/>
      <c r="L306" s="108" t="s">
        <v>28</v>
      </c>
      <c r="M306" s="4">
        <f aca="true" t="shared" si="77" ref="M306:R306">SUM(M318:M332)</f>
        <v>16109.19</v>
      </c>
      <c r="N306" s="4">
        <f t="shared" si="77"/>
        <v>0</v>
      </c>
      <c r="O306" s="124">
        <f t="shared" si="77"/>
        <v>16109.19</v>
      </c>
      <c r="P306" s="4">
        <f t="shared" si="77"/>
        <v>10470.9735</v>
      </c>
      <c r="Q306" s="4">
        <f t="shared" si="77"/>
        <v>0</v>
      </c>
      <c r="R306" s="124">
        <f t="shared" si="77"/>
        <v>10470.9735</v>
      </c>
      <c r="S306" s="50">
        <f aca="true" t="shared" si="78" ref="S306:S314">R306*0.375</f>
        <v>3926.6150625</v>
      </c>
      <c r="T306" s="5">
        <f aca="true" t="shared" si="79" ref="T306:T311">R306-S306</f>
        <v>6544.3584375</v>
      </c>
      <c r="U306" s="29"/>
    </row>
    <row r="307" spans="1:21" ht="11.25">
      <c r="A307" s="370"/>
      <c r="B307" s="371"/>
      <c r="C307" s="44"/>
      <c r="D307" s="43"/>
      <c r="E307" s="43"/>
      <c r="F307" s="43"/>
      <c r="G307" s="43"/>
      <c r="H307" s="43"/>
      <c r="I307" s="43"/>
      <c r="J307" s="43"/>
      <c r="K307" s="45"/>
      <c r="L307" s="108" t="s">
        <v>29</v>
      </c>
      <c r="M307" s="4">
        <f aca="true" t="shared" si="80" ref="M307:R307">SUM(M333)</f>
        <v>204.88</v>
      </c>
      <c r="N307" s="4">
        <f t="shared" si="80"/>
        <v>0</v>
      </c>
      <c r="O307" s="124">
        <f t="shared" si="80"/>
        <v>204.88</v>
      </c>
      <c r="P307" s="4">
        <f t="shared" si="80"/>
        <v>133.172</v>
      </c>
      <c r="Q307" s="4">
        <f t="shared" si="80"/>
        <v>0</v>
      </c>
      <c r="R307" s="124">
        <f t="shared" si="80"/>
        <v>133.172</v>
      </c>
      <c r="S307" s="50">
        <f t="shared" si="78"/>
        <v>49.939499999999995</v>
      </c>
      <c r="T307" s="5">
        <f t="shared" si="79"/>
        <v>83.2325</v>
      </c>
      <c r="U307" s="29"/>
    </row>
    <row r="308" spans="1:21" ht="11.25">
      <c r="A308" s="370"/>
      <c r="B308" s="371"/>
      <c r="C308" s="44"/>
      <c r="D308" s="43"/>
      <c r="E308" s="43"/>
      <c r="F308" s="43"/>
      <c r="G308" s="43"/>
      <c r="H308" s="43"/>
      <c r="I308" s="43"/>
      <c r="J308" s="43"/>
      <c r="K308" s="45"/>
      <c r="L308" s="108" t="s">
        <v>121</v>
      </c>
      <c r="M308" s="4"/>
      <c r="N308" s="4"/>
      <c r="O308" s="124"/>
      <c r="P308" s="4"/>
      <c r="Q308" s="4"/>
      <c r="R308" s="124"/>
      <c r="S308" s="50">
        <f t="shared" si="78"/>
        <v>0</v>
      </c>
      <c r="T308" s="5">
        <f t="shared" si="79"/>
        <v>0</v>
      </c>
      <c r="U308" s="29"/>
    </row>
    <row r="309" spans="1:21" ht="11.25">
      <c r="A309" s="370"/>
      <c r="B309" s="371"/>
      <c r="C309" s="44"/>
      <c r="D309" s="43"/>
      <c r="E309" s="43"/>
      <c r="F309" s="43"/>
      <c r="G309" s="43"/>
      <c r="H309" s="43"/>
      <c r="I309" s="43"/>
      <c r="J309" s="43"/>
      <c r="K309" s="45"/>
      <c r="L309" s="108" t="s">
        <v>232</v>
      </c>
      <c r="M309" s="4">
        <f aca="true" t="shared" si="81" ref="M309:R309">SUM(M382:M452)</f>
        <v>42209.256166666666</v>
      </c>
      <c r="N309" s="4">
        <f t="shared" si="81"/>
        <v>116.4</v>
      </c>
      <c r="O309" s="124">
        <f t="shared" si="81"/>
        <v>42325.65616666666</v>
      </c>
      <c r="P309" s="4">
        <f t="shared" si="81"/>
        <v>27436.016508333334</v>
      </c>
      <c r="Q309" s="4">
        <f t="shared" si="81"/>
        <v>75.66000000000001</v>
      </c>
      <c r="R309" s="124">
        <f t="shared" si="81"/>
        <v>27511.676508333334</v>
      </c>
      <c r="S309" s="50">
        <f t="shared" si="78"/>
        <v>10316.878690625</v>
      </c>
      <c r="T309" s="5">
        <f t="shared" si="79"/>
        <v>17194.797817708335</v>
      </c>
      <c r="U309" s="29"/>
    </row>
    <row r="310" spans="1:21" ht="11.25">
      <c r="A310" s="370"/>
      <c r="B310" s="371"/>
      <c r="C310" s="44"/>
      <c r="D310" s="43"/>
      <c r="E310" s="43"/>
      <c r="F310" s="43"/>
      <c r="G310" s="43"/>
      <c r="H310" s="43"/>
      <c r="I310" s="43"/>
      <c r="J310" s="43"/>
      <c r="K310" s="45"/>
      <c r="L310" s="108" t="s">
        <v>362</v>
      </c>
      <c r="M310" s="4">
        <f>SUM(M453:M477)</f>
        <v>31339.792083333334</v>
      </c>
      <c r="N310" s="4">
        <f>SUM(N453:N477)</f>
        <v>0</v>
      </c>
      <c r="O310" s="124">
        <f aca="true" t="shared" si="82" ref="O310:O315">+N310+M310</f>
        <v>31339.792083333334</v>
      </c>
      <c r="P310" s="4">
        <f>SUM(P453:P477)</f>
        <v>20370.86485416667</v>
      </c>
      <c r="Q310" s="4">
        <f>SUM(Q453:Q477)</f>
        <v>0</v>
      </c>
      <c r="R310" s="124">
        <f aca="true" t="shared" si="83" ref="R310:R315">+Q310+P310</f>
        <v>20370.86485416667</v>
      </c>
      <c r="S310" s="50">
        <f t="shared" si="78"/>
        <v>7639.074320312501</v>
      </c>
      <c r="T310" s="5">
        <f t="shared" si="79"/>
        <v>12731.790533854168</v>
      </c>
      <c r="U310" s="29"/>
    </row>
    <row r="311" spans="1:21" ht="11.25">
      <c r="A311" s="370"/>
      <c r="B311" s="371"/>
      <c r="C311" s="44"/>
      <c r="D311" s="43"/>
      <c r="E311" s="43"/>
      <c r="F311" s="43"/>
      <c r="G311" s="43"/>
      <c r="H311" s="43"/>
      <c r="I311" s="43"/>
      <c r="J311" s="43"/>
      <c r="K311" s="45"/>
      <c r="L311" s="108" t="s">
        <v>426</v>
      </c>
      <c r="M311" s="4">
        <f>SUM(M478:M503)</f>
        <v>23478.422999999995</v>
      </c>
      <c r="N311" s="4">
        <f>SUM(N478:N503)</f>
        <v>1042.6525000000001</v>
      </c>
      <c r="O311" s="124">
        <f t="shared" si="82"/>
        <v>24521.075499999995</v>
      </c>
      <c r="P311" s="4">
        <f>SUM(P478:P503)</f>
        <v>15260.97495</v>
      </c>
      <c r="Q311" s="4">
        <f>SUM(Q478:Q503)</f>
        <v>677.7241250000001</v>
      </c>
      <c r="R311" s="124">
        <f t="shared" si="83"/>
        <v>15938.699075</v>
      </c>
      <c r="S311" s="50">
        <f t="shared" si="78"/>
        <v>5977.012153125001</v>
      </c>
      <c r="T311" s="5">
        <f t="shared" si="79"/>
        <v>9961.686921875</v>
      </c>
      <c r="U311" s="29"/>
    </row>
    <row r="312" spans="1:21" ht="11.25">
      <c r="A312" s="370"/>
      <c r="B312" s="371"/>
      <c r="C312" s="44"/>
      <c r="D312" s="43"/>
      <c r="E312" s="43"/>
      <c r="F312" s="43"/>
      <c r="G312" s="43"/>
      <c r="H312" s="43"/>
      <c r="I312" s="43"/>
      <c r="J312" s="43"/>
      <c r="K312" s="45"/>
      <c r="L312" s="108" t="s">
        <v>569</v>
      </c>
      <c r="M312" s="4">
        <f>SUM(M504:M547)</f>
        <v>27876.012583333326</v>
      </c>
      <c r="N312" s="4">
        <f>SUM(N504:N547)</f>
        <v>1340.6072999999997</v>
      </c>
      <c r="O312" s="124">
        <f t="shared" si="82"/>
        <v>29216.619883333326</v>
      </c>
      <c r="P312" s="4">
        <f>SUM(P504:P547)</f>
        <v>18119.408179166665</v>
      </c>
      <c r="Q312" s="4">
        <f>SUM(Q504:Q547)</f>
        <v>871.394745</v>
      </c>
      <c r="R312" s="124">
        <f t="shared" si="83"/>
        <v>18990.802924166666</v>
      </c>
      <c r="S312" s="50">
        <f t="shared" si="78"/>
        <v>7121.5510965625</v>
      </c>
      <c r="T312" s="5">
        <f>R312-S312</f>
        <v>11869.251827604166</v>
      </c>
      <c r="U312" s="29"/>
    </row>
    <row r="313" spans="1:21" ht="11.25">
      <c r="A313" s="370"/>
      <c r="B313" s="371"/>
      <c r="C313" s="44"/>
      <c r="D313" s="43"/>
      <c r="E313" s="43"/>
      <c r="F313" s="43"/>
      <c r="G313" s="43"/>
      <c r="H313" s="43"/>
      <c r="I313" s="43"/>
      <c r="J313" s="43"/>
      <c r="K313" s="45"/>
      <c r="L313" s="108" t="s">
        <v>597</v>
      </c>
      <c r="M313" s="4">
        <f>+M548</f>
        <v>23747.86</v>
      </c>
      <c r="N313" s="4">
        <f>+N548</f>
        <v>0</v>
      </c>
      <c r="O313" s="124">
        <f t="shared" si="82"/>
        <v>23747.86</v>
      </c>
      <c r="P313" s="4">
        <f>+P548</f>
        <v>15436.109</v>
      </c>
      <c r="Q313" s="4">
        <f>+Q548</f>
        <v>0</v>
      </c>
      <c r="R313" s="124">
        <f t="shared" si="83"/>
        <v>15436.109</v>
      </c>
      <c r="S313" s="50">
        <f t="shared" si="78"/>
        <v>5788.540875000001</v>
      </c>
      <c r="T313" s="5">
        <f>R313-S313</f>
        <v>9647.568125</v>
      </c>
      <c r="U313" s="29"/>
    </row>
    <row r="314" spans="1:21" ht="11.25">
      <c r="A314" s="370"/>
      <c r="B314" s="371"/>
      <c r="C314" s="44"/>
      <c r="D314" s="43"/>
      <c r="E314" s="43"/>
      <c r="F314" s="43"/>
      <c r="G314" s="43"/>
      <c r="H314" s="43"/>
      <c r="I314" s="43"/>
      <c r="J314" s="43"/>
      <c r="K314" s="45"/>
      <c r="L314" s="108" t="s">
        <v>616</v>
      </c>
      <c r="M314" s="4">
        <f>SUM(M581:M646)</f>
        <v>36678.748499999994</v>
      </c>
      <c r="N314" s="4">
        <f>SUM(N581:N646)</f>
        <v>1412.5077999999999</v>
      </c>
      <c r="O314" s="124">
        <f t="shared" si="82"/>
        <v>38091.256299999994</v>
      </c>
      <c r="P314" s="4">
        <f>SUM(P581:P646)</f>
        <v>23841.186525</v>
      </c>
      <c r="Q314" s="4">
        <f>SUM(Q581:Q646)</f>
        <v>918.1300699999999</v>
      </c>
      <c r="R314" s="124">
        <f t="shared" si="83"/>
        <v>24759.316595</v>
      </c>
      <c r="S314" s="50">
        <f t="shared" si="78"/>
        <v>9284.743723125</v>
      </c>
      <c r="T314" s="5">
        <f>R314-S314</f>
        <v>15474.572871875</v>
      </c>
      <c r="U314" s="29"/>
    </row>
    <row r="315" spans="1:21" ht="11.25">
      <c r="A315" s="370"/>
      <c r="B315" s="371"/>
      <c r="C315" s="44"/>
      <c r="D315" s="43"/>
      <c r="E315" s="43"/>
      <c r="F315" s="43"/>
      <c r="G315" s="43"/>
      <c r="H315" s="43"/>
      <c r="I315" s="43"/>
      <c r="J315" s="43"/>
      <c r="K315" s="45"/>
      <c r="L315" s="108" t="s">
        <v>728</v>
      </c>
      <c r="M315" s="4">
        <f>SUM(M647:M711)</f>
        <v>33184.9545</v>
      </c>
      <c r="N315" s="4">
        <f>SUM(N647:N711)</f>
        <v>2307.57</v>
      </c>
      <c r="O315" s="124">
        <f t="shared" si="82"/>
        <v>35492.5245</v>
      </c>
      <c r="P315" s="4">
        <f>SUM(P647:P711)</f>
        <v>21570.220424999996</v>
      </c>
      <c r="Q315" s="4">
        <f>SUM(Q647:Q711)</f>
        <v>1499.9205</v>
      </c>
      <c r="R315" s="124">
        <f t="shared" si="83"/>
        <v>23070.140924999996</v>
      </c>
      <c r="S315" s="50"/>
      <c r="T315" s="5">
        <f>R315-S315</f>
        <v>23070.140924999996</v>
      </c>
      <c r="U315" s="29"/>
    </row>
    <row r="316" spans="1:21" ht="11.25">
      <c r="A316" s="372"/>
      <c r="B316" s="373"/>
      <c r="C316" s="364"/>
      <c r="D316" s="365"/>
      <c r="E316" s="365"/>
      <c r="F316" s="365"/>
      <c r="G316" s="365"/>
      <c r="H316" s="365"/>
      <c r="I316" s="365"/>
      <c r="J316" s="365"/>
      <c r="K316" s="366"/>
      <c r="L316" s="109" t="s">
        <v>13</v>
      </c>
      <c r="M316" s="6">
        <f>M305-M306-M307-M308-M309-M310-M311-M312-M313-M314-M315</f>
        <v>9250.483166666687</v>
      </c>
      <c r="N316" s="6"/>
      <c r="O316" s="125"/>
      <c r="P316" s="6"/>
      <c r="Q316" s="6"/>
      <c r="R316" s="125"/>
      <c r="S316" s="1"/>
      <c r="T316" s="1"/>
      <c r="U316" s="29"/>
    </row>
    <row r="317" spans="1:20" ht="22.5">
      <c r="A317" s="27" t="s">
        <v>14</v>
      </c>
      <c r="B317" s="27" t="s">
        <v>11</v>
      </c>
      <c r="C317" s="55" t="s">
        <v>24</v>
      </c>
      <c r="D317" s="55" t="s">
        <v>20</v>
      </c>
      <c r="E317" s="56" t="s">
        <v>2</v>
      </c>
      <c r="F317" s="55" t="s">
        <v>19</v>
      </c>
      <c r="G317" s="55" t="s">
        <v>18</v>
      </c>
      <c r="H317" s="56" t="s">
        <v>17</v>
      </c>
      <c r="I317" s="56" t="s">
        <v>16</v>
      </c>
      <c r="J317" s="55" t="s">
        <v>3</v>
      </c>
      <c r="K317" s="55" t="s">
        <v>4</v>
      </c>
      <c r="L317" s="119" t="s">
        <v>5</v>
      </c>
      <c r="M317" s="7" t="s">
        <v>21</v>
      </c>
      <c r="N317" s="7" t="s">
        <v>85</v>
      </c>
      <c r="O317" s="110" t="s">
        <v>87</v>
      </c>
      <c r="P317" s="7" t="s">
        <v>22</v>
      </c>
      <c r="Q317" s="7" t="s">
        <v>88</v>
      </c>
      <c r="R317" s="110" t="s">
        <v>86</v>
      </c>
      <c r="S317" s="377" t="s">
        <v>27</v>
      </c>
      <c r="T317" s="377"/>
    </row>
    <row r="318" spans="1:20" ht="11.25">
      <c r="A318" s="58" t="s">
        <v>15</v>
      </c>
      <c r="B318" s="8"/>
      <c r="C318" s="9" t="s">
        <v>47</v>
      </c>
      <c r="D318" s="14" t="s">
        <v>48</v>
      </c>
      <c r="E318" s="9" t="s">
        <v>49</v>
      </c>
      <c r="F318" s="14">
        <v>293</v>
      </c>
      <c r="G318" s="10">
        <v>38252</v>
      </c>
      <c r="H318" s="15">
        <v>38287</v>
      </c>
      <c r="I318" s="15" t="s">
        <v>50</v>
      </c>
      <c r="J318" s="12">
        <v>382</v>
      </c>
      <c r="K318" s="12">
        <f>+J318*0.2</f>
        <v>76.4</v>
      </c>
      <c r="L318" s="111">
        <f aca="true" t="shared" si="84" ref="L318:L332">SUM(J318:K318)</f>
        <v>458.4</v>
      </c>
      <c r="M318" s="31">
        <v>0</v>
      </c>
      <c r="N318" s="31"/>
      <c r="O318" s="111"/>
      <c r="P318" s="12">
        <f>M318*0.65</f>
        <v>0</v>
      </c>
      <c r="Q318" s="12">
        <f>N318*0.65</f>
        <v>0</v>
      </c>
      <c r="R318" s="111">
        <f>P318+Q318</f>
        <v>0</v>
      </c>
      <c r="S318" s="305" t="s">
        <v>90</v>
      </c>
      <c r="T318" s="306"/>
    </row>
    <row r="319" spans="1:20" ht="33.75">
      <c r="A319" s="58" t="s">
        <v>15</v>
      </c>
      <c r="B319" s="8"/>
      <c r="C319" s="9" t="s">
        <v>47</v>
      </c>
      <c r="D319" s="14" t="s">
        <v>48</v>
      </c>
      <c r="E319" s="9" t="s">
        <v>49</v>
      </c>
      <c r="F319" s="14">
        <v>316</v>
      </c>
      <c r="G319" s="10">
        <v>38266</v>
      </c>
      <c r="H319" s="15">
        <v>38326</v>
      </c>
      <c r="I319" s="15" t="s">
        <v>51</v>
      </c>
      <c r="J319" s="12">
        <v>130</v>
      </c>
      <c r="K319" s="12">
        <f>+J319*0.2</f>
        <v>26</v>
      </c>
      <c r="L319" s="111">
        <f t="shared" si="84"/>
        <v>156</v>
      </c>
      <c r="M319" s="31">
        <v>0</v>
      </c>
      <c r="N319" s="31"/>
      <c r="O319" s="111"/>
      <c r="P319" s="12">
        <f aca="true" t="shared" si="85" ref="P319:P332">M319*0.65</f>
        <v>0</v>
      </c>
      <c r="Q319" s="12">
        <f aca="true" t="shared" si="86" ref="Q319:Q332">N319*0.65</f>
        <v>0</v>
      </c>
      <c r="R319" s="111">
        <f aca="true" t="shared" si="87" ref="R319:R332">P319+Q319</f>
        <v>0</v>
      </c>
      <c r="S319" s="305" t="s">
        <v>90</v>
      </c>
      <c r="T319" s="306"/>
    </row>
    <row r="320" spans="1:20" ht="33.75">
      <c r="A320" s="58" t="s">
        <v>15</v>
      </c>
      <c r="B320" s="8"/>
      <c r="C320" s="9" t="s">
        <v>47</v>
      </c>
      <c r="D320" s="14" t="s">
        <v>48</v>
      </c>
      <c r="E320" s="9" t="s">
        <v>49</v>
      </c>
      <c r="F320" s="14">
        <v>401</v>
      </c>
      <c r="G320" s="10">
        <v>38320</v>
      </c>
      <c r="H320" s="15">
        <v>38326</v>
      </c>
      <c r="I320" s="15" t="s">
        <v>51</v>
      </c>
      <c r="J320" s="12">
        <v>180</v>
      </c>
      <c r="K320" s="12">
        <f>+J320*0.2</f>
        <v>36</v>
      </c>
      <c r="L320" s="111">
        <f t="shared" si="84"/>
        <v>216</v>
      </c>
      <c r="M320" s="31">
        <v>0</v>
      </c>
      <c r="N320" s="31"/>
      <c r="O320" s="111"/>
      <c r="P320" s="12">
        <f t="shared" si="85"/>
        <v>0</v>
      </c>
      <c r="Q320" s="12">
        <f t="shared" si="86"/>
        <v>0</v>
      </c>
      <c r="R320" s="111">
        <f t="shared" si="87"/>
        <v>0</v>
      </c>
      <c r="S320" s="305" t="s">
        <v>90</v>
      </c>
      <c r="T320" s="306"/>
    </row>
    <row r="321" spans="1:20" ht="33.75">
      <c r="A321" s="58" t="s">
        <v>15</v>
      </c>
      <c r="B321" s="8"/>
      <c r="C321" s="9" t="s">
        <v>47</v>
      </c>
      <c r="D321" s="14" t="s">
        <v>48</v>
      </c>
      <c r="E321" s="9" t="s">
        <v>49</v>
      </c>
      <c r="F321" s="14">
        <v>329</v>
      </c>
      <c r="G321" s="10">
        <v>38274</v>
      </c>
      <c r="H321" s="15">
        <v>38326</v>
      </c>
      <c r="I321" s="15" t="s">
        <v>51</v>
      </c>
      <c r="J321" s="12">
        <v>90</v>
      </c>
      <c r="K321" s="12">
        <f>+J321*0.2</f>
        <v>18</v>
      </c>
      <c r="L321" s="111">
        <f t="shared" si="84"/>
        <v>108</v>
      </c>
      <c r="M321" s="31">
        <v>0</v>
      </c>
      <c r="N321" s="31"/>
      <c r="O321" s="111"/>
      <c r="P321" s="12">
        <f t="shared" si="85"/>
        <v>0</v>
      </c>
      <c r="Q321" s="12">
        <f t="shared" si="86"/>
        <v>0</v>
      </c>
      <c r="R321" s="111">
        <f t="shared" si="87"/>
        <v>0</v>
      </c>
      <c r="S321" s="305" t="s">
        <v>90</v>
      </c>
      <c r="T321" s="306"/>
    </row>
    <row r="322" spans="1:20" ht="48.75" customHeight="1">
      <c r="A322" s="58" t="s">
        <v>15</v>
      </c>
      <c r="B322" s="8"/>
      <c r="C322" s="9" t="s">
        <v>47</v>
      </c>
      <c r="D322" s="14" t="s">
        <v>48</v>
      </c>
      <c r="E322" s="9" t="s">
        <v>49</v>
      </c>
      <c r="F322" s="67">
        <v>319</v>
      </c>
      <c r="G322" s="15">
        <v>38268</v>
      </c>
      <c r="H322" s="15">
        <v>38324</v>
      </c>
      <c r="I322" s="15" t="s">
        <v>50</v>
      </c>
      <c r="J322" s="62">
        <f>916.4+8</f>
        <v>924.4</v>
      </c>
      <c r="K322" s="12">
        <f>183.28</f>
        <v>183.28</v>
      </c>
      <c r="L322" s="111">
        <f t="shared" si="84"/>
        <v>1107.68</v>
      </c>
      <c r="M322" s="31"/>
      <c r="N322" s="31"/>
      <c r="O322" s="111"/>
      <c r="P322" s="12">
        <f t="shared" si="85"/>
        <v>0</v>
      </c>
      <c r="Q322" s="12">
        <f t="shared" si="86"/>
        <v>0</v>
      </c>
      <c r="R322" s="111">
        <f t="shared" si="87"/>
        <v>0</v>
      </c>
      <c r="S322" s="305" t="s">
        <v>99</v>
      </c>
      <c r="T322" s="306"/>
    </row>
    <row r="323" spans="1:20" ht="48.75" customHeight="1">
      <c r="A323" s="58" t="s">
        <v>15</v>
      </c>
      <c r="B323" s="8"/>
      <c r="C323" s="9" t="s">
        <v>47</v>
      </c>
      <c r="D323" s="14" t="s">
        <v>48</v>
      </c>
      <c r="E323" s="9" t="s">
        <v>49</v>
      </c>
      <c r="F323" s="67">
        <v>349</v>
      </c>
      <c r="G323" s="15">
        <v>38289</v>
      </c>
      <c r="H323" s="15">
        <v>38336</v>
      </c>
      <c r="I323" s="15" t="s">
        <v>51</v>
      </c>
      <c r="J323" s="62">
        <v>156</v>
      </c>
      <c r="K323" s="12">
        <f>+J323*0.2</f>
        <v>31.200000000000003</v>
      </c>
      <c r="L323" s="111">
        <f t="shared" si="84"/>
        <v>187.2</v>
      </c>
      <c r="M323" s="31"/>
      <c r="N323" s="31"/>
      <c r="O323" s="111"/>
      <c r="P323" s="12">
        <f t="shared" si="85"/>
        <v>0</v>
      </c>
      <c r="Q323" s="12">
        <f t="shared" si="86"/>
        <v>0</v>
      </c>
      <c r="R323" s="111">
        <f t="shared" si="87"/>
        <v>0</v>
      </c>
      <c r="S323" s="305" t="s">
        <v>90</v>
      </c>
      <c r="T323" s="306"/>
    </row>
    <row r="324" spans="1:20" ht="38.25" customHeight="1">
      <c r="A324" s="58" t="s">
        <v>15</v>
      </c>
      <c r="B324" s="8"/>
      <c r="C324" s="9" t="s">
        <v>52</v>
      </c>
      <c r="D324" s="14" t="s">
        <v>53</v>
      </c>
      <c r="E324" s="9" t="s">
        <v>54</v>
      </c>
      <c r="F324" s="67">
        <v>328</v>
      </c>
      <c r="G324" s="15">
        <v>38352</v>
      </c>
      <c r="H324" s="15" t="s">
        <v>55</v>
      </c>
      <c r="I324" s="15" t="s">
        <v>56</v>
      </c>
      <c r="J324" s="62">
        <v>401.7</v>
      </c>
      <c r="K324" s="12">
        <v>0</v>
      </c>
      <c r="L324" s="111">
        <f t="shared" si="84"/>
        <v>401.7</v>
      </c>
      <c r="M324" s="31">
        <v>0</v>
      </c>
      <c r="N324" s="31"/>
      <c r="O324" s="111"/>
      <c r="P324" s="12">
        <f t="shared" si="85"/>
        <v>0</v>
      </c>
      <c r="Q324" s="12">
        <f t="shared" si="86"/>
        <v>0</v>
      </c>
      <c r="R324" s="111">
        <f t="shared" si="87"/>
        <v>0</v>
      </c>
      <c r="S324" s="305" t="s">
        <v>98</v>
      </c>
      <c r="T324" s="306"/>
    </row>
    <row r="325" spans="1:20" ht="38.25" customHeight="1">
      <c r="A325" s="58" t="s">
        <v>15</v>
      </c>
      <c r="B325" s="8"/>
      <c r="C325" s="9" t="s">
        <v>52</v>
      </c>
      <c r="D325" s="14" t="s">
        <v>53</v>
      </c>
      <c r="E325" s="9" t="s">
        <v>57</v>
      </c>
      <c r="F325" s="67" t="s">
        <v>58</v>
      </c>
      <c r="G325" s="15" t="s">
        <v>56</v>
      </c>
      <c r="H325" s="15" t="s">
        <v>56</v>
      </c>
      <c r="I325" s="15" t="s">
        <v>56</v>
      </c>
      <c r="J325" s="62">
        <v>741.18</v>
      </c>
      <c r="K325" s="12"/>
      <c r="L325" s="111">
        <f t="shared" si="84"/>
        <v>741.18</v>
      </c>
      <c r="M325" s="31">
        <v>0</v>
      </c>
      <c r="N325" s="31"/>
      <c r="O325" s="111"/>
      <c r="P325" s="12">
        <f t="shared" si="85"/>
        <v>0</v>
      </c>
      <c r="Q325" s="12">
        <f t="shared" si="86"/>
        <v>0</v>
      </c>
      <c r="R325" s="111">
        <f t="shared" si="87"/>
        <v>0</v>
      </c>
      <c r="S325" s="305" t="s">
        <v>98</v>
      </c>
      <c r="T325" s="306"/>
    </row>
    <row r="326" spans="1:20" ht="22.5">
      <c r="A326" s="58" t="s">
        <v>15</v>
      </c>
      <c r="B326" s="8"/>
      <c r="C326" s="9" t="s">
        <v>40</v>
      </c>
      <c r="D326" s="2" t="s">
        <v>63</v>
      </c>
      <c r="E326" s="14" t="s">
        <v>62</v>
      </c>
      <c r="F326" s="80" t="s">
        <v>64</v>
      </c>
      <c r="G326" s="15">
        <v>38317</v>
      </c>
      <c r="H326" s="15">
        <v>38322</v>
      </c>
      <c r="I326" s="15" t="s">
        <v>61</v>
      </c>
      <c r="J326" s="62">
        <v>17975</v>
      </c>
      <c r="K326" s="12">
        <v>0</v>
      </c>
      <c r="L326" s="111">
        <f t="shared" si="84"/>
        <v>17975</v>
      </c>
      <c r="M326" s="12">
        <v>15977.78</v>
      </c>
      <c r="N326" s="12"/>
      <c r="O326" s="111">
        <f>M326+N326</f>
        <v>15977.78</v>
      </c>
      <c r="P326" s="12">
        <f t="shared" si="85"/>
        <v>10385.557</v>
      </c>
      <c r="Q326" s="12">
        <f t="shared" si="86"/>
        <v>0</v>
      </c>
      <c r="R326" s="111">
        <f t="shared" si="87"/>
        <v>10385.557</v>
      </c>
      <c r="S326" s="304" t="s">
        <v>103</v>
      </c>
      <c r="T326" s="304"/>
    </row>
    <row r="327" spans="1:20" ht="11.25">
      <c r="A327" s="58" t="s">
        <v>15</v>
      </c>
      <c r="B327" s="8"/>
      <c r="C327" s="9" t="s">
        <v>40</v>
      </c>
      <c r="D327" s="14" t="s">
        <v>65</v>
      </c>
      <c r="E327" s="9" t="s">
        <v>66</v>
      </c>
      <c r="F327" s="80" t="s">
        <v>67</v>
      </c>
      <c r="G327" s="15">
        <v>38321</v>
      </c>
      <c r="H327" s="15" t="s">
        <v>56</v>
      </c>
      <c r="I327" s="15" t="s">
        <v>68</v>
      </c>
      <c r="J327" s="62">
        <v>45</v>
      </c>
      <c r="K327" s="12">
        <f>+J327*0.2</f>
        <v>9</v>
      </c>
      <c r="L327" s="111">
        <f t="shared" si="84"/>
        <v>54</v>
      </c>
      <c r="M327" s="31">
        <v>0</v>
      </c>
      <c r="N327" s="31"/>
      <c r="O327" s="111"/>
      <c r="P327" s="12">
        <f t="shared" si="85"/>
        <v>0</v>
      </c>
      <c r="Q327" s="12">
        <f t="shared" si="86"/>
        <v>0</v>
      </c>
      <c r="R327" s="111">
        <f t="shared" si="87"/>
        <v>0</v>
      </c>
      <c r="S327" s="304" t="s">
        <v>69</v>
      </c>
      <c r="T327" s="304"/>
    </row>
    <row r="328" spans="1:20" ht="24.75" customHeight="1">
      <c r="A328" s="58" t="s">
        <v>15</v>
      </c>
      <c r="B328" s="8"/>
      <c r="C328" s="9" t="s">
        <v>40</v>
      </c>
      <c r="D328" s="14" t="s">
        <v>70</v>
      </c>
      <c r="E328" s="9" t="s">
        <v>71</v>
      </c>
      <c r="F328" s="67" t="s">
        <v>56</v>
      </c>
      <c r="G328" s="15" t="s">
        <v>56</v>
      </c>
      <c r="H328" s="15">
        <v>38293</v>
      </c>
      <c r="I328" s="15" t="s">
        <v>72</v>
      </c>
      <c r="J328" s="62">
        <v>145.6</v>
      </c>
      <c r="K328" s="12">
        <v>0</v>
      </c>
      <c r="L328" s="111">
        <f t="shared" si="84"/>
        <v>145.6</v>
      </c>
      <c r="M328" s="31">
        <v>0</v>
      </c>
      <c r="N328" s="31"/>
      <c r="O328" s="111"/>
      <c r="P328" s="12">
        <f t="shared" si="85"/>
        <v>0</v>
      </c>
      <c r="Q328" s="12">
        <f t="shared" si="86"/>
        <v>0</v>
      </c>
      <c r="R328" s="111">
        <f t="shared" si="87"/>
        <v>0</v>
      </c>
      <c r="S328" s="305" t="s">
        <v>100</v>
      </c>
      <c r="T328" s="306"/>
    </row>
    <row r="329" spans="1:20" ht="21" customHeight="1">
      <c r="A329" s="58" t="s">
        <v>15</v>
      </c>
      <c r="B329" s="8"/>
      <c r="C329" s="9" t="s">
        <v>40</v>
      </c>
      <c r="D329" s="14" t="s">
        <v>70</v>
      </c>
      <c r="E329" s="9" t="s">
        <v>71</v>
      </c>
      <c r="F329" s="67" t="s">
        <v>56</v>
      </c>
      <c r="G329" s="15" t="s">
        <v>56</v>
      </c>
      <c r="H329" s="15">
        <v>38343</v>
      </c>
      <c r="I329" s="15" t="s">
        <v>72</v>
      </c>
      <c r="J329" s="62">
        <v>266.5</v>
      </c>
      <c r="K329" s="12">
        <v>0</v>
      </c>
      <c r="L329" s="111">
        <f t="shared" si="84"/>
        <v>266.5</v>
      </c>
      <c r="M329" s="31">
        <v>0</v>
      </c>
      <c r="N329" s="31"/>
      <c r="O329" s="111"/>
      <c r="P329" s="12">
        <f t="shared" si="85"/>
        <v>0</v>
      </c>
      <c r="Q329" s="12">
        <f t="shared" si="86"/>
        <v>0</v>
      </c>
      <c r="R329" s="111">
        <f t="shared" si="87"/>
        <v>0</v>
      </c>
      <c r="S329" s="305" t="s">
        <v>101</v>
      </c>
      <c r="T329" s="306"/>
    </row>
    <row r="330" spans="1:20" ht="35.25" customHeight="1">
      <c r="A330" s="58" t="s">
        <v>15</v>
      </c>
      <c r="B330" s="8"/>
      <c r="C330" s="9" t="s">
        <v>40</v>
      </c>
      <c r="D330" s="14" t="s">
        <v>48</v>
      </c>
      <c r="E330" s="9" t="s">
        <v>73</v>
      </c>
      <c r="F330" s="80" t="s">
        <v>74</v>
      </c>
      <c r="G330" s="15">
        <v>38280</v>
      </c>
      <c r="H330" s="15">
        <v>38280</v>
      </c>
      <c r="I330" s="15" t="s">
        <v>68</v>
      </c>
      <c r="J330" s="62">
        <v>50.11</v>
      </c>
      <c r="K330" s="12">
        <f>+J330*0.2</f>
        <v>10.022</v>
      </c>
      <c r="L330" s="111">
        <f t="shared" si="84"/>
        <v>60.132</v>
      </c>
      <c r="M330" s="31">
        <v>0</v>
      </c>
      <c r="N330" s="31"/>
      <c r="O330" s="111"/>
      <c r="P330" s="12">
        <f t="shared" si="85"/>
        <v>0</v>
      </c>
      <c r="Q330" s="12">
        <f t="shared" si="86"/>
        <v>0</v>
      </c>
      <c r="R330" s="111">
        <f t="shared" si="87"/>
        <v>0</v>
      </c>
      <c r="S330" s="305" t="s">
        <v>102</v>
      </c>
      <c r="T330" s="306"/>
    </row>
    <row r="331" spans="1:20" ht="22.5">
      <c r="A331" s="58" t="s">
        <v>15</v>
      </c>
      <c r="B331" s="8"/>
      <c r="C331" s="9" t="s">
        <v>40</v>
      </c>
      <c r="D331" s="14" t="s">
        <v>75</v>
      </c>
      <c r="E331" s="9" t="s">
        <v>56</v>
      </c>
      <c r="F331" s="67" t="s">
        <v>56</v>
      </c>
      <c r="G331" s="15" t="s">
        <v>56</v>
      </c>
      <c r="H331" s="15" t="s">
        <v>56</v>
      </c>
      <c r="I331" s="15" t="s">
        <v>76</v>
      </c>
      <c r="J331" s="62">
        <v>364</v>
      </c>
      <c r="K331" s="12"/>
      <c r="L331" s="111">
        <f t="shared" si="84"/>
        <v>364</v>
      </c>
      <c r="M331" s="31">
        <v>0</v>
      </c>
      <c r="N331" s="31"/>
      <c r="O331" s="111"/>
      <c r="P331" s="12">
        <f t="shared" si="85"/>
        <v>0</v>
      </c>
      <c r="Q331" s="12">
        <f t="shared" si="86"/>
        <v>0</v>
      </c>
      <c r="R331" s="111">
        <f t="shared" si="87"/>
        <v>0</v>
      </c>
      <c r="S331" s="304" t="s">
        <v>84</v>
      </c>
      <c r="T331" s="304"/>
    </row>
    <row r="332" spans="1:20" ht="33.75">
      <c r="A332" s="58" t="s">
        <v>15</v>
      </c>
      <c r="B332" s="8"/>
      <c r="C332" s="9" t="s">
        <v>40</v>
      </c>
      <c r="D332" s="14" t="s">
        <v>77</v>
      </c>
      <c r="E332" s="9" t="s">
        <v>78</v>
      </c>
      <c r="F332" s="80" t="s">
        <v>79</v>
      </c>
      <c r="G332" s="15">
        <v>38265</v>
      </c>
      <c r="H332" s="15">
        <v>38265</v>
      </c>
      <c r="I332" s="15" t="s">
        <v>80</v>
      </c>
      <c r="J332" s="62">
        <v>131.41</v>
      </c>
      <c r="K332" s="12"/>
      <c r="L332" s="111">
        <f t="shared" si="84"/>
        <v>131.41</v>
      </c>
      <c r="M332" s="31">
        <f>L332</f>
        <v>131.41</v>
      </c>
      <c r="N332" s="31"/>
      <c r="O332" s="111">
        <f>M332+N332</f>
        <v>131.41</v>
      </c>
      <c r="P332" s="12">
        <f t="shared" si="85"/>
        <v>85.4165</v>
      </c>
      <c r="Q332" s="12">
        <f t="shared" si="86"/>
        <v>0</v>
      </c>
      <c r="R332" s="111">
        <f t="shared" si="87"/>
        <v>85.4165</v>
      </c>
      <c r="S332" s="304" t="s">
        <v>91</v>
      </c>
      <c r="T332" s="304"/>
    </row>
    <row r="333" spans="1:20" s="103" customFormat="1" ht="45.75" customHeight="1">
      <c r="A333" s="97" t="s">
        <v>110</v>
      </c>
      <c r="B333" s="98"/>
      <c r="C333" s="99" t="s">
        <v>111</v>
      </c>
      <c r="D333" s="104"/>
      <c r="E333" s="99"/>
      <c r="F333" s="128"/>
      <c r="G333" s="129"/>
      <c r="H333" s="129"/>
      <c r="I333" s="129"/>
      <c r="J333" s="130"/>
      <c r="K333" s="102"/>
      <c r="L333" s="111">
        <v>725.93</v>
      </c>
      <c r="M333" s="102">
        <f>L333-521.05</f>
        <v>204.88</v>
      </c>
      <c r="N333" s="102"/>
      <c r="O333" s="111">
        <f>M333+N333</f>
        <v>204.88</v>
      </c>
      <c r="P333" s="102">
        <f>M333*0.65</f>
        <v>133.172</v>
      </c>
      <c r="Q333" s="102">
        <f>N333*0.65</f>
        <v>0</v>
      </c>
      <c r="R333" s="111">
        <f>P333+Q333</f>
        <v>133.172</v>
      </c>
      <c r="S333" s="312" t="s">
        <v>113</v>
      </c>
      <c r="T333" s="313"/>
    </row>
    <row r="334" spans="1:20" s="91" customFormat="1" ht="36.75" customHeight="1">
      <c r="A334" s="85" t="s">
        <v>110</v>
      </c>
      <c r="B334" s="86"/>
      <c r="C334" s="9" t="s">
        <v>52</v>
      </c>
      <c r="D334" s="67"/>
      <c r="E334" s="87"/>
      <c r="F334" s="80"/>
      <c r="G334" s="90"/>
      <c r="H334" s="90"/>
      <c r="I334" s="90"/>
      <c r="J334" s="92">
        <v>521.05</v>
      </c>
      <c r="K334" s="31"/>
      <c r="L334" s="111">
        <f>+K334+J334</f>
        <v>521.05</v>
      </c>
      <c r="M334" s="31"/>
      <c r="N334" s="31"/>
      <c r="O334" s="111"/>
      <c r="P334" s="31"/>
      <c r="Q334" s="31"/>
      <c r="R334" s="111"/>
      <c r="S334" s="305" t="s">
        <v>92</v>
      </c>
      <c r="T334" s="306"/>
    </row>
    <row r="335" spans="1:20" s="91" customFormat="1" ht="45.75" customHeight="1">
      <c r="A335" s="85" t="s">
        <v>110</v>
      </c>
      <c r="B335" s="86"/>
      <c r="C335" s="9" t="s">
        <v>40</v>
      </c>
      <c r="D335" s="67" t="s">
        <v>145</v>
      </c>
      <c r="E335" s="87"/>
      <c r="F335" s="80"/>
      <c r="G335" s="90"/>
      <c r="H335" s="90"/>
      <c r="I335" s="90"/>
      <c r="J335" s="92">
        <v>204.88</v>
      </c>
      <c r="K335" s="31"/>
      <c r="L335" s="111">
        <f>+K335+J335</f>
        <v>204.88</v>
      </c>
      <c r="M335" s="31">
        <v>204.88</v>
      </c>
      <c r="N335" s="31"/>
      <c r="O335" s="111">
        <f>+N335+M335</f>
        <v>204.88</v>
      </c>
      <c r="P335" s="31">
        <f>+M335*0.65</f>
        <v>133.172</v>
      </c>
      <c r="Q335" s="31"/>
      <c r="R335" s="111">
        <f>+Q335+P335</f>
        <v>133.172</v>
      </c>
      <c r="S335" s="95"/>
      <c r="T335" s="96"/>
    </row>
    <row r="336" spans="1:20" s="103" customFormat="1" ht="34.5" customHeight="1">
      <c r="A336" s="97" t="s">
        <v>116</v>
      </c>
      <c r="B336" s="98"/>
      <c r="C336" s="99" t="s">
        <v>40</v>
      </c>
      <c r="D336" s="99" t="s">
        <v>111</v>
      </c>
      <c r="E336" s="130"/>
      <c r="F336" s="131"/>
      <c r="G336" s="129"/>
      <c r="H336" s="129"/>
      <c r="I336" s="130"/>
      <c r="J336" s="130"/>
      <c r="K336" s="130"/>
      <c r="L336" s="118">
        <v>18445.83</v>
      </c>
      <c r="M336" s="102"/>
      <c r="N336" s="102"/>
      <c r="O336" s="111"/>
      <c r="P336" s="102"/>
      <c r="Q336" s="102"/>
      <c r="R336" s="111"/>
      <c r="S336" s="312" t="s">
        <v>122</v>
      </c>
      <c r="T336" s="313"/>
    </row>
    <row r="337" spans="1:20" s="91" customFormat="1" ht="16.5" customHeight="1">
      <c r="A337" s="85" t="s">
        <v>116</v>
      </c>
      <c r="B337" s="86"/>
      <c r="C337" s="87" t="s">
        <v>40</v>
      </c>
      <c r="D337" s="143" t="s">
        <v>150</v>
      </c>
      <c r="E337" s="12" t="s">
        <v>151</v>
      </c>
      <c r="F337" s="144" t="s">
        <v>152</v>
      </c>
      <c r="G337" s="10">
        <v>38475</v>
      </c>
      <c r="H337" s="10">
        <f>G337</f>
        <v>38475</v>
      </c>
      <c r="I337" s="12" t="s">
        <v>153</v>
      </c>
      <c r="J337" s="12">
        <v>100.82</v>
      </c>
      <c r="K337" s="12">
        <v>20.16</v>
      </c>
      <c r="L337" s="111">
        <f>+K337+J337</f>
        <v>120.97999999999999</v>
      </c>
      <c r="M337" s="31"/>
      <c r="N337" s="31"/>
      <c r="O337" s="111"/>
      <c r="P337" s="31"/>
      <c r="Q337" s="31"/>
      <c r="R337" s="111"/>
      <c r="S337" s="353" t="s">
        <v>469</v>
      </c>
      <c r="T337" s="354"/>
    </row>
    <row r="338" spans="1:20" s="91" customFormat="1" ht="24.75" customHeight="1">
      <c r="A338" s="85" t="s">
        <v>116</v>
      </c>
      <c r="B338" s="86"/>
      <c r="C338" s="87" t="s">
        <v>40</v>
      </c>
      <c r="D338" s="147" t="s">
        <v>154</v>
      </c>
      <c r="E338" s="148" t="s">
        <v>155</v>
      </c>
      <c r="F338" s="149">
        <v>100</v>
      </c>
      <c r="G338" s="150">
        <v>38496</v>
      </c>
      <c r="H338" s="15">
        <f>G338</f>
        <v>38496</v>
      </c>
      <c r="I338" s="148" t="s">
        <v>156</v>
      </c>
      <c r="J338" s="151">
        <v>582</v>
      </c>
      <c r="K338" s="148">
        <v>116.4</v>
      </c>
      <c r="L338" s="118">
        <f>+K338+J338</f>
        <v>698.4</v>
      </c>
      <c r="M338" s="31">
        <v>582</v>
      </c>
      <c r="N338" s="31">
        <v>116.4</v>
      </c>
      <c r="O338" s="111">
        <f>+N338+M338</f>
        <v>698.4</v>
      </c>
      <c r="P338" s="31">
        <f>+M338*0.65</f>
        <v>378.3</v>
      </c>
      <c r="Q338" s="31">
        <f>+N338*0.65</f>
        <v>75.66000000000001</v>
      </c>
      <c r="R338" s="111">
        <f>+P338+Q338</f>
        <v>453.96000000000004</v>
      </c>
      <c r="S338" s="349"/>
      <c r="T338" s="350"/>
    </row>
    <row r="339" spans="1:20" s="91" customFormat="1" ht="23.25" customHeight="1">
      <c r="A339" s="85" t="s">
        <v>116</v>
      </c>
      <c r="B339" s="86"/>
      <c r="C339" s="87" t="s">
        <v>40</v>
      </c>
      <c r="D339" s="147" t="s">
        <v>157</v>
      </c>
      <c r="E339" s="148" t="s">
        <v>158</v>
      </c>
      <c r="F339" s="149">
        <v>25</v>
      </c>
      <c r="G339" s="150">
        <v>38541</v>
      </c>
      <c r="H339" s="150">
        <f>G339</f>
        <v>38541</v>
      </c>
      <c r="I339" s="148" t="s">
        <v>159</v>
      </c>
      <c r="J339" s="151">
        <v>384</v>
      </c>
      <c r="K339" s="148">
        <v>77</v>
      </c>
      <c r="L339" s="118">
        <f>+K339+J339</f>
        <v>461</v>
      </c>
      <c r="M339" s="31"/>
      <c r="N339" s="31"/>
      <c r="O339" s="111"/>
      <c r="P339" s="31"/>
      <c r="Q339" s="31"/>
      <c r="R339" s="111"/>
      <c r="S339" s="353" t="s">
        <v>234</v>
      </c>
      <c r="T339" s="354"/>
    </row>
    <row r="340" spans="1:20" s="91" customFormat="1" ht="21.75" customHeight="1">
      <c r="A340" s="85" t="s">
        <v>116</v>
      </c>
      <c r="B340" s="86"/>
      <c r="C340" s="87" t="s">
        <v>40</v>
      </c>
      <c r="D340" s="147" t="s">
        <v>160</v>
      </c>
      <c r="E340" s="148" t="s">
        <v>161</v>
      </c>
      <c r="F340" s="152" t="s">
        <v>168</v>
      </c>
      <c r="G340" s="150">
        <v>38521</v>
      </c>
      <c r="H340" s="150">
        <v>38541</v>
      </c>
      <c r="I340" s="148" t="s">
        <v>162</v>
      </c>
      <c r="J340" s="151"/>
      <c r="K340" s="148"/>
      <c r="L340" s="118">
        <v>3044</v>
      </c>
      <c r="M340" s="31"/>
      <c r="N340" s="31"/>
      <c r="O340" s="111"/>
      <c r="P340" s="31"/>
      <c r="Q340" s="31"/>
      <c r="R340" s="111"/>
      <c r="S340" s="353" t="s">
        <v>235</v>
      </c>
      <c r="T340" s="354"/>
    </row>
    <row r="341" spans="1:20" s="91" customFormat="1" ht="16.5" customHeight="1">
      <c r="A341" s="85" t="s">
        <v>116</v>
      </c>
      <c r="B341" s="86"/>
      <c r="C341" s="87" t="s">
        <v>40</v>
      </c>
      <c r="D341" s="147" t="s">
        <v>157</v>
      </c>
      <c r="E341" s="148" t="s">
        <v>163</v>
      </c>
      <c r="F341" s="149">
        <v>287</v>
      </c>
      <c r="G341" s="150">
        <v>38548</v>
      </c>
      <c r="H341" s="150">
        <f aca="true" t="shared" si="88" ref="H341:H346">G341</f>
        <v>38548</v>
      </c>
      <c r="I341" s="148" t="s">
        <v>153</v>
      </c>
      <c r="J341" s="151">
        <v>230</v>
      </c>
      <c r="K341" s="148">
        <f>+J341*0.2</f>
        <v>46</v>
      </c>
      <c r="L341" s="118">
        <f>+K341+J341</f>
        <v>276</v>
      </c>
      <c r="M341" s="31"/>
      <c r="N341" s="31"/>
      <c r="O341" s="111"/>
      <c r="P341" s="31"/>
      <c r="Q341" s="31"/>
      <c r="R341" s="111"/>
      <c r="S341" s="353" t="s">
        <v>470</v>
      </c>
      <c r="T341" s="354"/>
    </row>
    <row r="342" spans="1:20" s="91" customFormat="1" ht="21.75" customHeight="1">
      <c r="A342" s="85" t="s">
        <v>116</v>
      </c>
      <c r="B342" s="86"/>
      <c r="C342" s="87" t="s">
        <v>40</v>
      </c>
      <c r="D342" s="147" t="s">
        <v>150</v>
      </c>
      <c r="E342" s="148" t="s">
        <v>164</v>
      </c>
      <c r="F342" s="149">
        <v>397</v>
      </c>
      <c r="G342" s="150">
        <v>38548</v>
      </c>
      <c r="H342" s="150">
        <f t="shared" si="88"/>
        <v>38548</v>
      </c>
      <c r="I342" s="148" t="s">
        <v>165</v>
      </c>
      <c r="J342" s="151">
        <v>152</v>
      </c>
      <c r="K342" s="148">
        <f>+J342*0.2</f>
        <v>30.400000000000002</v>
      </c>
      <c r="L342" s="118">
        <f>+K342+J342</f>
        <v>182.4</v>
      </c>
      <c r="M342" s="31"/>
      <c r="N342" s="31"/>
      <c r="O342" s="111"/>
      <c r="P342" s="31"/>
      <c r="Q342" s="31"/>
      <c r="R342" s="111"/>
      <c r="S342" s="353" t="s">
        <v>236</v>
      </c>
      <c r="T342" s="354"/>
    </row>
    <row r="343" spans="1:20" s="91" customFormat="1" ht="21.75" customHeight="1">
      <c r="A343" s="85" t="s">
        <v>116</v>
      </c>
      <c r="B343" s="86"/>
      <c r="C343" s="87" t="s">
        <v>40</v>
      </c>
      <c r="D343" s="147" t="s">
        <v>160</v>
      </c>
      <c r="E343" s="148" t="s">
        <v>166</v>
      </c>
      <c r="F343" s="149" t="s">
        <v>167</v>
      </c>
      <c r="G343" s="150">
        <v>38510</v>
      </c>
      <c r="H343" s="150">
        <f t="shared" si="88"/>
        <v>38510</v>
      </c>
      <c r="I343" s="148" t="s">
        <v>162</v>
      </c>
      <c r="J343" s="151"/>
      <c r="K343" s="148"/>
      <c r="L343" s="118">
        <v>778</v>
      </c>
      <c r="M343" s="31"/>
      <c r="N343" s="31"/>
      <c r="O343" s="111"/>
      <c r="P343" s="31"/>
      <c r="Q343" s="31"/>
      <c r="R343" s="111"/>
      <c r="S343" s="353" t="s">
        <v>237</v>
      </c>
      <c r="T343" s="354"/>
    </row>
    <row r="344" spans="1:20" s="91" customFormat="1" ht="24.75" customHeight="1">
      <c r="A344" s="85" t="s">
        <v>116</v>
      </c>
      <c r="B344" s="86"/>
      <c r="C344" s="87" t="s">
        <v>40</v>
      </c>
      <c r="D344" s="147" t="s">
        <v>160</v>
      </c>
      <c r="E344" s="148" t="s">
        <v>166</v>
      </c>
      <c r="F344" s="149" t="s">
        <v>169</v>
      </c>
      <c r="G344" s="150">
        <v>38510</v>
      </c>
      <c r="H344" s="150">
        <f t="shared" si="88"/>
        <v>38510</v>
      </c>
      <c r="I344" s="148" t="s">
        <v>162</v>
      </c>
      <c r="J344" s="151"/>
      <c r="K344" s="148"/>
      <c r="L344" s="118">
        <v>159.5</v>
      </c>
      <c r="M344" s="31"/>
      <c r="N344" s="31"/>
      <c r="O344" s="111"/>
      <c r="P344" s="31"/>
      <c r="Q344" s="31"/>
      <c r="R344" s="111"/>
      <c r="S344" s="353" t="s">
        <v>237</v>
      </c>
      <c r="T344" s="354"/>
    </row>
    <row r="345" spans="1:20" s="91" customFormat="1" ht="25.5" customHeight="1">
      <c r="A345" s="85" t="s">
        <v>116</v>
      </c>
      <c r="B345" s="86"/>
      <c r="C345" s="87" t="s">
        <v>40</v>
      </c>
      <c r="D345" s="147" t="s">
        <v>154</v>
      </c>
      <c r="E345" s="148" t="s">
        <v>170</v>
      </c>
      <c r="F345" s="149">
        <v>3390</v>
      </c>
      <c r="G345" s="150">
        <v>38551</v>
      </c>
      <c r="H345" s="150">
        <f t="shared" si="88"/>
        <v>38551</v>
      </c>
      <c r="I345" s="148" t="s">
        <v>162</v>
      </c>
      <c r="J345" s="151">
        <v>159.08</v>
      </c>
      <c r="K345" s="148">
        <f>+J345*0.2</f>
        <v>31.816000000000003</v>
      </c>
      <c r="L345" s="118">
        <f>+K345+J345</f>
        <v>190.89600000000002</v>
      </c>
      <c r="M345" s="31"/>
      <c r="N345" s="31"/>
      <c r="O345" s="111"/>
      <c r="P345" s="31"/>
      <c r="Q345" s="31"/>
      <c r="R345" s="111"/>
      <c r="S345" s="353" t="s">
        <v>236</v>
      </c>
      <c r="T345" s="354"/>
    </row>
    <row r="346" spans="1:20" s="91" customFormat="1" ht="20.25" customHeight="1">
      <c r="A346" s="85" t="s">
        <v>116</v>
      </c>
      <c r="B346" s="86"/>
      <c r="C346" s="87" t="s">
        <v>40</v>
      </c>
      <c r="D346" s="147" t="s">
        <v>171</v>
      </c>
      <c r="E346" s="148" t="s">
        <v>172</v>
      </c>
      <c r="F346" s="149" t="s">
        <v>173</v>
      </c>
      <c r="G346" s="150">
        <v>38554</v>
      </c>
      <c r="H346" s="150">
        <f t="shared" si="88"/>
        <v>38554</v>
      </c>
      <c r="I346" s="148" t="s">
        <v>174</v>
      </c>
      <c r="J346" s="151">
        <v>245.45</v>
      </c>
      <c r="K346" s="148">
        <v>24.55</v>
      </c>
      <c r="L346" s="118">
        <f>+K346+J346</f>
        <v>270</v>
      </c>
      <c r="M346" s="31"/>
      <c r="N346" s="31"/>
      <c r="O346" s="111">
        <f>+M346+N346</f>
        <v>0</v>
      </c>
      <c r="P346" s="31">
        <f>+M346*0.65</f>
        <v>0</v>
      </c>
      <c r="Q346" s="31">
        <f>+N346*0.65</f>
        <v>0</v>
      </c>
      <c r="R346" s="111">
        <f>+P346+Q346</f>
        <v>0</v>
      </c>
      <c r="S346" s="353" t="s">
        <v>238</v>
      </c>
      <c r="T346" s="354"/>
    </row>
    <row r="347" spans="1:20" s="91" customFormat="1" ht="72" customHeight="1">
      <c r="A347" s="85" t="s">
        <v>116</v>
      </c>
      <c r="B347" s="86"/>
      <c r="C347" s="87" t="s">
        <v>40</v>
      </c>
      <c r="D347" s="147" t="s">
        <v>160</v>
      </c>
      <c r="E347" s="148" t="s">
        <v>175</v>
      </c>
      <c r="F347" s="149" t="s">
        <v>176</v>
      </c>
      <c r="G347" s="150">
        <v>38518</v>
      </c>
      <c r="H347" s="150">
        <v>38558</v>
      </c>
      <c r="I347" s="148" t="s">
        <v>162</v>
      </c>
      <c r="J347" s="151"/>
      <c r="K347" s="148"/>
      <c r="L347" s="118">
        <v>345.27</v>
      </c>
      <c r="M347" s="31"/>
      <c r="N347" s="31"/>
      <c r="O347" s="111"/>
      <c r="P347" s="31"/>
      <c r="Q347" s="31"/>
      <c r="R347" s="111"/>
      <c r="S347" s="353" t="s">
        <v>201</v>
      </c>
      <c r="T347" s="354"/>
    </row>
    <row r="348" spans="1:20" s="91" customFormat="1" ht="48.75" customHeight="1">
      <c r="A348" s="85" t="s">
        <v>116</v>
      </c>
      <c r="B348" s="86"/>
      <c r="C348" s="87" t="s">
        <v>40</v>
      </c>
      <c r="D348" s="147" t="s">
        <v>177</v>
      </c>
      <c r="E348" s="148" t="s">
        <v>178</v>
      </c>
      <c r="F348" s="149">
        <v>8</v>
      </c>
      <c r="G348" s="150">
        <v>38569</v>
      </c>
      <c r="H348" s="150">
        <v>38574</v>
      </c>
      <c r="I348" s="148" t="s">
        <v>179</v>
      </c>
      <c r="J348" s="151"/>
      <c r="K348" s="148"/>
      <c r="L348" s="118">
        <v>320</v>
      </c>
      <c r="M348" s="31"/>
      <c r="N348" s="31"/>
      <c r="O348" s="111"/>
      <c r="P348" s="31"/>
      <c r="Q348" s="31"/>
      <c r="R348" s="111"/>
      <c r="S348" s="353" t="s">
        <v>239</v>
      </c>
      <c r="T348" s="354"/>
    </row>
    <row r="349" spans="1:20" s="91" customFormat="1" ht="23.25" customHeight="1">
      <c r="A349" s="85" t="s">
        <v>116</v>
      </c>
      <c r="B349" s="86"/>
      <c r="C349" s="87" t="s">
        <v>40</v>
      </c>
      <c r="D349" s="147" t="s">
        <v>180</v>
      </c>
      <c r="E349" s="148" t="s">
        <v>181</v>
      </c>
      <c r="F349" s="149"/>
      <c r="G349" s="150"/>
      <c r="H349" s="150">
        <v>38574</v>
      </c>
      <c r="I349" s="148" t="s">
        <v>162</v>
      </c>
      <c r="J349" s="151"/>
      <c r="K349" s="148"/>
      <c r="L349" s="118">
        <v>5</v>
      </c>
      <c r="M349" s="31"/>
      <c r="N349" s="31"/>
      <c r="O349" s="111"/>
      <c r="P349" s="31"/>
      <c r="Q349" s="31"/>
      <c r="R349" s="111"/>
      <c r="S349" s="353" t="s">
        <v>196</v>
      </c>
      <c r="T349" s="354"/>
    </row>
    <row r="350" spans="1:20" s="91" customFormat="1" ht="32.25" customHeight="1">
      <c r="A350" s="85" t="s">
        <v>116</v>
      </c>
      <c r="B350" s="86"/>
      <c r="C350" s="87" t="s">
        <v>40</v>
      </c>
      <c r="D350" s="147" t="s">
        <v>182</v>
      </c>
      <c r="E350" s="155" t="s">
        <v>183</v>
      </c>
      <c r="F350" s="149">
        <v>-4611</v>
      </c>
      <c r="G350" s="150">
        <v>38559</v>
      </c>
      <c r="H350" s="150">
        <v>38575</v>
      </c>
      <c r="I350" s="148" t="s">
        <v>184</v>
      </c>
      <c r="J350" s="151"/>
      <c r="K350" s="148"/>
      <c r="L350" s="118">
        <v>862.92</v>
      </c>
      <c r="M350" s="31"/>
      <c r="N350" s="31"/>
      <c r="O350" s="111"/>
      <c r="P350" s="31"/>
      <c r="Q350" s="31"/>
      <c r="R350" s="111"/>
      <c r="S350" s="353" t="s">
        <v>239</v>
      </c>
      <c r="T350" s="354"/>
    </row>
    <row r="351" spans="1:20" s="91" customFormat="1" ht="22.5" customHeight="1">
      <c r="A351" s="85" t="s">
        <v>116</v>
      </c>
      <c r="B351" s="86"/>
      <c r="C351" s="87" t="s">
        <v>40</v>
      </c>
      <c r="D351" s="147" t="s">
        <v>150</v>
      </c>
      <c r="E351" s="155" t="s">
        <v>151</v>
      </c>
      <c r="F351" s="149" t="s">
        <v>185</v>
      </c>
      <c r="G351" s="150">
        <v>38594</v>
      </c>
      <c r="H351" s="150">
        <v>38594</v>
      </c>
      <c r="I351" s="148" t="s">
        <v>186</v>
      </c>
      <c r="J351" s="151">
        <v>97.08</v>
      </c>
      <c r="K351" s="148">
        <f>+J351*0.2</f>
        <v>19.416</v>
      </c>
      <c r="L351" s="118">
        <f>+K351+J351</f>
        <v>116.496</v>
      </c>
      <c r="M351" s="31"/>
      <c r="N351" s="31"/>
      <c r="O351" s="111"/>
      <c r="P351" s="31"/>
      <c r="Q351" s="31"/>
      <c r="R351" s="111"/>
      <c r="S351" s="353" t="s">
        <v>236</v>
      </c>
      <c r="T351" s="354"/>
    </row>
    <row r="352" spans="1:20" s="91" customFormat="1" ht="23.25" customHeight="1">
      <c r="A352" s="85" t="s">
        <v>116</v>
      </c>
      <c r="B352" s="86"/>
      <c r="C352" s="87" t="s">
        <v>40</v>
      </c>
      <c r="D352" s="147" t="s">
        <v>154</v>
      </c>
      <c r="E352" s="155" t="s">
        <v>170</v>
      </c>
      <c r="F352" s="149">
        <v>3950</v>
      </c>
      <c r="G352" s="150">
        <v>38595</v>
      </c>
      <c r="H352" s="150">
        <v>38595</v>
      </c>
      <c r="I352" s="148" t="s">
        <v>187</v>
      </c>
      <c r="J352" s="151">
        <v>130</v>
      </c>
      <c r="K352" s="148">
        <v>21.87</v>
      </c>
      <c r="L352" s="118">
        <f>+K352+J352</f>
        <v>151.87</v>
      </c>
      <c r="M352" s="31"/>
      <c r="N352" s="31"/>
      <c r="O352" s="111"/>
      <c r="P352" s="31"/>
      <c r="Q352" s="31"/>
      <c r="R352" s="111"/>
      <c r="S352" s="353" t="s">
        <v>236</v>
      </c>
      <c r="T352" s="354"/>
    </row>
    <row r="353" spans="1:20" s="91" customFormat="1" ht="35.25" customHeight="1">
      <c r="A353" s="85" t="s">
        <v>116</v>
      </c>
      <c r="B353" s="86"/>
      <c r="C353" s="87" t="s">
        <v>40</v>
      </c>
      <c r="D353" s="147" t="s">
        <v>188</v>
      </c>
      <c r="E353" s="156" t="s">
        <v>189</v>
      </c>
      <c r="F353" s="149">
        <v>1444</v>
      </c>
      <c r="G353" s="157">
        <v>38595</v>
      </c>
      <c r="H353" s="150">
        <v>38565</v>
      </c>
      <c r="I353" s="148" t="s">
        <v>190</v>
      </c>
      <c r="J353" s="158">
        <v>600</v>
      </c>
      <c r="K353" s="148">
        <f>+J353*0.2</f>
        <v>120</v>
      </c>
      <c r="L353" s="118">
        <f>+K353+J353</f>
        <v>720</v>
      </c>
      <c r="M353" s="31"/>
      <c r="N353" s="31"/>
      <c r="O353" s="111"/>
      <c r="P353" s="31"/>
      <c r="Q353" s="31"/>
      <c r="R353" s="111"/>
      <c r="S353" s="353" t="s">
        <v>239</v>
      </c>
      <c r="T353" s="354"/>
    </row>
    <row r="354" spans="1:20" s="91" customFormat="1" ht="22.5" customHeight="1">
      <c r="A354" s="85" t="s">
        <v>116</v>
      </c>
      <c r="B354" s="86"/>
      <c r="C354" s="87" t="s">
        <v>40</v>
      </c>
      <c r="D354" s="147" t="s">
        <v>160</v>
      </c>
      <c r="E354" s="156" t="s">
        <v>161</v>
      </c>
      <c r="F354" s="162" t="s">
        <v>198</v>
      </c>
      <c r="G354" s="157">
        <v>38581</v>
      </c>
      <c r="H354" s="150">
        <v>38601</v>
      </c>
      <c r="I354" s="148" t="s">
        <v>162</v>
      </c>
      <c r="J354" s="159"/>
      <c r="K354" s="148"/>
      <c r="L354" s="118">
        <v>3275</v>
      </c>
      <c r="M354" s="31"/>
      <c r="N354" s="31"/>
      <c r="O354" s="111"/>
      <c r="P354" s="31"/>
      <c r="Q354" s="31"/>
      <c r="R354" s="111"/>
      <c r="S354" s="353" t="s">
        <v>199</v>
      </c>
      <c r="T354" s="354"/>
    </row>
    <row r="355" spans="1:20" s="91" customFormat="1" ht="21.75" customHeight="1">
      <c r="A355" s="85" t="s">
        <v>116</v>
      </c>
      <c r="B355" s="86"/>
      <c r="C355" s="87" t="s">
        <v>40</v>
      </c>
      <c r="D355" s="147" t="s">
        <v>160</v>
      </c>
      <c r="E355" s="156" t="s">
        <v>166</v>
      </c>
      <c r="F355" s="93" t="s">
        <v>191</v>
      </c>
      <c r="G355" s="18">
        <v>38569</v>
      </c>
      <c r="H355" s="150">
        <v>38610</v>
      </c>
      <c r="I355" s="148" t="s">
        <v>192</v>
      </c>
      <c r="J355" s="160"/>
      <c r="K355" s="148"/>
      <c r="L355" s="118">
        <v>136.5</v>
      </c>
      <c r="M355" s="31"/>
      <c r="N355" s="31"/>
      <c r="O355" s="111"/>
      <c r="P355" s="31"/>
      <c r="Q355" s="31"/>
      <c r="R355" s="111"/>
      <c r="S355" s="353" t="s">
        <v>197</v>
      </c>
      <c r="T355" s="354"/>
    </row>
    <row r="356" spans="1:20" s="91" customFormat="1" ht="34.5" customHeight="1">
      <c r="A356" s="85" t="s">
        <v>116</v>
      </c>
      <c r="B356" s="86"/>
      <c r="C356" s="87" t="s">
        <v>40</v>
      </c>
      <c r="D356" s="147" t="s">
        <v>160</v>
      </c>
      <c r="E356" s="156" t="s">
        <v>166</v>
      </c>
      <c r="F356" s="93" t="s">
        <v>193</v>
      </c>
      <c r="G356" s="18">
        <v>38569</v>
      </c>
      <c r="H356" s="150">
        <v>38610</v>
      </c>
      <c r="I356" s="148"/>
      <c r="J356" s="160"/>
      <c r="K356" s="148"/>
      <c r="L356" s="118">
        <v>149</v>
      </c>
      <c r="M356" s="31"/>
      <c r="N356" s="31"/>
      <c r="O356" s="111"/>
      <c r="P356" s="31"/>
      <c r="Q356" s="31"/>
      <c r="R356" s="111"/>
      <c r="S356" s="353" t="s">
        <v>200</v>
      </c>
      <c r="T356" s="354"/>
    </row>
    <row r="357" spans="1:20" s="91" customFormat="1" ht="21.75" customHeight="1">
      <c r="A357" s="85" t="s">
        <v>116</v>
      </c>
      <c r="B357" s="86"/>
      <c r="C357" s="87" t="s">
        <v>40</v>
      </c>
      <c r="D357" s="147" t="s">
        <v>177</v>
      </c>
      <c r="E357" s="148" t="s">
        <v>178</v>
      </c>
      <c r="F357" s="93">
        <v>9</v>
      </c>
      <c r="G357" s="18">
        <v>38615</v>
      </c>
      <c r="H357" s="150">
        <v>38617</v>
      </c>
      <c r="I357" s="148" t="s">
        <v>179</v>
      </c>
      <c r="J357" s="160"/>
      <c r="K357" s="148"/>
      <c r="L357" s="118">
        <v>160</v>
      </c>
      <c r="M357" s="31"/>
      <c r="N357" s="31"/>
      <c r="O357" s="111"/>
      <c r="P357" s="31"/>
      <c r="Q357" s="31"/>
      <c r="R357" s="111"/>
      <c r="S357" s="353" t="s">
        <v>200</v>
      </c>
      <c r="T357" s="354"/>
    </row>
    <row r="358" spans="1:20" s="91" customFormat="1" ht="23.25" customHeight="1">
      <c r="A358" s="85" t="s">
        <v>116</v>
      </c>
      <c r="B358" s="86"/>
      <c r="C358" s="87" t="s">
        <v>40</v>
      </c>
      <c r="D358" s="147" t="s">
        <v>182</v>
      </c>
      <c r="E358" s="156" t="s">
        <v>183</v>
      </c>
      <c r="F358" s="93">
        <v>-44612</v>
      </c>
      <c r="G358" s="18">
        <v>38597</v>
      </c>
      <c r="H358" s="150">
        <v>38614</v>
      </c>
      <c r="I358" s="148" t="s">
        <v>192</v>
      </c>
      <c r="J358" s="160"/>
      <c r="K358" s="148"/>
      <c r="L358" s="118">
        <v>95.16</v>
      </c>
      <c r="M358" s="31"/>
      <c r="N358" s="31"/>
      <c r="O358" s="111"/>
      <c r="P358" s="31"/>
      <c r="Q358" s="31"/>
      <c r="R358" s="111"/>
      <c r="S358" s="353" t="s">
        <v>200</v>
      </c>
      <c r="T358" s="354"/>
    </row>
    <row r="359" spans="1:20" s="91" customFormat="1" ht="70.5" customHeight="1">
      <c r="A359" s="85" t="s">
        <v>116</v>
      </c>
      <c r="B359" s="86"/>
      <c r="C359" s="87" t="s">
        <v>40</v>
      </c>
      <c r="D359" s="147" t="s">
        <v>160</v>
      </c>
      <c r="E359" s="156" t="s">
        <v>175</v>
      </c>
      <c r="F359" s="93" t="s">
        <v>194</v>
      </c>
      <c r="G359" s="18">
        <v>38576</v>
      </c>
      <c r="H359" s="150">
        <v>38621</v>
      </c>
      <c r="I359" s="148" t="s">
        <v>162</v>
      </c>
      <c r="J359" s="160"/>
      <c r="K359" s="148"/>
      <c r="L359" s="118">
        <v>241.69</v>
      </c>
      <c r="M359" s="31"/>
      <c r="N359" s="31"/>
      <c r="O359" s="111"/>
      <c r="P359" s="31"/>
      <c r="Q359" s="31"/>
      <c r="R359" s="111"/>
      <c r="S359" s="353" t="s">
        <v>201</v>
      </c>
      <c r="T359" s="354"/>
    </row>
    <row r="360" spans="1:20" s="91" customFormat="1" ht="23.25" customHeight="1">
      <c r="A360" s="85" t="s">
        <v>116</v>
      </c>
      <c r="B360" s="86"/>
      <c r="C360" s="87" t="s">
        <v>40</v>
      </c>
      <c r="D360" s="14" t="s">
        <v>160</v>
      </c>
      <c r="E360" s="161" t="s">
        <v>166</v>
      </c>
      <c r="F360" s="93" t="s">
        <v>195</v>
      </c>
      <c r="G360" s="18">
        <v>38603</v>
      </c>
      <c r="H360" s="150">
        <v>38635</v>
      </c>
      <c r="I360" s="148" t="s">
        <v>192</v>
      </c>
      <c r="J360" s="160"/>
      <c r="K360" s="148"/>
      <c r="L360" s="118">
        <v>76</v>
      </c>
      <c r="M360" s="31"/>
      <c r="N360" s="31"/>
      <c r="O360" s="111"/>
      <c r="P360" s="31"/>
      <c r="Q360" s="31"/>
      <c r="R360" s="111"/>
      <c r="S360" s="353" t="s">
        <v>197</v>
      </c>
      <c r="T360" s="354"/>
    </row>
    <row r="361" spans="1:20" s="91" customFormat="1" ht="83.25" customHeight="1">
      <c r="A361" s="85" t="s">
        <v>116</v>
      </c>
      <c r="B361" s="86"/>
      <c r="C361" s="87" t="s">
        <v>40</v>
      </c>
      <c r="D361" s="9" t="s">
        <v>202</v>
      </c>
      <c r="E361" s="154" t="s">
        <v>203</v>
      </c>
      <c r="F361" s="144">
        <v>10</v>
      </c>
      <c r="G361" s="17">
        <v>38506</v>
      </c>
      <c r="H361" s="146">
        <v>38631</v>
      </c>
      <c r="I361" s="145" t="s">
        <v>179</v>
      </c>
      <c r="J361" s="153"/>
      <c r="K361" s="145">
        <f>+J361*0.2</f>
        <v>0</v>
      </c>
      <c r="L361" s="111">
        <v>4007.72</v>
      </c>
      <c r="M361" s="31"/>
      <c r="N361" s="31"/>
      <c r="O361" s="111"/>
      <c r="P361" s="31"/>
      <c r="Q361" s="31"/>
      <c r="R361" s="111"/>
      <c r="S361" s="353" t="s">
        <v>240</v>
      </c>
      <c r="T361" s="354"/>
    </row>
    <row r="362" spans="1:20" s="91" customFormat="1" ht="23.25" customHeight="1">
      <c r="A362" s="85" t="s">
        <v>116</v>
      </c>
      <c r="B362" s="86"/>
      <c r="C362" s="87" t="s">
        <v>40</v>
      </c>
      <c r="D362" s="9" t="s">
        <v>180</v>
      </c>
      <c r="E362" s="154" t="s">
        <v>204</v>
      </c>
      <c r="F362" s="144"/>
      <c r="G362" s="17">
        <v>38506</v>
      </c>
      <c r="H362" s="146">
        <v>38631</v>
      </c>
      <c r="I362" s="148" t="s">
        <v>162</v>
      </c>
      <c r="J362" s="153"/>
      <c r="K362" s="145"/>
      <c r="L362" s="111">
        <v>5</v>
      </c>
      <c r="M362" s="31"/>
      <c r="N362" s="31"/>
      <c r="O362" s="111"/>
      <c r="P362" s="31"/>
      <c r="Q362" s="31"/>
      <c r="R362" s="111"/>
      <c r="S362" s="320" t="s">
        <v>207</v>
      </c>
      <c r="T362" s="321"/>
    </row>
    <row r="363" spans="1:20" s="91" customFormat="1" ht="23.25" customHeight="1">
      <c r="A363" s="85" t="s">
        <v>116</v>
      </c>
      <c r="B363" s="86"/>
      <c r="C363" s="87" t="s">
        <v>40</v>
      </c>
      <c r="D363" s="9" t="s">
        <v>205</v>
      </c>
      <c r="E363" s="163" t="s">
        <v>206</v>
      </c>
      <c r="F363" s="144"/>
      <c r="G363" s="17">
        <v>38476</v>
      </c>
      <c r="H363" s="146">
        <v>38476</v>
      </c>
      <c r="I363" s="148" t="s">
        <v>162</v>
      </c>
      <c r="J363" s="153"/>
      <c r="K363" s="145"/>
      <c r="L363" s="111">
        <v>7.75</v>
      </c>
      <c r="M363" s="31"/>
      <c r="N363" s="31"/>
      <c r="O363" s="111"/>
      <c r="P363" s="31"/>
      <c r="Q363" s="31"/>
      <c r="R363" s="111"/>
      <c r="S363" s="322"/>
      <c r="T363" s="323"/>
    </row>
    <row r="364" spans="1:20" s="91" customFormat="1" ht="23.25" customHeight="1">
      <c r="A364" s="85" t="s">
        <v>116</v>
      </c>
      <c r="B364" s="86"/>
      <c r="C364" s="87" t="s">
        <v>40</v>
      </c>
      <c r="D364" s="9" t="s">
        <v>205</v>
      </c>
      <c r="E364" s="154" t="s">
        <v>206</v>
      </c>
      <c r="F364" s="144"/>
      <c r="G364" s="17">
        <v>38476</v>
      </c>
      <c r="H364" s="146">
        <v>38476</v>
      </c>
      <c r="I364" s="148" t="s">
        <v>162</v>
      </c>
      <c r="J364" s="153"/>
      <c r="K364" s="145"/>
      <c r="L364" s="111">
        <v>7.75</v>
      </c>
      <c r="M364" s="31"/>
      <c r="N364" s="31"/>
      <c r="O364" s="111"/>
      <c r="P364" s="31"/>
      <c r="Q364" s="31"/>
      <c r="R364" s="111"/>
      <c r="S364" s="322"/>
      <c r="T364" s="323"/>
    </row>
    <row r="365" spans="1:20" s="91" customFormat="1" ht="23.25" customHeight="1">
      <c r="A365" s="85" t="s">
        <v>116</v>
      </c>
      <c r="B365" s="86"/>
      <c r="C365" s="87" t="s">
        <v>40</v>
      </c>
      <c r="D365" s="9" t="s">
        <v>205</v>
      </c>
      <c r="E365" s="154" t="s">
        <v>206</v>
      </c>
      <c r="F365" s="144"/>
      <c r="G365" s="17">
        <v>38537</v>
      </c>
      <c r="H365" s="164">
        <v>38537</v>
      </c>
      <c r="I365" s="148" t="s">
        <v>162</v>
      </c>
      <c r="J365" s="153"/>
      <c r="K365" s="145"/>
      <c r="L365" s="111">
        <v>8.55</v>
      </c>
      <c r="M365" s="31"/>
      <c r="N365" s="31"/>
      <c r="O365" s="111"/>
      <c r="P365" s="31"/>
      <c r="Q365" s="31"/>
      <c r="R365" s="111"/>
      <c r="S365" s="322"/>
      <c r="T365" s="323"/>
    </row>
    <row r="366" spans="1:20" s="91" customFormat="1" ht="23.25" customHeight="1">
      <c r="A366" s="85" t="s">
        <v>116</v>
      </c>
      <c r="B366" s="86"/>
      <c r="C366" s="87" t="s">
        <v>40</v>
      </c>
      <c r="D366" s="9" t="s">
        <v>205</v>
      </c>
      <c r="E366" s="154" t="s">
        <v>206</v>
      </c>
      <c r="F366" s="144"/>
      <c r="G366" s="17">
        <v>38538</v>
      </c>
      <c r="H366" s="164">
        <v>38538</v>
      </c>
      <c r="I366" s="148" t="s">
        <v>162</v>
      </c>
      <c r="J366" s="153"/>
      <c r="K366" s="145"/>
      <c r="L366" s="111">
        <v>7.75</v>
      </c>
      <c r="M366" s="31"/>
      <c r="N366" s="31"/>
      <c r="O366" s="111"/>
      <c r="P366" s="31"/>
      <c r="Q366" s="31"/>
      <c r="R366" s="111"/>
      <c r="S366" s="322"/>
      <c r="T366" s="323"/>
    </row>
    <row r="367" spans="1:20" s="91" customFormat="1" ht="23.25" customHeight="1">
      <c r="A367" s="85" t="s">
        <v>116</v>
      </c>
      <c r="B367" s="86"/>
      <c r="C367" s="87" t="s">
        <v>40</v>
      </c>
      <c r="D367" s="9" t="s">
        <v>205</v>
      </c>
      <c r="E367" s="154" t="s">
        <v>206</v>
      </c>
      <c r="F367" s="144"/>
      <c r="G367" s="17">
        <v>38567</v>
      </c>
      <c r="H367" s="164">
        <v>38567</v>
      </c>
      <c r="I367" s="148" t="s">
        <v>162</v>
      </c>
      <c r="J367" s="153"/>
      <c r="K367" s="145"/>
      <c r="L367" s="111">
        <v>7.75</v>
      </c>
      <c r="M367" s="31"/>
      <c r="N367" s="31"/>
      <c r="O367" s="111"/>
      <c r="P367" s="31"/>
      <c r="Q367" s="31"/>
      <c r="R367" s="111"/>
      <c r="S367" s="324"/>
      <c r="T367" s="325"/>
    </row>
    <row r="368" spans="1:20" s="91" customFormat="1" ht="34.5" customHeight="1">
      <c r="A368" s="85" t="s">
        <v>116</v>
      </c>
      <c r="B368" s="86"/>
      <c r="C368" s="87" t="s">
        <v>40</v>
      </c>
      <c r="D368" s="14" t="s">
        <v>160</v>
      </c>
      <c r="E368" s="161" t="s">
        <v>166</v>
      </c>
      <c r="F368" s="93" t="s">
        <v>208</v>
      </c>
      <c r="G368" s="18">
        <v>38569</v>
      </c>
      <c r="H368" s="150">
        <v>38610</v>
      </c>
      <c r="I368" s="148" t="s">
        <v>162</v>
      </c>
      <c r="J368" s="160"/>
      <c r="K368" s="148"/>
      <c r="L368" s="118">
        <v>583.5</v>
      </c>
      <c r="M368" s="31"/>
      <c r="N368" s="31"/>
      <c r="O368" s="111"/>
      <c r="P368" s="31"/>
      <c r="Q368" s="31"/>
      <c r="R368" s="111"/>
      <c r="S368" s="353" t="s">
        <v>674</v>
      </c>
      <c r="T368" s="354"/>
    </row>
    <row r="369" spans="1:20" s="91" customFormat="1" ht="16.5" customHeight="1">
      <c r="A369" s="85" t="s">
        <v>116</v>
      </c>
      <c r="B369" s="86"/>
      <c r="C369" s="87" t="s">
        <v>40</v>
      </c>
      <c r="D369" s="143" t="s">
        <v>177</v>
      </c>
      <c r="E369" s="145" t="s">
        <v>178</v>
      </c>
      <c r="F369" s="144">
        <v>5</v>
      </c>
      <c r="G369" s="17">
        <v>38481</v>
      </c>
      <c r="H369" s="17">
        <v>38481</v>
      </c>
      <c r="I369" s="145" t="s">
        <v>153</v>
      </c>
      <c r="J369" s="153"/>
      <c r="K369" s="145"/>
      <c r="L369" s="111">
        <v>53</v>
      </c>
      <c r="M369" s="31"/>
      <c r="N369" s="31"/>
      <c r="O369" s="111"/>
      <c r="P369" s="31"/>
      <c r="Q369" s="31"/>
      <c r="R369" s="111"/>
      <c r="S369" s="320" t="s">
        <v>241</v>
      </c>
      <c r="T369" s="321"/>
    </row>
    <row r="370" spans="1:20" s="91" customFormat="1" ht="16.5" customHeight="1">
      <c r="A370" s="85" t="s">
        <v>116</v>
      </c>
      <c r="B370" s="86"/>
      <c r="C370" s="87" t="s">
        <v>40</v>
      </c>
      <c r="D370" s="143" t="s">
        <v>177</v>
      </c>
      <c r="E370" s="145" t="s">
        <v>178</v>
      </c>
      <c r="F370" s="144">
        <v>6</v>
      </c>
      <c r="G370" s="17">
        <v>38512</v>
      </c>
      <c r="H370" s="17">
        <v>38512</v>
      </c>
      <c r="I370" s="145" t="s">
        <v>153</v>
      </c>
      <c r="J370" s="153"/>
      <c r="K370" s="145"/>
      <c r="L370" s="111">
        <v>69.24</v>
      </c>
      <c r="M370" s="31"/>
      <c r="N370" s="31"/>
      <c r="O370" s="111"/>
      <c r="P370" s="31"/>
      <c r="Q370" s="31"/>
      <c r="R370" s="111"/>
      <c r="S370" s="322"/>
      <c r="T370" s="323"/>
    </row>
    <row r="371" spans="1:20" s="91" customFormat="1" ht="16.5" customHeight="1">
      <c r="A371" s="85" t="s">
        <v>116</v>
      </c>
      <c r="B371" s="86"/>
      <c r="C371" s="87" t="s">
        <v>40</v>
      </c>
      <c r="D371" s="143" t="s">
        <v>177</v>
      </c>
      <c r="E371" s="145" t="s">
        <v>178</v>
      </c>
      <c r="F371" s="144">
        <v>7</v>
      </c>
      <c r="G371" s="17">
        <v>38540</v>
      </c>
      <c r="H371" s="17">
        <v>38540</v>
      </c>
      <c r="I371" s="145" t="s">
        <v>153</v>
      </c>
      <c r="J371" s="153"/>
      <c r="K371" s="145"/>
      <c r="L371" s="111">
        <v>95.44</v>
      </c>
      <c r="M371" s="31"/>
      <c r="N371" s="31"/>
      <c r="O371" s="111"/>
      <c r="P371" s="31"/>
      <c r="Q371" s="31"/>
      <c r="R371" s="111"/>
      <c r="S371" s="322"/>
      <c r="T371" s="323"/>
    </row>
    <row r="372" spans="1:20" s="91" customFormat="1" ht="16.5" customHeight="1">
      <c r="A372" s="85" t="s">
        <v>116</v>
      </c>
      <c r="B372" s="86"/>
      <c r="C372" s="87" t="s">
        <v>40</v>
      </c>
      <c r="D372" s="143" t="s">
        <v>177</v>
      </c>
      <c r="E372" s="145" t="s">
        <v>178</v>
      </c>
      <c r="F372" s="144">
        <v>8</v>
      </c>
      <c r="G372" s="17">
        <v>38540</v>
      </c>
      <c r="H372" s="17">
        <v>38540</v>
      </c>
      <c r="I372" s="145" t="s">
        <v>153</v>
      </c>
      <c r="J372" s="153"/>
      <c r="K372" s="145"/>
      <c r="L372" s="111">
        <v>53</v>
      </c>
      <c r="M372" s="31"/>
      <c r="N372" s="31"/>
      <c r="O372" s="111"/>
      <c r="P372" s="31"/>
      <c r="Q372" s="31"/>
      <c r="R372" s="111"/>
      <c r="S372" s="324"/>
      <c r="T372" s="325"/>
    </row>
    <row r="373" spans="1:20" s="91" customFormat="1" ht="21.75" customHeight="1">
      <c r="A373" s="85" t="s">
        <v>116</v>
      </c>
      <c r="B373" s="86"/>
      <c r="C373" s="87" t="s">
        <v>40</v>
      </c>
      <c r="D373" s="14" t="s">
        <v>209</v>
      </c>
      <c r="E373" s="62" t="s">
        <v>210</v>
      </c>
      <c r="F373" s="144">
        <v>509</v>
      </c>
      <c r="G373" s="17">
        <v>38524</v>
      </c>
      <c r="H373" s="17">
        <v>38524</v>
      </c>
      <c r="I373" s="12" t="s">
        <v>153</v>
      </c>
      <c r="J373" s="153"/>
      <c r="K373" s="12"/>
      <c r="L373" s="111">
        <v>45</v>
      </c>
      <c r="M373" s="31"/>
      <c r="N373" s="31"/>
      <c r="O373" s="111">
        <f>+N373+M373</f>
        <v>0</v>
      </c>
      <c r="P373" s="31">
        <f>+M373*0.65</f>
        <v>0</v>
      </c>
      <c r="Q373" s="31"/>
      <c r="R373" s="111">
        <f>+Q373+P373</f>
        <v>0</v>
      </c>
      <c r="S373" s="353" t="s">
        <v>241</v>
      </c>
      <c r="T373" s="354"/>
    </row>
    <row r="374" spans="1:20" s="91" customFormat="1" ht="21.75" customHeight="1">
      <c r="A374" s="85" t="s">
        <v>116</v>
      </c>
      <c r="B374" s="86"/>
      <c r="C374" s="87" t="s">
        <v>40</v>
      </c>
      <c r="D374" s="14" t="s">
        <v>209</v>
      </c>
      <c r="E374" s="62" t="s">
        <v>210</v>
      </c>
      <c r="F374" s="144">
        <v>572</v>
      </c>
      <c r="G374" s="17">
        <v>38572</v>
      </c>
      <c r="H374" s="17">
        <v>38572</v>
      </c>
      <c r="I374" s="12" t="s">
        <v>153</v>
      </c>
      <c r="J374" s="153"/>
      <c r="K374" s="12"/>
      <c r="L374" s="111">
        <v>54</v>
      </c>
      <c r="M374" s="31">
        <v>54</v>
      </c>
      <c r="N374" s="31"/>
      <c r="O374" s="111">
        <f>+N374+M374</f>
        <v>54</v>
      </c>
      <c r="P374" s="31">
        <f>+M374*0.65</f>
        <v>35.1</v>
      </c>
      <c r="Q374" s="31"/>
      <c r="R374" s="111">
        <f>+Q374+P374</f>
        <v>35.1</v>
      </c>
      <c r="S374" s="353"/>
      <c r="T374" s="354"/>
    </row>
    <row r="375" spans="1:20" s="91" customFormat="1" ht="21.75" customHeight="1">
      <c r="A375" s="85" t="s">
        <v>116</v>
      </c>
      <c r="B375" s="86"/>
      <c r="C375" s="87" t="s">
        <v>40</v>
      </c>
      <c r="D375" s="14" t="s">
        <v>211</v>
      </c>
      <c r="E375" s="62" t="s">
        <v>212</v>
      </c>
      <c r="F375" s="144">
        <v>162</v>
      </c>
      <c r="G375" s="17">
        <v>38593</v>
      </c>
      <c r="H375" s="17">
        <v>38593</v>
      </c>
      <c r="I375" s="12" t="s">
        <v>153</v>
      </c>
      <c r="J375" s="153"/>
      <c r="K375" s="12"/>
      <c r="L375" s="111">
        <v>5.8</v>
      </c>
      <c r="M375" s="31"/>
      <c r="N375" s="31"/>
      <c r="O375" s="111"/>
      <c r="P375" s="31"/>
      <c r="Q375" s="31"/>
      <c r="R375" s="111"/>
      <c r="S375" s="353" t="s">
        <v>241</v>
      </c>
      <c r="T375" s="354"/>
    </row>
    <row r="376" spans="1:20" s="91" customFormat="1" ht="21.75" customHeight="1">
      <c r="A376" s="85" t="s">
        <v>116</v>
      </c>
      <c r="B376" s="86"/>
      <c r="C376" s="87" t="s">
        <v>40</v>
      </c>
      <c r="D376" s="14" t="s">
        <v>209</v>
      </c>
      <c r="E376" s="62" t="s">
        <v>210</v>
      </c>
      <c r="F376" s="144">
        <v>447</v>
      </c>
      <c r="G376" s="17">
        <v>38581</v>
      </c>
      <c r="H376" s="17">
        <v>38489</v>
      </c>
      <c r="I376" s="12" t="s">
        <v>153</v>
      </c>
      <c r="J376" s="153"/>
      <c r="K376" s="12"/>
      <c r="L376" s="111">
        <v>15</v>
      </c>
      <c r="M376" s="31">
        <v>15</v>
      </c>
      <c r="N376" s="31"/>
      <c r="O376" s="111">
        <f>+N376+M376</f>
        <v>15</v>
      </c>
      <c r="P376" s="31">
        <f>+M376*0.65</f>
        <v>9.75</v>
      </c>
      <c r="Q376" s="31"/>
      <c r="R376" s="111">
        <f>+Q376+P376</f>
        <v>9.75</v>
      </c>
      <c r="S376" s="353"/>
      <c r="T376" s="354"/>
    </row>
    <row r="377" spans="1:20" s="91" customFormat="1" ht="21.75" customHeight="1">
      <c r="A377" s="85" t="s">
        <v>116</v>
      </c>
      <c r="B377" s="86"/>
      <c r="C377" s="87" t="s">
        <v>40</v>
      </c>
      <c r="D377" s="14" t="s">
        <v>157</v>
      </c>
      <c r="E377" s="62" t="s">
        <v>213</v>
      </c>
      <c r="F377" s="165" t="s">
        <v>214</v>
      </c>
      <c r="G377" s="17">
        <v>38584</v>
      </c>
      <c r="H377" s="17">
        <v>38584</v>
      </c>
      <c r="I377" s="12" t="s">
        <v>153</v>
      </c>
      <c r="J377" s="153"/>
      <c r="K377" s="12"/>
      <c r="L377" s="111">
        <v>24</v>
      </c>
      <c r="M377" s="31"/>
      <c r="N377" s="31"/>
      <c r="O377" s="111"/>
      <c r="P377" s="31"/>
      <c r="Q377" s="31"/>
      <c r="R377" s="111"/>
      <c r="S377" s="326" t="s">
        <v>241</v>
      </c>
      <c r="T377" s="327"/>
    </row>
    <row r="378" spans="1:20" s="91" customFormat="1" ht="21.75" customHeight="1">
      <c r="A378" s="85" t="s">
        <v>116</v>
      </c>
      <c r="B378" s="86"/>
      <c r="C378" s="87" t="s">
        <v>40</v>
      </c>
      <c r="D378" s="14" t="s">
        <v>171</v>
      </c>
      <c r="E378" s="62" t="s">
        <v>215</v>
      </c>
      <c r="F378" s="165" t="s">
        <v>216</v>
      </c>
      <c r="G378" s="17">
        <v>38520</v>
      </c>
      <c r="H378" s="17">
        <v>38520</v>
      </c>
      <c r="I378" s="12" t="s">
        <v>153</v>
      </c>
      <c r="J378" s="153"/>
      <c r="K378" s="12"/>
      <c r="L378" s="111">
        <v>149.5</v>
      </c>
      <c r="M378" s="31"/>
      <c r="N378" s="31"/>
      <c r="O378" s="111"/>
      <c r="P378" s="31"/>
      <c r="Q378" s="31"/>
      <c r="R378" s="111"/>
      <c r="S378" s="328"/>
      <c r="T378" s="315"/>
    </row>
    <row r="379" spans="1:20" s="91" customFormat="1" ht="21.75" customHeight="1">
      <c r="A379" s="85" t="s">
        <v>116</v>
      </c>
      <c r="B379" s="86"/>
      <c r="C379" s="87" t="s">
        <v>40</v>
      </c>
      <c r="D379" s="14" t="s">
        <v>171</v>
      </c>
      <c r="E379" s="62" t="s">
        <v>217</v>
      </c>
      <c r="F379" s="165" t="s">
        <v>218</v>
      </c>
      <c r="G379" s="17">
        <v>38555</v>
      </c>
      <c r="H379" s="17">
        <v>38555</v>
      </c>
      <c r="I379" s="12" t="s">
        <v>153</v>
      </c>
      <c r="J379" s="153"/>
      <c r="K379" s="12"/>
      <c r="L379" s="111">
        <v>110</v>
      </c>
      <c r="M379" s="31"/>
      <c r="N379" s="31"/>
      <c r="O379" s="111"/>
      <c r="P379" s="31"/>
      <c r="Q379" s="31"/>
      <c r="R379" s="111"/>
      <c r="S379" s="328"/>
      <c r="T379" s="315"/>
    </row>
    <row r="380" spans="1:20" s="91" customFormat="1" ht="21.75" customHeight="1">
      <c r="A380" s="85" t="s">
        <v>116</v>
      </c>
      <c r="B380" s="86"/>
      <c r="C380" s="87" t="s">
        <v>40</v>
      </c>
      <c r="D380" s="14" t="s">
        <v>171</v>
      </c>
      <c r="E380" s="62" t="s">
        <v>219</v>
      </c>
      <c r="F380" s="165" t="s">
        <v>220</v>
      </c>
      <c r="G380" s="17">
        <v>38527</v>
      </c>
      <c r="H380" s="17">
        <v>38527</v>
      </c>
      <c r="I380" s="12" t="s">
        <v>153</v>
      </c>
      <c r="J380" s="153"/>
      <c r="K380" s="12"/>
      <c r="L380" s="111">
        <v>175</v>
      </c>
      <c r="M380" s="31"/>
      <c r="N380" s="31"/>
      <c r="O380" s="111"/>
      <c r="P380" s="31"/>
      <c r="Q380" s="31"/>
      <c r="R380" s="111"/>
      <c r="S380" s="328"/>
      <c r="T380" s="315"/>
    </row>
    <row r="381" spans="1:20" s="91" customFormat="1" ht="21.75" customHeight="1">
      <c r="A381" s="85" t="s">
        <v>116</v>
      </c>
      <c r="B381" s="86"/>
      <c r="C381" s="87" t="s">
        <v>40</v>
      </c>
      <c r="D381" s="14" t="s">
        <v>171</v>
      </c>
      <c r="E381" s="62" t="s">
        <v>221</v>
      </c>
      <c r="F381" s="165">
        <v>3205</v>
      </c>
      <c r="G381" s="17">
        <v>38527</v>
      </c>
      <c r="H381" s="17">
        <v>38496</v>
      </c>
      <c r="I381" s="12" t="s">
        <v>153</v>
      </c>
      <c r="J381" s="153"/>
      <c r="K381" s="12"/>
      <c r="L381" s="111">
        <v>125</v>
      </c>
      <c r="M381" s="31"/>
      <c r="N381" s="31"/>
      <c r="O381" s="111"/>
      <c r="P381" s="31"/>
      <c r="Q381" s="31"/>
      <c r="R381" s="111"/>
      <c r="S381" s="316"/>
      <c r="T381" s="317"/>
    </row>
    <row r="382" spans="1:20" s="137" customFormat="1" ht="16.5" customHeight="1">
      <c r="A382" s="132" t="s">
        <v>146</v>
      </c>
      <c r="B382" s="138"/>
      <c r="C382" s="307" t="s">
        <v>222</v>
      </c>
      <c r="D382" s="308"/>
      <c r="E382" s="166"/>
      <c r="F382" s="167"/>
      <c r="G382" s="168"/>
      <c r="H382" s="168"/>
      <c r="I382" s="166"/>
      <c r="J382" s="166"/>
      <c r="K382" s="166"/>
      <c r="L382" s="111"/>
      <c r="M382" s="136">
        <f aca="true" t="shared" si="89" ref="M382:R382">SUM(M337:M381)-M336</f>
        <v>651</v>
      </c>
      <c r="N382" s="136">
        <f t="shared" si="89"/>
        <v>116.4</v>
      </c>
      <c r="O382" s="111">
        <f t="shared" si="89"/>
        <v>767.4</v>
      </c>
      <c r="P382" s="136">
        <f t="shared" si="89"/>
        <v>423.15000000000003</v>
      </c>
      <c r="Q382" s="136">
        <f t="shared" si="89"/>
        <v>75.66000000000001</v>
      </c>
      <c r="R382" s="111">
        <f t="shared" si="89"/>
        <v>498.81000000000006</v>
      </c>
      <c r="S382" s="307" t="s">
        <v>222</v>
      </c>
      <c r="T382" s="308"/>
    </row>
    <row r="383" spans="1:20" s="91" customFormat="1" ht="24.75" customHeight="1">
      <c r="A383" s="85" t="s">
        <v>146</v>
      </c>
      <c r="B383" s="173"/>
      <c r="C383" s="87" t="s">
        <v>40</v>
      </c>
      <c r="D383" s="178" t="s">
        <v>278</v>
      </c>
      <c r="E383" s="62" t="s">
        <v>279</v>
      </c>
      <c r="F383" s="93" t="s">
        <v>300</v>
      </c>
      <c r="G383" s="188">
        <v>38279</v>
      </c>
      <c r="H383" s="15">
        <v>38299</v>
      </c>
      <c r="I383" s="62" t="s">
        <v>280</v>
      </c>
      <c r="J383" s="62"/>
      <c r="K383" s="62">
        <f>+J383*0.2</f>
        <v>0</v>
      </c>
      <c r="L383" s="118">
        <v>1517.25</v>
      </c>
      <c r="M383" s="179">
        <f>+L383/1.2</f>
        <v>1264.375</v>
      </c>
      <c r="N383" s="31"/>
      <c r="O383" s="111">
        <f>+N383+M383</f>
        <v>1264.375</v>
      </c>
      <c r="P383" s="31">
        <f>+M383*0.65</f>
        <v>821.84375</v>
      </c>
      <c r="Q383" s="31"/>
      <c r="R383" s="111">
        <f>+Q383+P383</f>
        <v>821.84375</v>
      </c>
      <c r="S383" s="355" t="s">
        <v>423</v>
      </c>
      <c r="T383" s="356"/>
    </row>
    <row r="384" spans="1:20" s="91" customFormat="1" ht="21" customHeight="1">
      <c r="A384" s="85" t="s">
        <v>146</v>
      </c>
      <c r="B384" s="173"/>
      <c r="C384" s="87" t="s">
        <v>40</v>
      </c>
      <c r="D384" s="178" t="s">
        <v>281</v>
      </c>
      <c r="E384" s="148" t="s">
        <v>282</v>
      </c>
      <c r="F384" s="149">
        <v>17</v>
      </c>
      <c r="G384" s="188">
        <v>38304</v>
      </c>
      <c r="H384" s="189">
        <v>38304</v>
      </c>
      <c r="I384" s="148" t="s">
        <v>192</v>
      </c>
      <c r="J384" s="151"/>
      <c r="K384" s="62">
        <f aca="true" t="shared" si="90" ref="K384:K408">+J384*0.2</f>
        <v>0</v>
      </c>
      <c r="L384" s="118">
        <v>150</v>
      </c>
      <c r="M384" s="179"/>
      <c r="N384" s="31"/>
      <c r="O384" s="111"/>
      <c r="P384" s="31"/>
      <c r="Q384" s="31"/>
      <c r="R384" s="111"/>
      <c r="S384" s="355" t="s">
        <v>301</v>
      </c>
      <c r="T384" s="356"/>
    </row>
    <row r="385" spans="1:20" s="91" customFormat="1" ht="21.75" customHeight="1">
      <c r="A385" s="85" t="s">
        <v>146</v>
      </c>
      <c r="B385" s="173"/>
      <c r="C385" s="87" t="s">
        <v>40</v>
      </c>
      <c r="D385" s="178" t="s">
        <v>278</v>
      </c>
      <c r="E385" s="148" t="s">
        <v>283</v>
      </c>
      <c r="F385" s="149" t="s">
        <v>284</v>
      </c>
      <c r="G385" s="188">
        <v>38266</v>
      </c>
      <c r="H385" s="189">
        <v>38306</v>
      </c>
      <c r="I385" s="148" t="s">
        <v>280</v>
      </c>
      <c r="J385" s="151"/>
      <c r="K385" s="62">
        <f t="shared" si="90"/>
        <v>0</v>
      </c>
      <c r="L385" s="118">
        <v>306.43</v>
      </c>
      <c r="M385" s="179">
        <f>+L385/1.2</f>
        <v>255.35833333333335</v>
      </c>
      <c r="N385" s="31"/>
      <c r="O385" s="111">
        <f aca="true" t="shared" si="91" ref="O385:O393">+N385+M385</f>
        <v>255.35833333333335</v>
      </c>
      <c r="P385" s="31">
        <f aca="true" t="shared" si="92" ref="P385:P393">+M385*0.65</f>
        <v>165.98291666666668</v>
      </c>
      <c r="Q385" s="31"/>
      <c r="R385" s="111">
        <f aca="true" t="shared" si="93" ref="R385:R393">+Q385+P385</f>
        <v>165.98291666666668</v>
      </c>
      <c r="S385" s="355" t="s">
        <v>423</v>
      </c>
      <c r="T385" s="356"/>
    </row>
    <row r="386" spans="1:20" s="91" customFormat="1" ht="22.5" customHeight="1">
      <c r="A386" s="85" t="s">
        <v>146</v>
      </c>
      <c r="B386" s="173"/>
      <c r="C386" s="87" t="s">
        <v>40</v>
      </c>
      <c r="D386" s="178" t="s">
        <v>278</v>
      </c>
      <c r="E386" s="148" t="s">
        <v>285</v>
      </c>
      <c r="F386" s="149" t="s">
        <v>286</v>
      </c>
      <c r="G386" s="188">
        <v>38274</v>
      </c>
      <c r="H386" s="189">
        <v>38316</v>
      </c>
      <c r="I386" s="148" t="s">
        <v>280</v>
      </c>
      <c r="J386" s="151"/>
      <c r="K386" s="62">
        <f t="shared" si="90"/>
        <v>0</v>
      </c>
      <c r="L386" s="118">
        <v>220.91</v>
      </c>
      <c r="M386" s="179">
        <f>+L386/1.2</f>
        <v>184.09166666666667</v>
      </c>
      <c r="N386" s="31"/>
      <c r="O386" s="111">
        <f t="shared" si="91"/>
        <v>184.09166666666667</v>
      </c>
      <c r="P386" s="31">
        <f t="shared" si="92"/>
        <v>119.65958333333334</v>
      </c>
      <c r="Q386" s="31"/>
      <c r="R386" s="111">
        <f t="shared" si="93"/>
        <v>119.65958333333334</v>
      </c>
      <c r="S386" s="355" t="s">
        <v>423</v>
      </c>
      <c r="T386" s="356"/>
    </row>
    <row r="387" spans="1:20" s="91" customFormat="1" ht="22.5" customHeight="1">
      <c r="A387" s="85" t="s">
        <v>146</v>
      </c>
      <c r="B387" s="173"/>
      <c r="C387" s="87" t="s">
        <v>40</v>
      </c>
      <c r="D387" s="147" t="s">
        <v>287</v>
      </c>
      <c r="E387" s="148" t="s">
        <v>210</v>
      </c>
      <c r="F387" s="149">
        <v>395</v>
      </c>
      <c r="G387" s="188">
        <v>38317</v>
      </c>
      <c r="H387" s="189">
        <v>38317</v>
      </c>
      <c r="I387" s="148" t="s">
        <v>288</v>
      </c>
      <c r="J387" s="151"/>
      <c r="K387" s="62">
        <f t="shared" si="90"/>
        <v>0</v>
      </c>
      <c r="L387" s="118">
        <v>540</v>
      </c>
      <c r="M387" s="179">
        <v>540</v>
      </c>
      <c r="N387" s="31"/>
      <c r="O387" s="111">
        <f t="shared" si="91"/>
        <v>540</v>
      </c>
      <c r="P387" s="31">
        <f t="shared" si="92"/>
        <v>351</v>
      </c>
      <c r="Q387" s="31"/>
      <c r="R387" s="111">
        <f t="shared" si="93"/>
        <v>351</v>
      </c>
      <c r="S387" s="357"/>
      <c r="T387" s="358"/>
    </row>
    <row r="388" spans="1:20" s="91" customFormat="1" ht="21.75" customHeight="1">
      <c r="A388" s="85" t="s">
        <v>146</v>
      </c>
      <c r="B388" s="173"/>
      <c r="C388" s="87" t="s">
        <v>40</v>
      </c>
      <c r="D388" s="147" t="s">
        <v>278</v>
      </c>
      <c r="E388" s="148" t="s">
        <v>279</v>
      </c>
      <c r="F388" s="149" t="s">
        <v>302</v>
      </c>
      <c r="G388" s="188">
        <v>38342</v>
      </c>
      <c r="H388" s="189">
        <v>38362</v>
      </c>
      <c r="I388" s="148" t="s">
        <v>280</v>
      </c>
      <c r="J388" s="151"/>
      <c r="K388" s="62">
        <f t="shared" si="90"/>
        <v>0</v>
      </c>
      <c r="L388" s="118">
        <v>2574.65</v>
      </c>
      <c r="M388" s="179">
        <f aca="true" t="shared" si="94" ref="M388:M394">+L388/1.2</f>
        <v>2145.541666666667</v>
      </c>
      <c r="N388" s="31"/>
      <c r="O388" s="111">
        <f t="shared" si="91"/>
        <v>2145.541666666667</v>
      </c>
      <c r="P388" s="31">
        <f t="shared" si="92"/>
        <v>1394.6020833333337</v>
      </c>
      <c r="Q388" s="31"/>
      <c r="R388" s="111">
        <f t="shared" si="93"/>
        <v>1394.6020833333337</v>
      </c>
      <c r="S388" s="355" t="s">
        <v>423</v>
      </c>
      <c r="T388" s="356"/>
    </row>
    <row r="389" spans="1:20" s="91" customFormat="1" ht="23.25" customHeight="1">
      <c r="A389" s="85" t="s">
        <v>146</v>
      </c>
      <c r="B389" s="173"/>
      <c r="C389" s="87" t="s">
        <v>40</v>
      </c>
      <c r="D389" s="147" t="s">
        <v>278</v>
      </c>
      <c r="E389" s="148" t="s">
        <v>283</v>
      </c>
      <c r="F389" s="149" t="s">
        <v>289</v>
      </c>
      <c r="G389" s="188">
        <v>38327</v>
      </c>
      <c r="H389" s="189">
        <v>38369</v>
      </c>
      <c r="I389" s="148" t="s">
        <v>280</v>
      </c>
      <c r="J389" s="151"/>
      <c r="K389" s="62">
        <f t="shared" si="90"/>
        <v>0</v>
      </c>
      <c r="L389" s="118">
        <v>518.08</v>
      </c>
      <c r="M389" s="179">
        <f t="shared" si="94"/>
        <v>431.7333333333334</v>
      </c>
      <c r="N389" s="31"/>
      <c r="O389" s="111">
        <f t="shared" si="91"/>
        <v>431.7333333333334</v>
      </c>
      <c r="P389" s="31">
        <f t="shared" si="92"/>
        <v>280.6266666666667</v>
      </c>
      <c r="Q389" s="31"/>
      <c r="R389" s="111">
        <f t="shared" si="93"/>
        <v>280.6266666666667</v>
      </c>
      <c r="S389" s="355" t="s">
        <v>423</v>
      </c>
      <c r="T389" s="356"/>
    </row>
    <row r="390" spans="1:20" s="91" customFormat="1" ht="21.75" customHeight="1">
      <c r="A390" s="85" t="s">
        <v>146</v>
      </c>
      <c r="B390" s="173"/>
      <c r="C390" s="87" t="s">
        <v>40</v>
      </c>
      <c r="D390" s="147" t="s">
        <v>278</v>
      </c>
      <c r="E390" s="148" t="s">
        <v>283</v>
      </c>
      <c r="F390" s="149" t="s">
        <v>290</v>
      </c>
      <c r="G390" s="188">
        <v>38692</v>
      </c>
      <c r="H390" s="189">
        <v>38369</v>
      </c>
      <c r="I390" s="148" t="s">
        <v>280</v>
      </c>
      <c r="J390" s="151"/>
      <c r="K390" s="62">
        <v>0</v>
      </c>
      <c r="L390" s="118">
        <v>199.75</v>
      </c>
      <c r="M390" s="179">
        <f t="shared" si="94"/>
        <v>166.45833333333334</v>
      </c>
      <c r="N390" s="31"/>
      <c r="O390" s="111">
        <f t="shared" si="91"/>
        <v>166.45833333333334</v>
      </c>
      <c r="P390" s="31">
        <f t="shared" si="92"/>
        <v>108.19791666666667</v>
      </c>
      <c r="Q390" s="31"/>
      <c r="R390" s="111">
        <f t="shared" si="93"/>
        <v>108.19791666666667</v>
      </c>
      <c r="S390" s="355" t="s">
        <v>423</v>
      </c>
      <c r="T390" s="356"/>
    </row>
    <row r="391" spans="1:20" s="91" customFormat="1" ht="21" customHeight="1">
      <c r="A391" s="85" t="s">
        <v>146</v>
      </c>
      <c r="B391" s="173"/>
      <c r="C391" s="87" t="s">
        <v>40</v>
      </c>
      <c r="D391" s="147" t="s">
        <v>278</v>
      </c>
      <c r="E391" s="148" t="s">
        <v>285</v>
      </c>
      <c r="F391" s="149" t="s">
        <v>291</v>
      </c>
      <c r="G391" s="188">
        <v>38336</v>
      </c>
      <c r="H391" s="189">
        <v>38377</v>
      </c>
      <c r="I391" s="148" t="s">
        <v>280</v>
      </c>
      <c r="J391" s="151"/>
      <c r="K391" s="62">
        <f t="shared" si="90"/>
        <v>0</v>
      </c>
      <c r="L391" s="118">
        <v>305.21</v>
      </c>
      <c r="M391" s="179">
        <f t="shared" si="94"/>
        <v>254.34166666666667</v>
      </c>
      <c r="N391" s="31"/>
      <c r="O391" s="111">
        <f t="shared" si="91"/>
        <v>254.34166666666667</v>
      </c>
      <c r="P391" s="31">
        <f t="shared" si="92"/>
        <v>165.32208333333335</v>
      </c>
      <c r="Q391" s="31"/>
      <c r="R391" s="111">
        <f t="shared" si="93"/>
        <v>165.32208333333335</v>
      </c>
      <c r="S391" s="355" t="s">
        <v>423</v>
      </c>
      <c r="T391" s="356"/>
    </row>
    <row r="392" spans="1:20" s="91" customFormat="1" ht="21.75" customHeight="1">
      <c r="A392" s="85" t="s">
        <v>146</v>
      </c>
      <c r="B392" s="173"/>
      <c r="C392" s="87" t="s">
        <v>40</v>
      </c>
      <c r="D392" s="147" t="s">
        <v>278</v>
      </c>
      <c r="E392" s="148" t="s">
        <v>279</v>
      </c>
      <c r="F392" s="149" t="s">
        <v>303</v>
      </c>
      <c r="G392" s="188">
        <v>38400</v>
      </c>
      <c r="H392" s="189">
        <v>38420</v>
      </c>
      <c r="I392" s="148" t="s">
        <v>280</v>
      </c>
      <c r="J392" s="151"/>
      <c r="K392" s="62">
        <f t="shared" si="90"/>
        <v>0</v>
      </c>
      <c r="L392" s="118">
        <v>2897.65</v>
      </c>
      <c r="M392" s="179">
        <f t="shared" si="94"/>
        <v>2414.7083333333335</v>
      </c>
      <c r="N392" s="31"/>
      <c r="O392" s="111">
        <f t="shared" si="91"/>
        <v>2414.7083333333335</v>
      </c>
      <c r="P392" s="31">
        <f t="shared" si="92"/>
        <v>1569.560416666667</v>
      </c>
      <c r="Q392" s="31"/>
      <c r="R392" s="111">
        <f t="shared" si="93"/>
        <v>1569.560416666667</v>
      </c>
      <c r="S392" s="355" t="s">
        <v>423</v>
      </c>
      <c r="T392" s="356"/>
    </row>
    <row r="393" spans="1:20" s="91" customFormat="1" ht="21.75" customHeight="1">
      <c r="A393" s="85" t="s">
        <v>146</v>
      </c>
      <c r="B393" s="173"/>
      <c r="C393" s="87" t="s">
        <v>40</v>
      </c>
      <c r="D393" s="147" t="s">
        <v>278</v>
      </c>
      <c r="E393" s="148" t="s">
        <v>283</v>
      </c>
      <c r="F393" s="149" t="s">
        <v>292</v>
      </c>
      <c r="G393" s="188">
        <v>38390</v>
      </c>
      <c r="H393" s="189">
        <v>38426</v>
      </c>
      <c r="I393" s="148" t="s">
        <v>280</v>
      </c>
      <c r="J393" s="151"/>
      <c r="K393" s="62">
        <f t="shared" si="90"/>
        <v>0</v>
      </c>
      <c r="L393" s="118">
        <v>469.63</v>
      </c>
      <c r="M393" s="179">
        <f t="shared" si="94"/>
        <v>391.35833333333335</v>
      </c>
      <c r="N393" s="31"/>
      <c r="O393" s="111">
        <f t="shared" si="91"/>
        <v>391.35833333333335</v>
      </c>
      <c r="P393" s="31">
        <f t="shared" si="92"/>
        <v>254.3829166666667</v>
      </c>
      <c r="Q393" s="31"/>
      <c r="R393" s="111">
        <f t="shared" si="93"/>
        <v>254.3829166666667</v>
      </c>
      <c r="S393" s="355" t="s">
        <v>423</v>
      </c>
      <c r="T393" s="356"/>
    </row>
    <row r="394" spans="1:20" s="91" customFormat="1" ht="24.75" customHeight="1">
      <c r="A394" s="85" t="s">
        <v>146</v>
      </c>
      <c r="B394" s="173"/>
      <c r="C394" s="87" t="s">
        <v>40</v>
      </c>
      <c r="D394" s="178" t="s">
        <v>278</v>
      </c>
      <c r="E394" s="148" t="s">
        <v>283</v>
      </c>
      <c r="F394" s="149" t="s">
        <v>293</v>
      </c>
      <c r="G394" s="188">
        <v>38390</v>
      </c>
      <c r="H394" s="189">
        <v>38426</v>
      </c>
      <c r="I394" s="148" t="s">
        <v>280</v>
      </c>
      <c r="J394" s="151"/>
      <c r="K394" s="62">
        <f t="shared" si="90"/>
        <v>0</v>
      </c>
      <c r="L394" s="118">
        <v>141.52</v>
      </c>
      <c r="M394" s="179">
        <f t="shared" si="94"/>
        <v>117.93333333333335</v>
      </c>
      <c r="N394" s="31"/>
      <c r="O394" s="111">
        <f>+N394+M394</f>
        <v>117.93333333333335</v>
      </c>
      <c r="P394" s="31">
        <f>+M394*0.65</f>
        <v>76.65666666666668</v>
      </c>
      <c r="Q394" s="31"/>
      <c r="R394" s="111">
        <f>+Q394+P394</f>
        <v>76.65666666666668</v>
      </c>
      <c r="S394" s="355" t="s">
        <v>423</v>
      </c>
      <c r="T394" s="356"/>
    </row>
    <row r="395" spans="1:20" s="91" customFormat="1" ht="24" customHeight="1">
      <c r="A395" s="85" t="s">
        <v>146</v>
      </c>
      <c r="B395" s="173"/>
      <c r="C395" s="87" t="s">
        <v>40</v>
      </c>
      <c r="D395" s="178" t="s">
        <v>211</v>
      </c>
      <c r="E395" s="148" t="s">
        <v>294</v>
      </c>
      <c r="F395" s="149">
        <v>136</v>
      </c>
      <c r="G395" s="188">
        <v>38432</v>
      </c>
      <c r="H395" s="189">
        <v>38432</v>
      </c>
      <c r="I395" s="148" t="s">
        <v>192</v>
      </c>
      <c r="J395" s="151"/>
      <c r="K395" s="62">
        <f t="shared" si="90"/>
        <v>0</v>
      </c>
      <c r="L395" s="118">
        <v>325</v>
      </c>
      <c r="M395" s="179"/>
      <c r="N395" s="31"/>
      <c r="O395" s="111"/>
      <c r="P395" s="31"/>
      <c r="Q395" s="31"/>
      <c r="R395" s="111"/>
      <c r="S395" s="355" t="s">
        <v>301</v>
      </c>
      <c r="T395" s="356"/>
    </row>
    <row r="396" spans="1:20" s="91" customFormat="1" ht="22.5" customHeight="1">
      <c r="A396" s="85" t="s">
        <v>146</v>
      </c>
      <c r="B396" s="173"/>
      <c r="C396" s="87" t="s">
        <v>40</v>
      </c>
      <c r="D396" s="178" t="s">
        <v>278</v>
      </c>
      <c r="E396" s="148" t="s">
        <v>285</v>
      </c>
      <c r="F396" s="149" t="s">
        <v>295</v>
      </c>
      <c r="G396" s="188">
        <v>38397</v>
      </c>
      <c r="H396" s="189">
        <v>38436</v>
      </c>
      <c r="I396" s="148" t="s">
        <v>280</v>
      </c>
      <c r="J396" s="151"/>
      <c r="K396" s="62">
        <f t="shared" si="90"/>
        <v>0</v>
      </c>
      <c r="L396" s="118">
        <v>340.35</v>
      </c>
      <c r="M396" s="179">
        <f>+L396/1.2</f>
        <v>283.62500000000006</v>
      </c>
      <c r="N396" s="31"/>
      <c r="O396" s="111">
        <f>+N396+M396</f>
        <v>283.62500000000006</v>
      </c>
      <c r="P396" s="31">
        <f>+M396*0.65</f>
        <v>184.35625000000005</v>
      </c>
      <c r="Q396" s="31"/>
      <c r="R396" s="111">
        <f>+Q396+P396</f>
        <v>184.35625000000005</v>
      </c>
      <c r="S396" s="355" t="s">
        <v>423</v>
      </c>
      <c r="T396" s="356"/>
    </row>
    <row r="397" spans="1:20" s="91" customFormat="1" ht="23.25" customHeight="1">
      <c r="A397" s="85" t="s">
        <v>146</v>
      </c>
      <c r="B397" s="173"/>
      <c r="C397" s="87" t="s">
        <v>40</v>
      </c>
      <c r="D397" s="178" t="s">
        <v>278</v>
      </c>
      <c r="E397" s="148" t="s">
        <v>279</v>
      </c>
      <c r="F397" s="149" t="s">
        <v>304</v>
      </c>
      <c r="G397" s="188">
        <v>38458</v>
      </c>
      <c r="H397" s="189">
        <v>38478</v>
      </c>
      <c r="I397" s="148" t="s">
        <v>280</v>
      </c>
      <c r="J397" s="151"/>
      <c r="K397" s="62">
        <f t="shared" si="90"/>
        <v>0</v>
      </c>
      <c r="L397" s="118">
        <v>3566.6</v>
      </c>
      <c r="M397" s="179">
        <f>+L397/1.2</f>
        <v>2972.1666666666665</v>
      </c>
      <c r="N397" s="31"/>
      <c r="O397" s="111">
        <f>+N397+M397</f>
        <v>2972.1666666666665</v>
      </c>
      <c r="P397" s="31">
        <f>+M397*0.65</f>
        <v>1931.9083333333333</v>
      </c>
      <c r="Q397" s="31"/>
      <c r="R397" s="111">
        <f>+Q397+P397</f>
        <v>1931.9083333333333</v>
      </c>
      <c r="S397" s="355" t="s">
        <v>423</v>
      </c>
      <c r="T397" s="356"/>
    </row>
    <row r="398" spans="1:20" s="91" customFormat="1" ht="22.5" customHeight="1">
      <c r="A398" s="85" t="s">
        <v>146</v>
      </c>
      <c r="B398" s="173"/>
      <c r="C398" s="87" t="s">
        <v>40</v>
      </c>
      <c r="D398" s="178" t="s">
        <v>278</v>
      </c>
      <c r="E398" s="148" t="s">
        <v>283</v>
      </c>
      <c r="F398" s="149" t="s">
        <v>296</v>
      </c>
      <c r="G398" s="188">
        <v>38448</v>
      </c>
      <c r="H398" s="189">
        <v>38488</v>
      </c>
      <c r="I398" s="148" t="s">
        <v>280</v>
      </c>
      <c r="J398" s="151"/>
      <c r="K398" s="62">
        <f t="shared" si="90"/>
        <v>0</v>
      </c>
      <c r="L398" s="118">
        <v>765</v>
      </c>
      <c r="M398" s="179">
        <f>+L398/1.2</f>
        <v>637.5</v>
      </c>
      <c r="N398" s="31"/>
      <c r="O398" s="111">
        <f>+N398+M398</f>
        <v>637.5</v>
      </c>
      <c r="P398" s="31">
        <f>+M398*0.65</f>
        <v>414.375</v>
      </c>
      <c r="Q398" s="31"/>
      <c r="R398" s="111">
        <f>+Q398+P398</f>
        <v>414.375</v>
      </c>
      <c r="S398" s="355" t="s">
        <v>423</v>
      </c>
      <c r="T398" s="356"/>
    </row>
    <row r="399" spans="1:20" s="91" customFormat="1" ht="21" customHeight="1">
      <c r="A399" s="85" t="s">
        <v>146</v>
      </c>
      <c r="B399" s="173"/>
      <c r="C399" s="87" t="s">
        <v>40</v>
      </c>
      <c r="D399" s="178" t="s">
        <v>278</v>
      </c>
      <c r="E399" s="148" t="s">
        <v>283</v>
      </c>
      <c r="F399" s="149" t="s">
        <v>297</v>
      </c>
      <c r="G399" s="188">
        <v>38448</v>
      </c>
      <c r="H399" s="189">
        <v>38488</v>
      </c>
      <c r="I399" s="148" t="s">
        <v>280</v>
      </c>
      <c r="J399" s="151"/>
      <c r="K399" s="62">
        <f t="shared" si="90"/>
        <v>0</v>
      </c>
      <c r="L399" s="118">
        <v>116.87</v>
      </c>
      <c r="M399" s="179">
        <f>+L399/1.2</f>
        <v>97.39166666666668</v>
      </c>
      <c r="N399" s="31"/>
      <c r="O399" s="111">
        <f>+N399+M399</f>
        <v>97.39166666666668</v>
      </c>
      <c r="P399" s="31">
        <f>+M399*0.65</f>
        <v>63.30458333333335</v>
      </c>
      <c r="Q399" s="31"/>
      <c r="R399" s="111">
        <f>+Q399+P399</f>
        <v>63.30458333333335</v>
      </c>
      <c r="S399" s="355" t="s">
        <v>423</v>
      </c>
      <c r="T399" s="356"/>
    </row>
    <row r="400" spans="1:20" s="91" customFormat="1" ht="21" customHeight="1">
      <c r="A400" s="85" t="s">
        <v>146</v>
      </c>
      <c r="B400" s="173"/>
      <c r="C400" s="87" t="s">
        <v>40</v>
      </c>
      <c r="D400" s="178" t="s">
        <v>278</v>
      </c>
      <c r="E400" s="148" t="s">
        <v>285</v>
      </c>
      <c r="F400" s="149" t="s">
        <v>298</v>
      </c>
      <c r="G400" s="188">
        <v>38456</v>
      </c>
      <c r="H400" s="189">
        <v>38497</v>
      </c>
      <c r="I400" s="148" t="s">
        <v>280</v>
      </c>
      <c r="J400" s="151"/>
      <c r="K400" s="62">
        <f t="shared" si="90"/>
        <v>0</v>
      </c>
      <c r="L400" s="118">
        <v>383.66</v>
      </c>
      <c r="M400" s="179">
        <f>+L400/1.2</f>
        <v>319.7166666666667</v>
      </c>
      <c r="N400" s="31"/>
      <c r="O400" s="111">
        <f>+N400+M400</f>
        <v>319.7166666666667</v>
      </c>
      <c r="P400" s="31">
        <f>+M400*0.65</f>
        <v>207.81583333333336</v>
      </c>
      <c r="Q400" s="31"/>
      <c r="R400" s="111">
        <f>+Q400+P400</f>
        <v>207.81583333333336</v>
      </c>
      <c r="S400" s="355" t="s">
        <v>423</v>
      </c>
      <c r="T400" s="356"/>
    </row>
    <row r="401" spans="1:20" s="91" customFormat="1" ht="22.5" customHeight="1">
      <c r="A401" s="85" t="s">
        <v>146</v>
      </c>
      <c r="B401" s="173"/>
      <c r="C401" s="87" t="s">
        <v>40</v>
      </c>
      <c r="D401" s="178" t="s">
        <v>177</v>
      </c>
      <c r="E401" s="148" t="s">
        <v>177</v>
      </c>
      <c r="F401" s="149">
        <v>1</v>
      </c>
      <c r="G401" s="188">
        <v>38366</v>
      </c>
      <c r="H401" s="189">
        <v>38366</v>
      </c>
      <c r="I401" s="148" t="s">
        <v>299</v>
      </c>
      <c r="J401" s="151"/>
      <c r="K401" s="62">
        <f t="shared" si="90"/>
        <v>0</v>
      </c>
      <c r="L401" s="118">
        <v>73.89</v>
      </c>
      <c r="M401" s="179"/>
      <c r="N401" s="31"/>
      <c r="O401" s="111"/>
      <c r="P401" s="31"/>
      <c r="Q401" s="31"/>
      <c r="R401" s="111"/>
      <c r="S401" s="186"/>
      <c r="T401" s="187"/>
    </row>
    <row r="402" spans="1:20" s="91" customFormat="1" ht="22.5" customHeight="1">
      <c r="A402" s="85" t="s">
        <v>146</v>
      </c>
      <c r="B402" s="173"/>
      <c r="C402" s="87" t="s">
        <v>40</v>
      </c>
      <c r="D402" s="178" t="s">
        <v>177</v>
      </c>
      <c r="E402" s="148" t="s">
        <v>177</v>
      </c>
      <c r="F402" s="149">
        <v>10</v>
      </c>
      <c r="G402" s="188">
        <v>38271</v>
      </c>
      <c r="H402" s="189">
        <v>38271</v>
      </c>
      <c r="I402" s="148" t="s">
        <v>299</v>
      </c>
      <c r="J402" s="151"/>
      <c r="K402" s="62">
        <f t="shared" si="90"/>
        <v>0</v>
      </c>
      <c r="L402" s="118">
        <v>59.5</v>
      </c>
      <c r="M402" s="179"/>
      <c r="N402" s="31"/>
      <c r="O402" s="111"/>
      <c r="P402" s="31"/>
      <c r="Q402" s="31"/>
      <c r="R402" s="111"/>
      <c r="S402" s="186"/>
      <c r="T402" s="187"/>
    </row>
    <row r="403" spans="1:20" s="91" customFormat="1" ht="22.5" customHeight="1">
      <c r="A403" s="85" t="s">
        <v>146</v>
      </c>
      <c r="B403" s="173"/>
      <c r="C403" s="87" t="s">
        <v>40</v>
      </c>
      <c r="D403" s="178" t="s">
        <v>177</v>
      </c>
      <c r="E403" s="148" t="s">
        <v>177</v>
      </c>
      <c r="F403" s="149">
        <v>4</v>
      </c>
      <c r="G403" s="188">
        <v>38455</v>
      </c>
      <c r="H403" s="189">
        <v>38455</v>
      </c>
      <c r="I403" s="148" t="s">
        <v>299</v>
      </c>
      <c r="J403" s="151"/>
      <c r="K403" s="62">
        <f t="shared" si="90"/>
        <v>0</v>
      </c>
      <c r="L403" s="118">
        <v>73.08</v>
      </c>
      <c r="M403" s="179"/>
      <c r="N403" s="31"/>
      <c r="O403" s="111"/>
      <c r="P403" s="31"/>
      <c r="Q403" s="31"/>
      <c r="R403" s="111"/>
      <c r="S403" s="186"/>
      <c r="T403" s="187"/>
    </row>
    <row r="404" spans="1:20" s="91" customFormat="1" ht="22.5" customHeight="1">
      <c r="A404" s="85" t="s">
        <v>146</v>
      </c>
      <c r="B404" s="173"/>
      <c r="C404" s="87" t="s">
        <v>40</v>
      </c>
      <c r="D404" s="178" t="s">
        <v>177</v>
      </c>
      <c r="E404" s="148" t="s">
        <v>177</v>
      </c>
      <c r="F404" s="149">
        <v>12</v>
      </c>
      <c r="G404" s="188">
        <v>38330</v>
      </c>
      <c r="H404" s="189">
        <v>38330</v>
      </c>
      <c r="I404" s="148" t="s">
        <v>299</v>
      </c>
      <c r="J404" s="151"/>
      <c r="K404" s="62">
        <f t="shared" si="90"/>
        <v>0</v>
      </c>
      <c r="L404" s="118">
        <v>45.05</v>
      </c>
      <c r="M404" s="179"/>
      <c r="N404" s="31"/>
      <c r="O404" s="111"/>
      <c r="P404" s="31"/>
      <c r="Q404" s="31"/>
      <c r="R404" s="111"/>
      <c r="S404" s="186"/>
      <c r="T404" s="187"/>
    </row>
    <row r="405" spans="1:20" s="91" customFormat="1" ht="22.5" customHeight="1">
      <c r="A405" s="85" t="s">
        <v>146</v>
      </c>
      <c r="B405" s="173"/>
      <c r="C405" s="87" t="s">
        <v>40</v>
      </c>
      <c r="D405" s="178" t="s">
        <v>177</v>
      </c>
      <c r="E405" s="148" t="s">
        <v>177</v>
      </c>
      <c r="F405" s="149">
        <v>11</v>
      </c>
      <c r="G405" s="188">
        <v>38303</v>
      </c>
      <c r="H405" s="189">
        <v>38303</v>
      </c>
      <c r="I405" s="148" t="s">
        <v>299</v>
      </c>
      <c r="J405" s="151"/>
      <c r="K405" s="62">
        <f t="shared" si="90"/>
        <v>0</v>
      </c>
      <c r="L405" s="118">
        <v>94.72</v>
      </c>
      <c r="M405" s="179"/>
      <c r="N405" s="31"/>
      <c r="O405" s="111"/>
      <c r="P405" s="31"/>
      <c r="Q405" s="31"/>
      <c r="R405" s="111"/>
      <c r="S405" s="186"/>
      <c r="T405" s="187"/>
    </row>
    <row r="406" spans="1:20" s="91" customFormat="1" ht="22.5" customHeight="1">
      <c r="A406" s="85" t="s">
        <v>146</v>
      </c>
      <c r="B406" s="173"/>
      <c r="C406" s="87" t="s">
        <v>40</v>
      </c>
      <c r="D406" s="178" t="s">
        <v>177</v>
      </c>
      <c r="E406" s="148" t="s">
        <v>177</v>
      </c>
      <c r="F406" s="149">
        <v>2</v>
      </c>
      <c r="G406" s="188">
        <v>38391</v>
      </c>
      <c r="H406" s="189">
        <v>38025</v>
      </c>
      <c r="I406" s="148" t="s">
        <v>299</v>
      </c>
      <c r="J406" s="151"/>
      <c r="K406" s="62">
        <f t="shared" si="90"/>
        <v>0</v>
      </c>
      <c r="L406" s="118">
        <v>65.66</v>
      </c>
      <c r="M406" s="179"/>
      <c r="N406" s="31"/>
      <c r="O406" s="111"/>
      <c r="P406" s="31"/>
      <c r="Q406" s="31"/>
      <c r="R406" s="111"/>
      <c r="S406" s="186"/>
      <c r="T406" s="187"/>
    </row>
    <row r="407" spans="1:20" s="91" customFormat="1" ht="22.5" customHeight="1">
      <c r="A407" s="85" t="s">
        <v>146</v>
      </c>
      <c r="B407" s="173"/>
      <c r="C407" s="87" t="s">
        <v>40</v>
      </c>
      <c r="D407" s="178" t="s">
        <v>177</v>
      </c>
      <c r="E407" s="148" t="s">
        <v>177</v>
      </c>
      <c r="F407" s="149">
        <v>3</v>
      </c>
      <c r="G407" s="188">
        <v>38420</v>
      </c>
      <c r="H407" s="189">
        <v>38420</v>
      </c>
      <c r="I407" s="148" t="s">
        <v>299</v>
      </c>
      <c r="J407" s="151"/>
      <c r="K407" s="62">
        <f t="shared" si="90"/>
        <v>0</v>
      </c>
      <c r="L407" s="118">
        <v>45.05</v>
      </c>
      <c r="M407" s="179"/>
      <c r="N407" s="31"/>
      <c r="O407" s="111"/>
      <c r="P407" s="31"/>
      <c r="Q407" s="31"/>
      <c r="R407" s="111"/>
      <c r="S407" s="186"/>
      <c r="T407" s="187"/>
    </row>
    <row r="408" spans="1:20" s="91" customFormat="1" ht="22.5" customHeight="1">
      <c r="A408" s="85" t="s">
        <v>146</v>
      </c>
      <c r="B408" s="173"/>
      <c r="C408" s="87" t="s">
        <v>40</v>
      </c>
      <c r="D408" s="147" t="s">
        <v>177</v>
      </c>
      <c r="E408" s="148" t="s">
        <v>177</v>
      </c>
      <c r="F408" s="149">
        <v>9</v>
      </c>
      <c r="G408" s="188">
        <v>38243</v>
      </c>
      <c r="H408" s="189">
        <v>38608</v>
      </c>
      <c r="I408" s="148" t="s">
        <v>299</v>
      </c>
      <c r="J408" s="151"/>
      <c r="K408" s="62">
        <f t="shared" si="90"/>
        <v>0</v>
      </c>
      <c r="L408" s="118">
        <v>45.05</v>
      </c>
      <c r="M408" s="179"/>
      <c r="N408" s="31"/>
      <c r="O408" s="111"/>
      <c r="P408" s="31"/>
      <c r="Q408" s="31"/>
      <c r="R408" s="111"/>
      <c r="S408" s="186"/>
      <c r="T408" s="187"/>
    </row>
    <row r="409" spans="1:20" s="91" customFormat="1" ht="22.5" customHeight="1">
      <c r="A409" s="85" t="s">
        <v>146</v>
      </c>
      <c r="B409" s="173"/>
      <c r="C409" s="87" t="s">
        <v>40</v>
      </c>
      <c r="D409" s="147" t="s">
        <v>154</v>
      </c>
      <c r="E409" s="148" t="s">
        <v>155</v>
      </c>
      <c r="F409" s="149">
        <v>100</v>
      </c>
      <c r="G409" s="150">
        <v>38496</v>
      </c>
      <c r="H409" s="157">
        <f>G409</f>
        <v>38496</v>
      </c>
      <c r="I409" s="148" t="s">
        <v>156</v>
      </c>
      <c r="J409" s="148">
        <v>582</v>
      </c>
      <c r="K409" s="148">
        <v>116.4</v>
      </c>
      <c r="L409" s="185">
        <f>+K409+J409</f>
        <v>698.4</v>
      </c>
      <c r="M409" s="31"/>
      <c r="N409" s="31"/>
      <c r="O409" s="111">
        <f aca="true" t="shared" si="95" ref="O409:O419">+N409+M409</f>
        <v>0</v>
      </c>
      <c r="P409" s="31">
        <f aca="true" t="shared" si="96" ref="P409:P419">+M409*0.65</f>
        <v>0</v>
      </c>
      <c r="Q409" s="31"/>
      <c r="R409" s="111">
        <f aca="true" t="shared" si="97" ref="R409:R419">+Q409+P409</f>
        <v>0</v>
      </c>
      <c r="S409" s="355" t="s">
        <v>310</v>
      </c>
      <c r="T409" s="356"/>
    </row>
    <row r="410" spans="1:20" s="91" customFormat="1" ht="22.5" customHeight="1">
      <c r="A410" s="85" t="s">
        <v>146</v>
      </c>
      <c r="B410" s="173"/>
      <c r="C410" s="87" t="s">
        <v>40</v>
      </c>
      <c r="D410" s="147" t="s">
        <v>160</v>
      </c>
      <c r="E410" s="148" t="s">
        <v>161</v>
      </c>
      <c r="F410" s="149" t="s">
        <v>307</v>
      </c>
      <c r="G410" s="150">
        <v>38521</v>
      </c>
      <c r="H410" s="157">
        <v>38541</v>
      </c>
      <c r="I410" s="148" t="s">
        <v>162</v>
      </c>
      <c r="J410" s="62">
        <f>+L410-K410</f>
        <v>2632.16</v>
      </c>
      <c r="K410" s="148">
        <v>411.84</v>
      </c>
      <c r="L410" s="118">
        <v>3044</v>
      </c>
      <c r="M410" s="31">
        <f>(3044-411.84-284.02)*85%</f>
        <v>1995.9189999999999</v>
      </c>
      <c r="N410" s="31"/>
      <c r="O410" s="111">
        <f t="shared" si="95"/>
        <v>1995.9189999999999</v>
      </c>
      <c r="P410" s="31">
        <f t="shared" si="96"/>
        <v>1297.34735</v>
      </c>
      <c r="Q410" s="31"/>
      <c r="R410" s="111">
        <f t="shared" si="97"/>
        <v>1297.34735</v>
      </c>
      <c r="S410" s="355" t="s">
        <v>309</v>
      </c>
      <c r="T410" s="356"/>
    </row>
    <row r="411" spans="1:20" s="91" customFormat="1" ht="22.5" customHeight="1">
      <c r="A411" s="85" t="s">
        <v>146</v>
      </c>
      <c r="B411" s="173"/>
      <c r="C411" s="87" t="s">
        <v>40</v>
      </c>
      <c r="D411" s="147" t="s">
        <v>160</v>
      </c>
      <c r="E411" s="148" t="s">
        <v>166</v>
      </c>
      <c r="F411" s="149" t="s">
        <v>167</v>
      </c>
      <c r="G411" s="150">
        <v>38510</v>
      </c>
      <c r="H411" s="157">
        <v>38548</v>
      </c>
      <c r="I411" s="148" t="s">
        <v>162</v>
      </c>
      <c r="J411" s="62">
        <f>+L411-K411</f>
        <v>648.34</v>
      </c>
      <c r="K411" s="148">
        <v>129.66</v>
      </c>
      <c r="L411" s="118">
        <v>778</v>
      </c>
      <c r="M411" s="31">
        <f>(778-129.66)*85%</f>
        <v>551.089</v>
      </c>
      <c r="N411" s="31"/>
      <c r="O411" s="111">
        <f t="shared" si="95"/>
        <v>551.089</v>
      </c>
      <c r="P411" s="31">
        <f t="shared" si="96"/>
        <v>358.20785000000006</v>
      </c>
      <c r="Q411" s="31"/>
      <c r="R411" s="111">
        <f t="shared" si="97"/>
        <v>358.20785000000006</v>
      </c>
      <c r="S411" s="186"/>
      <c r="T411" s="187"/>
    </row>
    <row r="412" spans="1:20" s="91" customFormat="1" ht="22.5" customHeight="1">
      <c r="A412" s="85" t="s">
        <v>146</v>
      </c>
      <c r="B412" s="173"/>
      <c r="C412" s="87" t="s">
        <v>40</v>
      </c>
      <c r="D412" s="178" t="s">
        <v>160</v>
      </c>
      <c r="E412" s="148" t="s">
        <v>166</v>
      </c>
      <c r="F412" s="149" t="s">
        <v>169</v>
      </c>
      <c r="G412" s="150">
        <v>38510</v>
      </c>
      <c r="H412" s="157">
        <v>38548</v>
      </c>
      <c r="I412" s="148" t="s">
        <v>162</v>
      </c>
      <c r="J412" s="62">
        <f>+L412-K412</f>
        <v>132.88</v>
      </c>
      <c r="K412" s="148">
        <v>26.62</v>
      </c>
      <c r="L412" s="118">
        <v>159.5</v>
      </c>
      <c r="M412" s="31">
        <f aca="true" t="shared" si="98" ref="M412:M419">+J412*85%</f>
        <v>112.948</v>
      </c>
      <c r="N412" s="31"/>
      <c r="O412" s="111">
        <f t="shared" si="95"/>
        <v>112.948</v>
      </c>
      <c r="P412" s="31">
        <f t="shared" si="96"/>
        <v>73.4162</v>
      </c>
      <c r="Q412" s="31"/>
      <c r="R412" s="111">
        <f t="shared" si="97"/>
        <v>73.4162</v>
      </c>
      <c r="S412" s="186"/>
      <c r="T412" s="187"/>
    </row>
    <row r="413" spans="1:20" s="91" customFormat="1" ht="22.5" customHeight="1">
      <c r="A413" s="85" t="s">
        <v>146</v>
      </c>
      <c r="B413" s="173"/>
      <c r="C413" s="87" t="s">
        <v>40</v>
      </c>
      <c r="D413" s="147" t="s">
        <v>160</v>
      </c>
      <c r="E413" s="148" t="s">
        <v>175</v>
      </c>
      <c r="F413" s="149" t="s">
        <v>176</v>
      </c>
      <c r="G413" s="150">
        <v>38518</v>
      </c>
      <c r="H413" s="157">
        <v>38558</v>
      </c>
      <c r="I413" s="148" t="s">
        <v>162</v>
      </c>
      <c r="J413" s="62">
        <f>+L413-K413</f>
        <v>236.89</v>
      </c>
      <c r="K413" s="148">
        <v>108.38</v>
      </c>
      <c r="L413" s="118">
        <v>345.27</v>
      </c>
      <c r="M413" s="31">
        <f t="shared" si="98"/>
        <v>201.35649999999998</v>
      </c>
      <c r="N413" s="31"/>
      <c r="O413" s="111">
        <f t="shared" si="95"/>
        <v>201.35649999999998</v>
      </c>
      <c r="P413" s="31">
        <f t="shared" si="96"/>
        <v>130.881725</v>
      </c>
      <c r="Q413" s="31"/>
      <c r="R413" s="111">
        <f t="shared" si="97"/>
        <v>130.881725</v>
      </c>
      <c r="S413" s="186"/>
      <c r="T413" s="187"/>
    </row>
    <row r="414" spans="1:20" s="91" customFormat="1" ht="22.5" customHeight="1">
      <c r="A414" s="85" t="s">
        <v>146</v>
      </c>
      <c r="B414" s="173"/>
      <c r="C414" s="87" t="s">
        <v>40</v>
      </c>
      <c r="D414" s="147" t="s">
        <v>177</v>
      </c>
      <c r="E414" s="148" t="s">
        <v>178</v>
      </c>
      <c r="F414" s="149">
        <v>8</v>
      </c>
      <c r="G414" s="150">
        <v>38569</v>
      </c>
      <c r="H414" s="157">
        <v>38574</v>
      </c>
      <c r="I414" s="148" t="s">
        <v>179</v>
      </c>
      <c r="J414" s="62">
        <v>320</v>
      </c>
      <c r="K414" s="148"/>
      <c r="L414" s="118">
        <f>+K414+J414</f>
        <v>320</v>
      </c>
      <c r="M414" s="31">
        <f t="shared" si="98"/>
        <v>272</v>
      </c>
      <c r="N414" s="31"/>
      <c r="O414" s="111">
        <f t="shared" si="95"/>
        <v>272</v>
      </c>
      <c r="P414" s="31">
        <f t="shared" si="96"/>
        <v>176.8</v>
      </c>
      <c r="Q414" s="31"/>
      <c r="R414" s="111">
        <f t="shared" si="97"/>
        <v>176.8</v>
      </c>
      <c r="S414" s="186"/>
      <c r="T414" s="187"/>
    </row>
    <row r="415" spans="1:20" s="91" customFormat="1" ht="22.5" customHeight="1">
      <c r="A415" s="85" t="s">
        <v>146</v>
      </c>
      <c r="B415" s="173"/>
      <c r="C415" s="87" t="s">
        <v>40</v>
      </c>
      <c r="D415" s="147" t="s">
        <v>182</v>
      </c>
      <c r="E415" s="155" t="s">
        <v>183</v>
      </c>
      <c r="F415" s="149">
        <v>-4611</v>
      </c>
      <c r="G415" s="150">
        <v>38559</v>
      </c>
      <c r="H415" s="157">
        <v>38575</v>
      </c>
      <c r="I415" s="148" t="s">
        <v>184</v>
      </c>
      <c r="J415" s="62">
        <f>+L415-K415</f>
        <v>729.28</v>
      </c>
      <c r="K415" s="148">
        <v>133.64</v>
      </c>
      <c r="L415" s="118">
        <v>862.92</v>
      </c>
      <c r="M415" s="31">
        <f t="shared" si="98"/>
        <v>619.8879999999999</v>
      </c>
      <c r="N415" s="31"/>
      <c r="O415" s="111">
        <f t="shared" si="95"/>
        <v>619.8879999999999</v>
      </c>
      <c r="P415" s="31">
        <f t="shared" si="96"/>
        <v>402.92719999999997</v>
      </c>
      <c r="Q415" s="31"/>
      <c r="R415" s="111">
        <f t="shared" si="97"/>
        <v>402.92719999999997</v>
      </c>
      <c r="S415" s="186"/>
      <c r="T415" s="187"/>
    </row>
    <row r="416" spans="1:20" s="91" customFormat="1" ht="22.5" customHeight="1">
      <c r="A416" s="85" t="s">
        <v>146</v>
      </c>
      <c r="B416" s="173"/>
      <c r="C416" s="87" t="s">
        <v>40</v>
      </c>
      <c r="D416" s="147" t="s">
        <v>188</v>
      </c>
      <c r="E416" s="156" t="s">
        <v>189</v>
      </c>
      <c r="F416" s="149">
        <v>1444</v>
      </c>
      <c r="G416" s="157">
        <v>38595</v>
      </c>
      <c r="H416" s="157">
        <v>38565</v>
      </c>
      <c r="I416" s="148" t="s">
        <v>190</v>
      </c>
      <c r="J416" s="160">
        <v>600</v>
      </c>
      <c r="K416" s="148">
        <f>+J416*0.2</f>
        <v>120</v>
      </c>
      <c r="L416" s="118">
        <f>+K416+J416</f>
        <v>720</v>
      </c>
      <c r="M416" s="31">
        <f t="shared" si="98"/>
        <v>510</v>
      </c>
      <c r="N416" s="31"/>
      <c r="O416" s="111">
        <f t="shared" si="95"/>
        <v>510</v>
      </c>
      <c r="P416" s="31">
        <f t="shared" si="96"/>
        <v>331.5</v>
      </c>
      <c r="Q416" s="31"/>
      <c r="R416" s="111">
        <f t="shared" si="97"/>
        <v>331.5</v>
      </c>
      <c r="S416" s="186"/>
      <c r="T416" s="187"/>
    </row>
    <row r="417" spans="1:20" s="91" customFormat="1" ht="22.5" customHeight="1">
      <c r="A417" s="85" t="s">
        <v>146</v>
      </c>
      <c r="B417" s="173"/>
      <c r="C417" s="87" t="s">
        <v>40</v>
      </c>
      <c r="D417" s="147" t="s">
        <v>160</v>
      </c>
      <c r="E417" s="156" t="s">
        <v>161</v>
      </c>
      <c r="F417" s="191" t="s">
        <v>308</v>
      </c>
      <c r="G417" s="157">
        <v>38581</v>
      </c>
      <c r="H417" s="157">
        <v>38601</v>
      </c>
      <c r="I417" s="148" t="s">
        <v>162</v>
      </c>
      <c r="J417" s="62">
        <f>+L417-K417</f>
        <v>2591.12</v>
      </c>
      <c r="K417" s="148">
        <f>284.02+399.86</f>
        <v>683.88</v>
      </c>
      <c r="L417" s="118">
        <v>3275</v>
      </c>
      <c r="M417" s="31">
        <f t="shared" si="98"/>
        <v>2202.4519999999998</v>
      </c>
      <c r="N417" s="31"/>
      <c r="O417" s="111">
        <f t="shared" si="95"/>
        <v>2202.4519999999998</v>
      </c>
      <c r="P417" s="31">
        <f t="shared" si="96"/>
        <v>1431.5937999999999</v>
      </c>
      <c r="Q417" s="31"/>
      <c r="R417" s="111">
        <f t="shared" si="97"/>
        <v>1431.5937999999999</v>
      </c>
      <c r="S417" s="186"/>
      <c r="T417" s="187"/>
    </row>
    <row r="418" spans="1:20" s="91" customFormat="1" ht="22.5" customHeight="1">
      <c r="A418" s="85" t="s">
        <v>146</v>
      </c>
      <c r="B418" s="173"/>
      <c r="C418" s="87" t="s">
        <v>40</v>
      </c>
      <c r="D418" s="147" t="s">
        <v>160</v>
      </c>
      <c r="E418" s="156" t="s">
        <v>166</v>
      </c>
      <c r="F418" s="93" t="s">
        <v>191</v>
      </c>
      <c r="G418" s="18">
        <v>38569</v>
      </c>
      <c r="H418" s="157">
        <v>38610</v>
      </c>
      <c r="I418" s="148" t="s">
        <v>192</v>
      </c>
      <c r="J418" s="160">
        <f>+L418-K418</f>
        <v>113.73</v>
      </c>
      <c r="K418" s="148">
        <v>22.77</v>
      </c>
      <c r="L418" s="118">
        <v>136.5</v>
      </c>
      <c r="M418" s="31">
        <f t="shared" si="98"/>
        <v>96.6705</v>
      </c>
      <c r="N418" s="31"/>
      <c r="O418" s="111">
        <f t="shared" si="95"/>
        <v>96.6705</v>
      </c>
      <c r="P418" s="31">
        <f t="shared" si="96"/>
        <v>62.83582500000001</v>
      </c>
      <c r="Q418" s="31"/>
      <c r="R418" s="111">
        <f t="shared" si="97"/>
        <v>62.83582500000001</v>
      </c>
      <c r="S418" s="186"/>
      <c r="T418" s="187"/>
    </row>
    <row r="419" spans="1:20" s="91" customFormat="1" ht="22.5" customHeight="1">
      <c r="A419" s="85" t="s">
        <v>146</v>
      </c>
      <c r="B419" s="173"/>
      <c r="C419" s="87" t="s">
        <v>40</v>
      </c>
      <c r="D419" s="147" t="s">
        <v>160</v>
      </c>
      <c r="E419" s="156" t="s">
        <v>166</v>
      </c>
      <c r="F419" s="93" t="s">
        <v>193</v>
      </c>
      <c r="G419" s="18">
        <v>38569</v>
      </c>
      <c r="H419" s="157">
        <v>38610</v>
      </c>
      <c r="I419" s="148" t="s">
        <v>162</v>
      </c>
      <c r="J419" s="160">
        <f>+L419-K419</f>
        <v>124.19</v>
      </c>
      <c r="K419" s="148">
        <v>24.81</v>
      </c>
      <c r="L419" s="118">
        <v>149</v>
      </c>
      <c r="M419" s="31">
        <f t="shared" si="98"/>
        <v>105.5615</v>
      </c>
      <c r="N419" s="31"/>
      <c r="O419" s="111">
        <f t="shared" si="95"/>
        <v>105.5615</v>
      </c>
      <c r="P419" s="31">
        <f t="shared" si="96"/>
        <v>68.614975</v>
      </c>
      <c r="Q419" s="31"/>
      <c r="R419" s="111">
        <f t="shared" si="97"/>
        <v>68.614975</v>
      </c>
      <c r="S419" s="186"/>
      <c r="T419" s="187"/>
    </row>
    <row r="420" spans="1:20" s="91" customFormat="1" ht="22.5" customHeight="1">
      <c r="A420" s="85" t="s">
        <v>146</v>
      </c>
      <c r="B420" s="173"/>
      <c r="C420" s="87" t="s">
        <v>40</v>
      </c>
      <c r="D420" s="147" t="s">
        <v>177</v>
      </c>
      <c r="E420" s="148" t="s">
        <v>178</v>
      </c>
      <c r="F420" s="93">
        <v>9</v>
      </c>
      <c r="G420" s="18">
        <v>38615</v>
      </c>
      <c r="H420" s="157">
        <v>38617</v>
      </c>
      <c r="I420" s="148" t="s">
        <v>179</v>
      </c>
      <c r="J420" s="160">
        <v>160</v>
      </c>
      <c r="K420" s="148"/>
      <c r="L420" s="118">
        <v>160</v>
      </c>
      <c r="M420" s="31">
        <f>+J420*85%</f>
        <v>136</v>
      </c>
      <c r="N420" s="31"/>
      <c r="O420" s="111">
        <f>+N420+M420</f>
        <v>136</v>
      </c>
      <c r="P420" s="31">
        <f>+M420*0.65</f>
        <v>88.4</v>
      </c>
      <c r="Q420" s="31"/>
      <c r="R420" s="111">
        <f>+Q420+P420</f>
        <v>88.4</v>
      </c>
      <c r="S420" s="186"/>
      <c r="T420" s="187"/>
    </row>
    <row r="421" spans="1:20" s="91" customFormat="1" ht="22.5" customHeight="1">
      <c r="A421" s="85" t="s">
        <v>146</v>
      </c>
      <c r="B421" s="173"/>
      <c r="C421" s="87" t="s">
        <v>40</v>
      </c>
      <c r="D421" s="147" t="s">
        <v>182</v>
      </c>
      <c r="E421" s="156" t="s">
        <v>183</v>
      </c>
      <c r="F421" s="93">
        <v>-44612</v>
      </c>
      <c r="G421" s="18">
        <v>38597</v>
      </c>
      <c r="H421" s="157">
        <v>38614</v>
      </c>
      <c r="I421" s="148" t="s">
        <v>192</v>
      </c>
      <c r="J421" s="160"/>
      <c r="K421" s="148"/>
      <c r="L421" s="212">
        <v>80.89</v>
      </c>
      <c r="M421" s="31">
        <f>+L421/1.2</f>
        <v>67.40833333333333</v>
      </c>
      <c r="N421" s="31"/>
      <c r="O421" s="111">
        <f>+N421+M421</f>
        <v>67.40833333333333</v>
      </c>
      <c r="P421" s="31">
        <f>+M421*0.65</f>
        <v>43.815416666666664</v>
      </c>
      <c r="Q421" s="31"/>
      <c r="R421" s="111">
        <f>+Q421+P421</f>
        <v>43.815416666666664</v>
      </c>
      <c r="S421" s="186"/>
      <c r="T421" s="187"/>
    </row>
    <row r="422" spans="1:20" s="91" customFormat="1" ht="22.5" customHeight="1">
      <c r="A422" s="85" t="s">
        <v>146</v>
      </c>
      <c r="B422" s="173"/>
      <c r="C422" s="87" t="s">
        <v>40</v>
      </c>
      <c r="D422" s="147" t="s">
        <v>160</v>
      </c>
      <c r="E422" s="156" t="s">
        <v>175</v>
      </c>
      <c r="F422" s="93" t="s">
        <v>194</v>
      </c>
      <c r="G422" s="18">
        <v>38576</v>
      </c>
      <c r="H422" s="157">
        <v>38621</v>
      </c>
      <c r="I422" s="148" t="s">
        <v>162</v>
      </c>
      <c r="J422" s="160"/>
      <c r="K422" s="148"/>
      <c r="L422" s="118">
        <v>205.44</v>
      </c>
      <c r="M422" s="31">
        <f>+L422/1.2</f>
        <v>171.20000000000002</v>
      </c>
      <c r="N422" s="31"/>
      <c r="O422" s="111">
        <f>+N422+M422</f>
        <v>171.20000000000002</v>
      </c>
      <c r="P422" s="31">
        <f>+M422*0.65</f>
        <v>111.28000000000002</v>
      </c>
      <c r="Q422" s="31"/>
      <c r="R422" s="111">
        <f>+Q422+P422</f>
        <v>111.28000000000002</v>
      </c>
      <c r="S422" s="186"/>
      <c r="T422" s="187"/>
    </row>
    <row r="423" spans="1:20" s="91" customFormat="1" ht="22.5" customHeight="1">
      <c r="A423" s="85" t="s">
        <v>146</v>
      </c>
      <c r="B423" s="173"/>
      <c r="C423" s="87" t="s">
        <v>40</v>
      </c>
      <c r="D423" s="147" t="s">
        <v>160</v>
      </c>
      <c r="E423" s="161" t="s">
        <v>166</v>
      </c>
      <c r="F423" s="93" t="s">
        <v>195</v>
      </c>
      <c r="G423" s="18">
        <v>38603</v>
      </c>
      <c r="H423" s="157">
        <v>38635</v>
      </c>
      <c r="I423" s="148" t="s">
        <v>192</v>
      </c>
      <c r="J423" s="160"/>
      <c r="K423" s="148"/>
      <c r="L423" s="118">
        <v>64.6</v>
      </c>
      <c r="M423" s="31">
        <f>+L423/1.2</f>
        <v>53.83333333333333</v>
      </c>
      <c r="N423" s="31"/>
      <c r="O423" s="111">
        <f>+N423+M423</f>
        <v>53.83333333333333</v>
      </c>
      <c r="P423" s="31">
        <f>+M423*0.65</f>
        <v>34.99166666666667</v>
      </c>
      <c r="Q423" s="31"/>
      <c r="R423" s="111">
        <f>+Q423+P423</f>
        <v>34.99166666666667</v>
      </c>
      <c r="S423" s="355"/>
      <c r="T423" s="356"/>
    </row>
    <row r="424" spans="1:20" s="91" customFormat="1" ht="22.5" customHeight="1">
      <c r="A424" s="85" t="s">
        <v>146</v>
      </c>
      <c r="B424" s="173"/>
      <c r="C424" s="87" t="s">
        <v>40</v>
      </c>
      <c r="D424" s="147" t="s">
        <v>160</v>
      </c>
      <c r="E424" s="161" t="s">
        <v>166</v>
      </c>
      <c r="F424" s="93" t="s">
        <v>208</v>
      </c>
      <c r="G424" s="18">
        <v>38569</v>
      </c>
      <c r="H424" s="157">
        <v>38610</v>
      </c>
      <c r="I424" s="148" t="s">
        <v>162</v>
      </c>
      <c r="J424" s="160"/>
      <c r="K424" s="148"/>
      <c r="L424" s="118">
        <v>495.98</v>
      </c>
      <c r="M424" s="31">
        <f>+L424/1.2</f>
        <v>413.3166666666667</v>
      </c>
      <c r="N424" s="31"/>
      <c r="O424" s="111">
        <f>+N424+M424</f>
        <v>413.3166666666667</v>
      </c>
      <c r="P424" s="31">
        <f>+M424*0.65</f>
        <v>268.65583333333336</v>
      </c>
      <c r="Q424" s="31"/>
      <c r="R424" s="111">
        <f>+Q424+P424</f>
        <v>268.65583333333336</v>
      </c>
      <c r="S424" s="355"/>
      <c r="T424" s="356"/>
    </row>
    <row r="425" spans="1:20" s="91" customFormat="1" ht="22.5" customHeight="1">
      <c r="A425" s="85" t="s">
        <v>146</v>
      </c>
      <c r="B425" s="173"/>
      <c r="C425" s="87" t="s">
        <v>40</v>
      </c>
      <c r="D425" s="147" t="s">
        <v>177</v>
      </c>
      <c r="E425" s="148" t="s">
        <v>178</v>
      </c>
      <c r="F425" s="93">
        <v>5</v>
      </c>
      <c r="G425" s="18">
        <v>38481</v>
      </c>
      <c r="H425" s="18">
        <v>38481</v>
      </c>
      <c r="I425" s="148" t="s">
        <v>153</v>
      </c>
      <c r="J425" s="160"/>
      <c r="K425" s="148"/>
      <c r="L425" s="118">
        <v>45.05</v>
      </c>
      <c r="M425" s="31"/>
      <c r="N425" s="31"/>
      <c r="O425" s="111"/>
      <c r="P425" s="31"/>
      <c r="Q425" s="31"/>
      <c r="R425" s="111"/>
      <c r="S425" s="186"/>
      <c r="T425" s="187"/>
    </row>
    <row r="426" spans="1:20" s="91" customFormat="1" ht="22.5" customHeight="1">
      <c r="A426" s="85" t="s">
        <v>146</v>
      </c>
      <c r="B426" s="173"/>
      <c r="C426" s="87" t="s">
        <v>40</v>
      </c>
      <c r="D426" s="147" t="s">
        <v>177</v>
      </c>
      <c r="E426" s="148" t="s">
        <v>178</v>
      </c>
      <c r="F426" s="93">
        <v>6</v>
      </c>
      <c r="G426" s="18">
        <v>38512</v>
      </c>
      <c r="H426" s="18">
        <v>38512</v>
      </c>
      <c r="I426" s="148" t="s">
        <v>153</v>
      </c>
      <c r="J426" s="160"/>
      <c r="K426" s="148"/>
      <c r="L426" s="118">
        <v>58.85</v>
      </c>
      <c r="M426" s="31"/>
      <c r="N426" s="31"/>
      <c r="O426" s="111"/>
      <c r="P426" s="31"/>
      <c r="Q426" s="31"/>
      <c r="R426" s="111"/>
      <c r="S426" s="186"/>
      <c r="T426" s="187"/>
    </row>
    <row r="427" spans="1:20" s="91" customFormat="1" ht="22.5" customHeight="1">
      <c r="A427" s="85" t="s">
        <v>146</v>
      </c>
      <c r="B427" s="173"/>
      <c r="C427" s="87" t="s">
        <v>40</v>
      </c>
      <c r="D427" s="147" t="s">
        <v>177</v>
      </c>
      <c r="E427" s="148" t="s">
        <v>178</v>
      </c>
      <c r="F427" s="93">
        <v>7</v>
      </c>
      <c r="G427" s="18">
        <v>38540</v>
      </c>
      <c r="H427" s="18">
        <v>38540</v>
      </c>
      <c r="I427" s="148" t="s">
        <v>153</v>
      </c>
      <c r="J427" s="160"/>
      <c r="K427" s="148"/>
      <c r="L427" s="118">
        <v>81.12</v>
      </c>
      <c r="M427" s="31"/>
      <c r="N427" s="31"/>
      <c r="O427" s="111"/>
      <c r="P427" s="31"/>
      <c r="Q427" s="31"/>
      <c r="R427" s="111"/>
      <c r="S427" s="186"/>
      <c r="T427" s="187"/>
    </row>
    <row r="428" spans="1:20" s="91" customFormat="1" ht="22.5" customHeight="1">
      <c r="A428" s="85" t="s">
        <v>146</v>
      </c>
      <c r="B428" s="173"/>
      <c r="C428" s="87" t="s">
        <v>40</v>
      </c>
      <c r="D428" s="147" t="s">
        <v>177</v>
      </c>
      <c r="E428" s="193" t="s">
        <v>178</v>
      </c>
      <c r="F428" s="194">
        <v>8</v>
      </c>
      <c r="G428" s="195">
        <v>38540</v>
      </c>
      <c r="H428" s="195">
        <v>38540</v>
      </c>
      <c r="I428" s="62" t="s">
        <v>153</v>
      </c>
      <c r="J428" s="196"/>
      <c r="K428" s="193"/>
      <c r="L428" s="184">
        <v>45.05</v>
      </c>
      <c r="M428" s="31"/>
      <c r="N428" s="31"/>
      <c r="O428" s="111"/>
      <c r="P428" s="31"/>
      <c r="Q428" s="31"/>
      <c r="R428" s="111"/>
      <c r="S428" s="186"/>
      <c r="T428" s="187"/>
    </row>
    <row r="429" spans="1:20" s="91" customFormat="1" ht="22.5" customHeight="1">
      <c r="A429" s="85" t="s">
        <v>146</v>
      </c>
      <c r="B429" s="173"/>
      <c r="C429" s="87" t="s">
        <v>40</v>
      </c>
      <c r="D429" s="147" t="s">
        <v>305</v>
      </c>
      <c r="E429" s="14" t="s">
        <v>306</v>
      </c>
      <c r="F429" s="197"/>
      <c r="G429" s="14"/>
      <c r="H429" s="198">
        <v>38565</v>
      </c>
      <c r="I429" s="148" t="s">
        <v>162</v>
      </c>
      <c r="J429" s="197"/>
      <c r="K429" s="14"/>
      <c r="L429" s="213">
        <v>431.56</v>
      </c>
      <c r="M429" s="31"/>
      <c r="N429" s="31"/>
      <c r="O429" s="111"/>
      <c r="P429" s="31"/>
      <c r="Q429" s="31"/>
      <c r="R429" s="111"/>
      <c r="S429" s="355" t="s">
        <v>312</v>
      </c>
      <c r="T429" s="356"/>
    </row>
    <row r="430" spans="1:20" s="91" customFormat="1" ht="22.5" customHeight="1">
      <c r="A430" s="85" t="s">
        <v>146</v>
      </c>
      <c r="B430" s="173"/>
      <c r="C430" s="87" t="s">
        <v>40</v>
      </c>
      <c r="D430" s="190" t="s">
        <v>351</v>
      </c>
      <c r="E430" s="16" t="s">
        <v>352</v>
      </c>
      <c r="F430" s="16" t="s">
        <v>353</v>
      </c>
      <c r="G430" s="210">
        <v>38686</v>
      </c>
      <c r="H430" s="210">
        <v>38698</v>
      </c>
      <c r="I430" s="206" t="s">
        <v>354</v>
      </c>
      <c r="J430" s="192">
        <v>2000</v>
      </c>
      <c r="K430" s="192">
        <v>400</v>
      </c>
      <c r="L430" s="212">
        <f>J430+K430</f>
        <v>2400</v>
      </c>
      <c r="M430" s="31">
        <v>2000</v>
      </c>
      <c r="N430" s="31"/>
      <c r="O430" s="111">
        <f aca="true" t="shared" si="99" ref="O430:O452">+N430+M430</f>
        <v>2000</v>
      </c>
      <c r="P430" s="31">
        <f aca="true" t="shared" si="100" ref="P430:P452">+M430*0.65</f>
        <v>1300</v>
      </c>
      <c r="Q430" s="31"/>
      <c r="R430" s="111">
        <f aca="true" t="shared" si="101" ref="R430:R452">+Q430+P430</f>
        <v>1300</v>
      </c>
      <c r="S430" s="186"/>
      <c r="T430" s="187"/>
    </row>
    <row r="431" spans="1:20" s="91" customFormat="1" ht="23.25" customHeight="1">
      <c r="A431" s="85" t="s">
        <v>146</v>
      </c>
      <c r="B431" s="173"/>
      <c r="C431" s="87" t="s">
        <v>40</v>
      </c>
      <c r="D431" s="190" t="s">
        <v>313</v>
      </c>
      <c r="E431" s="155" t="s">
        <v>314</v>
      </c>
      <c r="F431" s="204" t="s">
        <v>350</v>
      </c>
      <c r="G431" s="205">
        <v>38643</v>
      </c>
      <c r="H431" s="205">
        <v>38643</v>
      </c>
      <c r="I431" s="155" t="s">
        <v>315</v>
      </c>
      <c r="J431" s="201"/>
      <c r="K431" s="200"/>
      <c r="L431" s="212">
        <v>1139</v>
      </c>
      <c r="M431" s="31">
        <f>+L431/1.2*85%</f>
        <v>806.7916666666667</v>
      </c>
      <c r="N431" s="31"/>
      <c r="O431" s="111">
        <f t="shared" si="99"/>
        <v>806.7916666666667</v>
      </c>
      <c r="P431" s="31">
        <f t="shared" si="100"/>
        <v>524.4145833333334</v>
      </c>
      <c r="Q431" s="31"/>
      <c r="R431" s="111">
        <f t="shared" si="101"/>
        <v>524.4145833333334</v>
      </c>
      <c r="S431" s="355"/>
      <c r="T431" s="356"/>
    </row>
    <row r="432" spans="1:20" s="91" customFormat="1" ht="23.25" customHeight="1">
      <c r="A432" s="85" t="s">
        <v>146</v>
      </c>
      <c r="B432" s="173"/>
      <c r="C432" s="87" t="s">
        <v>40</v>
      </c>
      <c r="D432" s="190" t="s">
        <v>313</v>
      </c>
      <c r="E432" s="155" t="s">
        <v>316</v>
      </c>
      <c r="F432" s="204" t="s">
        <v>317</v>
      </c>
      <c r="G432" s="205">
        <v>38631</v>
      </c>
      <c r="H432" s="205">
        <v>38631</v>
      </c>
      <c r="I432" s="155" t="s">
        <v>315</v>
      </c>
      <c r="J432" s="201"/>
      <c r="K432" s="200"/>
      <c r="L432" s="212">
        <v>429</v>
      </c>
      <c r="M432" s="31">
        <f>+L432/1.2*85%</f>
        <v>303.875</v>
      </c>
      <c r="N432" s="31"/>
      <c r="O432" s="111">
        <f t="shared" si="99"/>
        <v>303.875</v>
      </c>
      <c r="P432" s="31">
        <f t="shared" si="100"/>
        <v>197.51875</v>
      </c>
      <c r="Q432" s="31"/>
      <c r="R432" s="111">
        <f t="shared" si="101"/>
        <v>197.51875</v>
      </c>
      <c r="S432" s="355"/>
      <c r="T432" s="356"/>
    </row>
    <row r="433" spans="1:20" s="91" customFormat="1" ht="23.25" customHeight="1">
      <c r="A433" s="85" t="s">
        <v>146</v>
      </c>
      <c r="B433" s="173"/>
      <c r="C433" s="87" t="s">
        <v>40</v>
      </c>
      <c r="D433" s="190" t="s">
        <v>313</v>
      </c>
      <c r="E433" s="155" t="s">
        <v>316</v>
      </c>
      <c r="F433" s="204" t="s">
        <v>318</v>
      </c>
      <c r="G433" s="205">
        <v>38631</v>
      </c>
      <c r="H433" s="205">
        <v>38631</v>
      </c>
      <c r="I433" s="155" t="s">
        <v>315</v>
      </c>
      <c r="J433" s="201"/>
      <c r="K433" s="200"/>
      <c r="L433" s="212">
        <v>133.5</v>
      </c>
      <c r="M433" s="31">
        <f>+L433/1.2*85%</f>
        <v>94.5625</v>
      </c>
      <c r="N433" s="31"/>
      <c r="O433" s="111">
        <f t="shared" si="99"/>
        <v>94.5625</v>
      </c>
      <c r="P433" s="31">
        <f t="shared" si="100"/>
        <v>61.465625</v>
      </c>
      <c r="Q433" s="31"/>
      <c r="R433" s="111">
        <f t="shared" si="101"/>
        <v>61.465625</v>
      </c>
      <c r="S433" s="355"/>
      <c r="T433" s="356"/>
    </row>
    <row r="434" spans="1:20" s="91" customFormat="1" ht="23.25" customHeight="1">
      <c r="A434" s="85" t="s">
        <v>146</v>
      </c>
      <c r="B434" s="173"/>
      <c r="C434" s="87" t="s">
        <v>40</v>
      </c>
      <c r="D434" s="190" t="s">
        <v>319</v>
      </c>
      <c r="E434" s="155" t="s">
        <v>320</v>
      </c>
      <c r="F434" s="204">
        <v>-44613</v>
      </c>
      <c r="G434" s="205">
        <v>38658</v>
      </c>
      <c r="H434" s="205">
        <v>38672</v>
      </c>
      <c r="I434" s="155" t="s">
        <v>321</v>
      </c>
      <c r="J434" s="201"/>
      <c r="K434" s="200"/>
      <c r="L434" s="212">
        <v>101.78</v>
      </c>
      <c r="M434" s="31">
        <f>+L434/1.2*85%</f>
        <v>72.09416666666668</v>
      </c>
      <c r="N434" s="31"/>
      <c r="O434" s="111">
        <f t="shared" si="99"/>
        <v>72.09416666666668</v>
      </c>
      <c r="P434" s="31">
        <f t="shared" si="100"/>
        <v>46.861208333333344</v>
      </c>
      <c r="Q434" s="31"/>
      <c r="R434" s="111">
        <f t="shared" si="101"/>
        <v>46.861208333333344</v>
      </c>
      <c r="S434" s="186"/>
      <c r="T434" s="187"/>
    </row>
    <row r="435" spans="1:20" s="91" customFormat="1" ht="23.25" customHeight="1">
      <c r="A435" s="85" t="s">
        <v>146</v>
      </c>
      <c r="B435" s="173"/>
      <c r="C435" s="87" t="s">
        <v>40</v>
      </c>
      <c r="D435" s="190" t="s">
        <v>322</v>
      </c>
      <c r="E435" s="155" t="s">
        <v>306</v>
      </c>
      <c r="F435" s="204"/>
      <c r="G435" s="205"/>
      <c r="H435" s="205">
        <v>38596</v>
      </c>
      <c r="I435" s="155" t="s">
        <v>315</v>
      </c>
      <c r="J435" s="201"/>
      <c r="K435" s="200"/>
      <c r="L435" s="214">
        <v>3505</v>
      </c>
      <c r="M435" s="192">
        <v>2979.25</v>
      </c>
      <c r="N435" s="31"/>
      <c r="O435" s="111">
        <f t="shared" si="99"/>
        <v>2979.25</v>
      </c>
      <c r="P435" s="31">
        <f t="shared" si="100"/>
        <v>1936.5125</v>
      </c>
      <c r="Q435" s="31"/>
      <c r="R435" s="111">
        <f t="shared" si="101"/>
        <v>1936.5125</v>
      </c>
      <c r="S435" s="186"/>
      <c r="T435" s="187"/>
    </row>
    <row r="436" spans="1:20" s="91" customFormat="1" ht="23.25" customHeight="1">
      <c r="A436" s="85" t="s">
        <v>146</v>
      </c>
      <c r="B436" s="173"/>
      <c r="C436" s="87" t="s">
        <v>40</v>
      </c>
      <c r="D436" s="190" t="s">
        <v>323</v>
      </c>
      <c r="E436" s="155" t="s">
        <v>306</v>
      </c>
      <c r="F436" s="204"/>
      <c r="G436" s="205"/>
      <c r="H436" s="205">
        <v>38628</v>
      </c>
      <c r="I436" s="155" t="s">
        <v>315</v>
      </c>
      <c r="J436" s="201"/>
      <c r="K436" s="200"/>
      <c r="L436" s="214">
        <v>3505</v>
      </c>
      <c r="M436" s="192">
        <v>2979.25</v>
      </c>
      <c r="N436" s="31"/>
      <c r="O436" s="111">
        <f t="shared" si="99"/>
        <v>2979.25</v>
      </c>
      <c r="P436" s="31">
        <f t="shared" si="100"/>
        <v>1936.5125</v>
      </c>
      <c r="Q436" s="31"/>
      <c r="R436" s="111">
        <f t="shared" si="101"/>
        <v>1936.5125</v>
      </c>
      <c r="S436" s="186"/>
      <c r="T436" s="187"/>
    </row>
    <row r="437" spans="1:20" s="91" customFormat="1" ht="23.25" customHeight="1">
      <c r="A437" s="85" t="s">
        <v>146</v>
      </c>
      <c r="B437" s="173"/>
      <c r="C437" s="87" t="s">
        <v>40</v>
      </c>
      <c r="D437" s="190" t="s">
        <v>324</v>
      </c>
      <c r="E437" s="155" t="s">
        <v>306</v>
      </c>
      <c r="F437" s="204"/>
      <c r="G437" s="205"/>
      <c r="H437" s="205">
        <v>38658</v>
      </c>
      <c r="I437" s="155" t="s">
        <v>315</v>
      </c>
      <c r="J437" s="201"/>
      <c r="K437" s="200"/>
      <c r="L437" s="214">
        <v>3505</v>
      </c>
      <c r="M437" s="192">
        <v>2979.25</v>
      </c>
      <c r="N437" s="31"/>
      <c r="O437" s="111">
        <f t="shared" si="99"/>
        <v>2979.25</v>
      </c>
      <c r="P437" s="31">
        <f t="shared" si="100"/>
        <v>1936.5125</v>
      </c>
      <c r="Q437" s="31"/>
      <c r="R437" s="111">
        <f t="shared" si="101"/>
        <v>1936.5125</v>
      </c>
      <c r="S437" s="186"/>
      <c r="T437" s="187"/>
    </row>
    <row r="438" spans="1:20" s="91" customFormat="1" ht="23.25" customHeight="1">
      <c r="A438" s="85" t="s">
        <v>146</v>
      </c>
      <c r="B438" s="173"/>
      <c r="C438" s="87" t="s">
        <v>40</v>
      </c>
      <c r="D438" s="190" t="s">
        <v>325</v>
      </c>
      <c r="E438" s="155" t="s">
        <v>306</v>
      </c>
      <c r="F438" s="204"/>
      <c r="G438" s="205"/>
      <c r="H438" s="205">
        <v>38688</v>
      </c>
      <c r="I438" s="155" t="s">
        <v>315</v>
      </c>
      <c r="J438" s="201"/>
      <c r="K438" s="200"/>
      <c r="L438" s="214">
        <v>3505</v>
      </c>
      <c r="M438" s="192">
        <v>2979.25</v>
      </c>
      <c r="N438" s="31"/>
      <c r="O438" s="111">
        <f t="shared" si="99"/>
        <v>2979.25</v>
      </c>
      <c r="P438" s="31">
        <f t="shared" si="100"/>
        <v>1936.5125</v>
      </c>
      <c r="Q438" s="31"/>
      <c r="R438" s="111">
        <f t="shared" si="101"/>
        <v>1936.5125</v>
      </c>
      <c r="S438" s="186"/>
      <c r="T438" s="187"/>
    </row>
    <row r="439" spans="1:20" s="91" customFormat="1" ht="23.25" customHeight="1">
      <c r="A439" s="85" t="s">
        <v>146</v>
      </c>
      <c r="B439" s="173"/>
      <c r="C439" s="87" t="s">
        <v>40</v>
      </c>
      <c r="D439" s="190" t="s">
        <v>326</v>
      </c>
      <c r="E439" s="155" t="s">
        <v>327</v>
      </c>
      <c r="F439" s="207">
        <v>38657</v>
      </c>
      <c r="G439" s="205">
        <v>38664</v>
      </c>
      <c r="H439" s="205">
        <v>38663</v>
      </c>
      <c r="I439" s="155" t="s">
        <v>315</v>
      </c>
      <c r="J439" s="201"/>
      <c r="K439" s="200"/>
      <c r="L439" s="214">
        <v>550</v>
      </c>
      <c r="M439" s="192">
        <v>467.5</v>
      </c>
      <c r="N439" s="31"/>
      <c r="O439" s="111">
        <f t="shared" si="99"/>
        <v>467.5</v>
      </c>
      <c r="P439" s="31">
        <f t="shared" si="100"/>
        <v>303.875</v>
      </c>
      <c r="Q439" s="31"/>
      <c r="R439" s="111">
        <f t="shared" si="101"/>
        <v>303.875</v>
      </c>
      <c r="S439" s="186"/>
      <c r="T439" s="187"/>
    </row>
    <row r="440" spans="1:20" s="91" customFormat="1" ht="23.25" customHeight="1">
      <c r="A440" s="85" t="s">
        <v>146</v>
      </c>
      <c r="B440" s="173"/>
      <c r="C440" s="87" t="s">
        <v>40</v>
      </c>
      <c r="D440" s="190" t="s">
        <v>326</v>
      </c>
      <c r="E440" s="155" t="s">
        <v>327</v>
      </c>
      <c r="F440" s="207">
        <v>38596</v>
      </c>
      <c r="G440" s="205">
        <v>38615</v>
      </c>
      <c r="H440" s="205"/>
      <c r="I440" s="155" t="s">
        <v>328</v>
      </c>
      <c r="J440" s="201"/>
      <c r="K440" s="200"/>
      <c r="L440" s="214">
        <v>165</v>
      </c>
      <c r="M440" s="192">
        <v>140.25</v>
      </c>
      <c r="N440" s="31"/>
      <c r="O440" s="111">
        <f t="shared" si="99"/>
        <v>140.25</v>
      </c>
      <c r="P440" s="31">
        <f t="shared" si="100"/>
        <v>91.16250000000001</v>
      </c>
      <c r="Q440" s="31"/>
      <c r="R440" s="111">
        <f t="shared" si="101"/>
        <v>91.16250000000001</v>
      </c>
      <c r="S440" s="186"/>
      <c r="T440" s="187"/>
    </row>
    <row r="441" spans="1:20" s="91" customFormat="1" ht="23.25" customHeight="1">
      <c r="A441" s="85" t="s">
        <v>146</v>
      </c>
      <c r="B441" s="173"/>
      <c r="C441" s="87" t="s">
        <v>40</v>
      </c>
      <c r="D441" s="190" t="s">
        <v>326</v>
      </c>
      <c r="E441" s="155" t="s">
        <v>327</v>
      </c>
      <c r="F441" s="207">
        <v>38626</v>
      </c>
      <c r="G441" s="205">
        <v>38643</v>
      </c>
      <c r="H441" s="205"/>
      <c r="I441" s="155" t="s">
        <v>328</v>
      </c>
      <c r="J441" s="201"/>
      <c r="K441" s="200"/>
      <c r="L441" s="214">
        <v>165</v>
      </c>
      <c r="M441" s="192">
        <v>140.25</v>
      </c>
      <c r="N441" s="31"/>
      <c r="O441" s="111">
        <f t="shared" si="99"/>
        <v>140.25</v>
      </c>
      <c r="P441" s="31">
        <f t="shared" si="100"/>
        <v>91.16250000000001</v>
      </c>
      <c r="Q441" s="31"/>
      <c r="R441" s="111">
        <f t="shared" si="101"/>
        <v>91.16250000000001</v>
      </c>
      <c r="S441" s="186"/>
      <c r="T441" s="187"/>
    </row>
    <row r="442" spans="1:20" s="91" customFormat="1" ht="23.25" customHeight="1">
      <c r="A442" s="85" t="s">
        <v>146</v>
      </c>
      <c r="B442" s="173"/>
      <c r="C442" s="87" t="s">
        <v>40</v>
      </c>
      <c r="D442" s="190" t="s">
        <v>326</v>
      </c>
      <c r="E442" s="155" t="s">
        <v>327</v>
      </c>
      <c r="F442" s="207">
        <v>38687</v>
      </c>
      <c r="G442" s="205">
        <v>38693</v>
      </c>
      <c r="H442" s="205"/>
      <c r="I442" s="155" t="s">
        <v>328</v>
      </c>
      <c r="J442" s="201"/>
      <c r="K442" s="200"/>
      <c r="L442" s="214">
        <v>550</v>
      </c>
      <c r="M442" s="192">
        <v>467.5</v>
      </c>
      <c r="N442" s="31"/>
      <c r="O442" s="111">
        <f t="shared" si="99"/>
        <v>467.5</v>
      </c>
      <c r="P442" s="31">
        <f t="shared" si="100"/>
        <v>303.875</v>
      </c>
      <c r="Q442" s="31"/>
      <c r="R442" s="111">
        <f t="shared" si="101"/>
        <v>303.875</v>
      </c>
      <c r="S442" s="186"/>
      <c r="T442" s="187"/>
    </row>
    <row r="443" spans="1:20" s="91" customFormat="1" ht="23.25" customHeight="1">
      <c r="A443" s="85" t="s">
        <v>146</v>
      </c>
      <c r="B443" s="173"/>
      <c r="C443" s="87" t="s">
        <v>40</v>
      </c>
      <c r="D443" s="190" t="s">
        <v>329</v>
      </c>
      <c r="E443" s="156" t="s">
        <v>330</v>
      </c>
      <c r="F443" s="204">
        <v>1598</v>
      </c>
      <c r="G443" s="205">
        <v>38625</v>
      </c>
      <c r="H443" s="205">
        <v>38630</v>
      </c>
      <c r="I443" s="155" t="s">
        <v>331</v>
      </c>
      <c r="J443" s="202">
        <v>500</v>
      </c>
      <c r="K443" s="200">
        <v>100</v>
      </c>
      <c r="L443" s="212">
        <f>+K443+J443</f>
        <v>600</v>
      </c>
      <c r="M443" s="31">
        <f>+J443*0.85</f>
        <v>425</v>
      </c>
      <c r="N443" s="31"/>
      <c r="O443" s="111">
        <f t="shared" si="99"/>
        <v>425</v>
      </c>
      <c r="P443" s="31">
        <f t="shared" si="100"/>
        <v>276.25</v>
      </c>
      <c r="Q443" s="31"/>
      <c r="R443" s="111">
        <f t="shared" si="101"/>
        <v>276.25</v>
      </c>
      <c r="S443" s="186"/>
      <c r="T443" s="187"/>
    </row>
    <row r="444" spans="1:20" s="91" customFormat="1" ht="23.25" customHeight="1">
      <c r="A444" s="85" t="s">
        <v>146</v>
      </c>
      <c r="B444" s="173"/>
      <c r="C444" s="87" t="s">
        <v>40</v>
      </c>
      <c r="D444" s="190" t="s">
        <v>329</v>
      </c>
      <c r="E444" s="156" t="s">
        <v>330</v>
      </c>
      <c r="F444" s="208">
        <v>1670</v>
      </c>
      <c r="G444" s="205">
        <v>38656</v>
      </c>
      <c r="H444" s="205">
        <v>38658</v>
      </c>
      <c r="I444" s="155" t="s">
        <v>332</v>
      </c>
      <c r="J444" s="202">
        <v>500</v>
      </c>
      <c r="K444" s="200">
        <v>100</v>
      </c>
      <c r="L444" s="212">
        <f>+K444+J444</f>
        <v>600</v>
      </c>
      <c r="M444" s="31">
        <f>+J444*0.85</f>
        <v>425</v>
      </c>
      <c r="N444" s="31"/>
      <c r="O444" s="111">
        <f t="shared" si="99"/>
        <v>425</v>
      </c>
      <c r="P444" s="31">
        <f t="shared" si="100"/>
        <v>276.25</v>
      </c>
      <c r="Q444" s="31"/>
      <c r="R444" s="111">
        <f t="shared" si="101"/>
        <v>276.25</v>
      </c>
      <c r="S444" s="186"/>
      <c r="T444" s="187"/>
    </row>
    <row r="445" spans="1:20" s="91" customFormat="1" ht="23.25" customHeight="1">
      <c r="A445" s="85" t="s">
        <v>146</v>
      </c>
      <c r="B445" s="173"/>
      <c r="C445" s="87" t="s">
        <v>40</v>
      </c>
      <c r="D445" s="190" t="s">
        <v>329</v>
      </c>
      <c r="E445" s="156" t="s">
        <v>330</v>
      </c>
      <c r="F445" s="209">
        <v>1914</v>
      </c>
      <c r="G445" s="210">
        <v>38686</v>
      </c>
      <c r="H445" s="205">
        <v>38686</v>
      </c>
      <c r="I445" s="155" t="s">
        <v>333</v>
      </c>
      <c r="J445" s="202">
        <v>500</v>
      </c>
      <c r="K445" s="200">
        <v>100</v>
      </c>
      <c r="L445" s="212">
        <f>+K445+J445</f>
        <v>600</v>
      </c>
      <c r="M445" s="31">
        <f>+J445*0.85</f>
        <v>425</v>
      </c>
      <c r="N445" s="31"/>
      <c r="O445" s="111">
        <f t="shared" si="99"/>
        <v>425</v>
      </c>
      <c r="P445" s="31">
        <f t="shared" si="100"/>
        <v>276.25</v>
      </c>
      <c r="Q445" s="31"/>
      <c r="R445" s="111">
        <f t="shared" si="101"/>
        <v>276.25</v>
      </c>
      <c r="S445" s="186"/>
      <c r="T445" s="187"/>
    </row>
    <row r="446" spans="1:20" s="91" customFormat="1" ht="23.25" customHeight="1">
      <c r="A446" s="85" t="s">
        <v>146</v>
      </c>
      <c r="B446" s="173"/>
      <c r="C446" s="87" t="s">
        <v>40</v>
      </c>
      <c r="D446" s="190" t="s">
        <v>329</v>
      </c>
      <c r="E446" s="156" t="s">
        <v>330</v>
      </c>
      <c r="F446" s="209">
        <v>2170</v>
      </c>
      <c r="G446" s="210">
        <v>38717</v>
      </c>
      <c r="H446" s="205">
        <v>38713</v>
      </c>
      <c r="I446" s="155" t="s">
        <v>334</v>
      </c>
      <c r="J446" s="202">
        <v>500</v>
      </c>
      <c r="K446" s="200">
        <v>100</v>
      </c>
      <c r="L446" s="212">
        <f>+K446+J446</f>
        <v>600</v>
      </c>
      <c r="M446" s="31">
        <f>+J446*0.85</f>
        <v>425</v>
      </c>
      <c r="N446" s="31"/>
      <c r="O446" s="111">
        <f t="shared" si="99"/>
        <v>425</v>
      </c>
      <c r="P446" s="31">
        <f t="shared" si="100"/>
        <v>276.25</v>
      </c>
      <c r="Q446" s="31"/>
      <c r="R446" s="111">
        <f t="shared" si="101"/>
        <v>276.25</v>
      </c>
      <c r="S446" s="186"/>
      <c r="T446" s="187"/>
    </row>
    <row r="447" spans="1:20" s="91" customFormat="1" ht="23.25" customHeight="1">
      <c r="A447" s="85" t="s">
        <v>146</v>
      </c>
      <c r="B447" s="173"/>
      <c r="C447" s="87" t="s">
        <v>40</v>
      </c>
      <c r="D447" s="190" t="s">
        <v>335</v>
      </c>
      <c r="E447" s="156" t="s">
        <v>248</v>
      </c>
      <c r="F447" s="209" t="s">
        <v>336</v>
      </c>
      <c r="G447" s="210">
        <v>38638</v>
      </c>
      <c r="H447" s="205">
        <v>38643</v>
      </c>
      <c r="I447" s="155" t="s">
        <v>337</v>
      </c>
      <c r="J447" s="202">
        <v>250</v>
      </c>
      <c r="K447" s="200">
        <v>50</v>
      </c>
      <c r="L447" s="212">
        <f>J447+K447</f>
        <v>300</v>
      </c>
      <c r="M447" s="31">
        <v>250</v>
      </c>
      <c r="N447" s="31"/>
      <c r="O447" s="111">
        <f t="shared" si="99"/>
        <v>250</v>
      </c>
      <c r="P447" s="31">
        <f t="shared" si="100"/>
        <v>162.5</v>
      </c>
      <c r="Q447" s="31"/>
      <c r="R447" s="111">
        <f t="shared" si="101"/>
        <v>162.5</v>
      </c>
      <c r="S447" s="186"/>
      <c r="T447" s="187"/>
    </row>
    <row r="448" spans="1:20" s="91" customFormat="1" ht="23.25" customHeight="1">
      <c r="A448" s="85" t="s">
        <v>146</v>
      </c>
      <c r="B448" s="173"/>
      <c r="C448" s="87" t="s">
        <v>40</v>
      </c>
      <c r="D448" s="190" t="s">
        <v>338</v>
      </c>
      <c r="E448" s="156" t="s">
        <v>78</v>
      </c>
      <c r="F448" s="209" t="s">
        <v>339</v>
      </c>
      <c r="G448" s="210">
        <v>38664</v>
      </c>
      <c r="H448" s="205">
        <v>38665</v>
      </c>
      <c r="I448" s="155" t="s">
        <v>340</v>
      </c>
      <c r="J448" s="203">
        <v>118.89</v>
      </c>
      <c r="K448" s="200"/>
      <c r="L448" s="212">
        <v>118.89</v>
      </c>
      <c r="M448" s="31">
        <v>118.89</v>
      </c>
      <c r="N448" s="31"/>
      <c r="O448" s="111">
        <f t="shared" si="99"/>
        <v>118.89</v>
      </c>
      <c r="P448" s="31">
        <f t="shared" si="100"/>
        <v>77.27850000000001</v>
      </c>
      <c r="Q448" s="31"/>
      <c r="R448" s="111">
        <f t="shared" si="101"/>
        <v>77.27850000000001</v>
      </c>
      <c r="S448" s="186"/>
      <c r="T448" s="187"/>
    </row>
    <row r="449" spans="1:20" s="91" customFormat="1" ht="23.25" customHeight="1">
      <c r="A449" s="85" t="s">
        <v>146</v>
      </c>
      <c r="B449" s="173"/>
      <c r="C449" s="87" t="s">
        <v>40</v>
      </c>
      <c r="D449" s="190" t="s">
        <v>341</v>
      </c>
      <c r="E449" s="155" t="s">
        <v>342</v>
      </c>
      <c r="F449" s="209"/>
      <c r="G449" s="210"/>
      <c r="H449" s="210"/>
      <c r="I449" s="155"/>
      <c r="J449" s="203">
        <f>3.65+3.25+6.8+4.5+3.25+3.25+6.8+3.25+3.25+3.25+3.25+3.25+3.25+3.25+3.25*4+3.25*4+3.65*4</f>
        <v>94.85</v>
      </c>
      <c r="K449" s="200"/>
      <c r="L449" s="212">
        <f>J449</f>
        <v>94.85</v>
      </c>
      <c r="M449" s="31">
        <v>94.85</v>
      </c>
      <c r="N449" s="31"/>
      <c r="O449" s="111">
        <f t="shared" si="99"/>
        <v>94.85</v>
      </c>
      <c r="P449" s="31">
        <f t="shared" si="100"/>
        <v>61.652499999999996</v>
      </c>
      <c r="Q449" s="31"/>
      <c r="R449" s="111">
        <f t="shared" si="101"/>
        <v>61.652499999999996</v>
      </c>
      <c r="S449" s="186"/>
      <c r="T449" s="187"/>
    </row>
    <row r="450" spans="1:20" s="91" customFormat="1" ht="23.25" customHeight="1">
      <c r="A450" s="85" t="s">
        <v>146</v>
      </c>
      <c r="B450" s="173"/>
      <c r="C450" s="87" t="s">
        <v>40</v>
      </c>
      <c r="D450" s="16" t="s">
        <v>343</v>
      </c>
      <c r="E450" s="206" t="s">
        <v>344</v>
      </c>
      <c r="F450" s="209"/>
      <c r="G450" s="210"/>
      <c r="H450" s="211" t="s">
        <v>345</v>
      </c>
      <c r="I450" s="155" t="s">
        <v>346</v>
      </c>
      <c r="J450" s="203"/>
      <c r="K450" s="200"/>
      <c r="L450" s="212">
        <f>43+45+150+21+19+19+20+28.5</f>
        <v>345.5</v>
      </c>
      <c r="M450" s="192">
        <f>43+45+150+21+19+19+20+28.5</f>
        <v>345.5</v>
      </c>
      <c r="N450" s="31"/>
      <c r="O450" s="111">
        <f t="shared" si="99"/>
        <v>345.5</v>
      </c>
      <c r="P450" s="31">
        <f t="shared" si="100"/>
        <v>224.57500000000002</v>
      </c>
      <c r="Q450" s="31"/>
      <c r="R450" s="111">
        <f t="shared" si="101"/>
        <v>224.57500000000002</v>
      </c>
      <c r="S450" s="186"/>
      <c r="T450" s="187"/>
    </row>
    <row r="451" spans="1:20" s="91" customFormat="1" ht="23.25" customHeight="1">
      <c r="A451" s="85" t="s">
        <v>146</v>
      </c>
      <c r="B451" s="173"/>
      <c r="C451" s="87" t="s">
        <v>40</v>
      </c>
      <c r="D451" s="16" t="s">
        <v>343</v>
      </c>
      <c r="E451" s="206" t="s">
        <v>347</v>
      </c>
      <c r="F451" s="209"/>
      <c r="G451" s="210"/>
      <c r="H451" s="205" t="s">
        <v>348</v>
      </c>
      <c r="I451" s="155" t="s">
        <v>346</v>
      </c>
      <c r="J451" s="203"/>
      <c r="K451" s="200"/>
      <c r="L451" s="212">
        <f>23.6+35+38.5+14+17+70.4+74+50.2+55+70+27.9+2+4+5+3*0.5+0.6+6*1+2.6+5.4+18.75+27.5+4.2+3.4+6+5.9+9.7+6.5+10+6+6+10+5*1</f>
        <v>621.6500000000001</v>
      </c>
      <c r="M451" s="192">
        <f>23.6+35+38.5+14+17+70.4+74+50.2+55+70+27.9+2+4+5+3*0.5+0.6+6*1+2.6+5.4+18.75+27.5+4.2+3.4+6+5.9+9.7+6.5+10+6+6+10+5*1</f>
        <v>621.6500000000001</v>
      </c>
      <c r="N451" s="31"/>
      <c r="O451" s="111">
        <f t="shared" si="99"/>
        <v>621.6500000000001</v>
      </c>
      <c r="P451" s="31">
        <f t="shared" si="100"/>
        <v>404.07250000000005</v>
      </c>
      <c r="Q451" s="31"/>
      <c r="R451" s="111">
        <f t="shared" si="101"/>
        <v>404.07250000000005</v>
      </c>
      <c r="S451" s="186"/>
      <c r="T451" s="187"/>
    </row>
    <row r="452" spans="1:20" s="91" customFormat="1" ht="23.25" customHeight="1">
      <c r="A452" s="85" t="s">
        <v>146</v>
      </c>
      <c r="B452" s="173"/>
      <c r="C452" s="87" t="s">
        <v>40</v>
      </c>
      <c r="D452" s="16" t="s">
        <v>343</v>
      </c>
      <c r="E452" s="206" t="s">
        <v>347</v>
      </c>
      <c r="F452" s="209"/>
      <c r="G452" s="210"/>
      <c r="H452" s="205" t="s">
        <v>349</v>
      </c>
      <c r="I452" s="155" t="s">
        <v>346</v>
      </c>
      <c r="J452" s="203"/>
      <c r="K452" s="200"/>
      <c r="L452" s="212">
        <f>1.7+50+14.4+5.3+26.5+25+45+49+38+35+28+19+16+62+80+90+22+14.2+22+49+415.5+332.8+40+342+175+7+1.5+4.1+1+5.1+6+5*1+9*0.5</f>
        <v>2031.5999999999997</v>
      </c>
      <c r="M452" s="192">
        <f>1.7+50+14.4+5.3+26.5+25+45+49+38+35+28+19+16+62+80+90+22+14.2+22+49+415.5+332.8+40+342+175+7+1.5+4.1+1+5.1+6+5*1+9*0.5</f>
        <v>2031.5999999999997</v>
      </c>
      <c r="N452" s="31"/>
      <c r="O452" s="111">
        <f t="shared" si="99"/>
        <v>2031.5999999999997</v>
      </c>
      <c r="P452" s="31">
        <f t="shared" si="100"/>
        <v>1320.5399999999997</v>
      </c>
      <c r="Q452" s="31"/>
      <c r="R452" s="111">
        <f t="shared" si="101"/>
        <v>1320.5399999999997</v>
      </c>
      <c r="S452" s="186"/>
      <c r="T452" s="187"/>
    </row>
    <row r="453" spans="1:20" s="91" customFormat="1" ht="23.25" customHeight="1">
      <c r="A453" s="85" t="s">
        <v>361</v>
      </c>
      <c r="B453" s="173"/>
      <c r="C453" s="87" t="s">
        <v>40</v>
      </c>
      <c r="D453" s="233" t="s">
        <v>48</v>
      </c>
      <c r="E453" s="12" t="s">
        <v>375</v>
      </c>
      <c r="F453" s="144" t="s">
        <v>376</v>
      </c>
      <c r="G453" s="234">
        <v>38772</v>
      </c>
      <c r="H453" s="10">
        <v>38772</v>
      </c>
      <c r="I453" s="62" t="s">
        <v>377</v>
      </c>
      <c r="J453" s="12">
        <v>425.3</v>
      </c>
      <c r="K453" s="12">
        <f>+J453*0.2</f>
        <v>85.06</v>
      </c>
      <c r="L453" s="111">
        <f>J453+K453</f>
        <v>510.36</v>
      </c>
      <c r="M453" s="192">
        <v>425.3</v>
      </c>
      <c r="N453" s="31"/>
      <c r="O453" s="111">
        <f>+N453+M453</f>
        <v>425.3</v>
      </c>
      <c r="P453" s="31">
        <f>+M453*0.65</f>
        <v>276.445</v>
      </c>
      <c r="Q453" s="31"/>
      <c r="R453" s="111">
        <f>+Q453+P453</f>
        <v>276.445</v>
      </c>
      <c r="S453" s="357" t="s">
        <v>311</v>
      </c>
      <c r="T453" s="358"/>
    </row>
    <row r="454" spans="1:20" s="91" customFormat="1" ht="23.25" customHeight="1">
      <c r="A454" s="85" t="s">
        <v>361</v>
      </c>
      <c r="B454" s="173"/>
      <c r="C454" s="87" t="s">
        <v>40</v>
      </c>
      <c r="D454" s="233" t="s">
        <v>48</v>
      </c>
      <c r="E454" s="145" t="s">
        <v>378</v>
      </c>
      <c r="F454" s="235" t="s">
        <v>379</v>
      </c>
      <c r="G454" s="234">
        <v>38747</v>
      </c>
      <c r="H454" s="236">
        <v>38747</v>
      </c>
      <c r="I454" s="148" t="s">
        <v>380</v>
      </c>
      <c r="J454" s="237">
        <v>450</v>
      </c>
      <c r="K454" s="12">
        <f aca="true" t="shared" si="102" ref="K454:K476">+J454*0.2</f>
        <v>90</v>
      </c>
      <c r="L454" s="111">
        <f>J454+K454</f>
        <v>540</v>
      </c>
      <c r="M454" s="192">
        <v>450</v>
      </c>
      <c r="N454" s="31"/>
      <c r="O454" s="111">
        <f>+N454+M454</f>
        <v>450</v>
      </c>
      <c r="P454" s="31">
        <f>+M454*0.65</f>
        <v>292.5</v>
      </c>
      <c r="Q454" s="31"/>
      <c r="R454" s="111">
        <f>+Q454+P454</f>
        <v>292.5</v>
      </c>
      <c r="S454" s="357"/>
      <c r="T454" s="358"/>
    </row>
    <row r="455" spans="1:20" s="91" customFormat="1" ht="23.25" customHeight="1">
      <c r="A455" s="85" t="s">
        <v>361</v>
      </c>
      <c r="B455" s="173"/>
      <c r="C455" s="87" t="s">
        <v>40</v>
      </c>
      <c r="D455" s="233" t="s">
        <v>381</v>
      </c>
      <c r="E455" s="145" t="s">
        <v>382</v>
      </c>
      <c r="F455" s="238" t="s">
        <v>383</v>
      </c>
      <c r="G455" s="234">
        <v>38778</v>
      </c>
      <c r="H455" s="236">
        <v>38798</v>
      </c>
      <c r="I455" s="148" t="s">
        <v>384</v>
      </c>
      <c r="J455" s="237">
        <f>+L455-K455</f>
        <v>83</v>
      </c>
      <c r="K455" s="12">
        <v>16.6</v>
      </c>
      <c r="L455" s="111">
        <v>99.6</v>
      </c>
      <c r="M455" s="192">
        <f>+J455*85%</f>
        <v>70.55</v>
      </c>
      <c r="N455" s="192"/>
      <c r="O455" s="111">
        <f>+N455+M455</f>
        <v>70.55</v>
      </c>
      <c r="P455" s="31">
        <f>+M455*0.65</f>
        <v>45.8575</v>
      </c>
      <c r="Q455" s="31"/>
      <c r="R455" s="111">
        <f>+Q455+P455</f>
        <v>45.8575</v>
      </c>
      <c r="S455" s="357"/>
      <c r="T455" s="358"/>
    </row>
    <row r="456" spans="1:20" s="91" customFormat="1" ht="23.25" customHeight="1">
      <c r="A456" s="85" t="s">
        <v>361</v>
      </c>
      <c r="B456" s="173"/>
      <c r="C456" s="87" t="s">
        <v>40</v>
      </c>
      <c r="D456" s="233" t="s">
        <v>385</v>
      </c>
      <c r="E456" s="145" t="s">
        <v>386</v>
      </c>
      <c r="F456" s="235" t="s">
        <v>387</v>
      </c>
      <c r="G456" s="234">
        <v>38766</v>
      </c>
      <c r="H456" s="236">
        <v>38786</v>
      </c>
      <c r="I456" s="148" t="s">
        <v>384</v>
      </c>
      <c r="J456" s="237"/>
      <c r="K456" s="12">
        <f t="shared" si="102"/>
        <v>0</v>
      </c>
      <c r="L456" s="111">
        <f>3219*85/100</f>
        <v>2736.15</v>
      </c>
      <c r="M456" s="192">
        <f>+L456/1.2</f>
        <v>2280.125</v>
      </c>
      <c r="N456" s="31"/>
      <c r="O456" s="111">
        <f>+N456+M456</f>
        <v>2280.125</v>
      </c>
      <c r="P456" s="31">
        <f>+M456*0.65</f>
        <v>1482.08125</v>
      </c>
      <c r="Q456" s="31"/>
      <c r="R456" s="111">
        <f>+Q456+P456</f>
        <v>1482.08125</v>
      </c>
      <c r="S456" s="186"/>
      <c r="T456" s="187"/>
    </row>
    <row r="457" spans="1:20" s="91" customFormat="1" ht="23.25" customHeight="1">
      <c r="A457" s="85" t="s">
        <v>361</v>
      </c>
      <c r="B457" s="173"/>
      <c r="C457" s="87" t="s">
        <v>40</v>
      </c>
      <c r="D457" s="143" t="s">
        <v>385</v>
      </c>
      <c r="E457" s="145" t="s">
        <v>386</v>
      </c>
      <c r="F457" s="238" t="s">
        <v>388</v>
      </c>
      <c r="G457" s="234">
        <v>38706</v>
      </c>
      <c r="H457" s="236">
        <v>38726</v>
      </c>
      <c r="I457" s="148" t="s">
        <v>384</v>
      </c>
      <c r="J457" s="237"/>
      <c r="K457" s="12">
        <f t="shared" si="102"/>
        <v>0</v>
      </c>
      <c r="L457" s="111">
        <f>3467*85/100</f>
        <v>2946.95</v>
      </c>
      <c r="M457" s="192">
        <f>+L457/1.2</f>
        <v>2455.7916666666665</v>
      </c>
      <c r="N457" s="31"/>
      <c r="O457" s="111">
        <f>+N457+M457</f>
        <v>2455.7916666666665</v>
      </c>
      <c r="P457" s="31">
        <f>+M457*0.65</f>
        <v>1596.2645833333333</v>
      </c>
      <c r="Q457" s="31"/>
      <c r="R457" s="111">
        <f>+Q457+P457</f>
        <v>1596.2645833333333</v>
      </c>
      <c r="S457" s="186"/>
      <c r="T457" s="187"/>
    </row>
    <row r="458" spans="1:20" s="91" customFormat="1" ht="23.25" customHeight="1">
      <c r="A458" s="85" t="s">
        <v>361</v>
      </c>
      <c r="B458" s="173"/>
      <c r="C458" s="87" t="s">
        <v>40</v>
      </c>
      <c r="D458" s="143" t="s">
        <v>389</v>
      </c>
      <c r="E458" s="145" t="s">
        <v>390</v>
      </c>
      <c r="F458" s="238" t="s">
        <v>391</v>
      </c>
      <c r="G458" s="234">
        <v>38692</v>
      </c>
      <c r="H458" s="236">
        <v>38730</v>
      </c>
      <c r="I458" s="148" t="s">
        <v>384</v>
      </c>
      <c r="J458" s="237"/>
      <c r="K458" s="12">
        <f t="shared" si="102"/>
        <v>0</v>
      </c>
      <c r="L458" s="111">
        <f>119*85/100</f>
        <v>101.15</v>
      </c>
      <c r="M458" s="192">
        <f aca="true" t="shared" si="103" ref="M458:M467">+L458/1.2</f>
        <v>84.29166666666667</v>
      </c>
      <c r="N458" s="31"/>
      <c r="O458" s="111">
        <f aca="true" t="shared" si="104" ref="O458:O463">+N458+M458</f>
        <v>84.29166666666667</v>
      </c>
      <c r="P458" s="31">
        <f aca="true" t="shared" si="105" ref="P458:P463">+M458*0.65</f>
        <v>54.78958333333334</v>
      </c>
      <c r="Q458" s="31"/>
      <c r="R458" s="111">
        <f aca="true" t="shared" si="106" ref="R458:R463">+Q458+P458</f>
        <v>54.78958333333334</v>
      </c>
      <c r="S458" s="186"/>
      <c r="T458" s="187"/>
    </row>
    <row r="459" spans="1:20" s="91" customFormat="1" ht="23.25" customHeight="1">
      <c r="A459" s="85" t="s">
        <v>361</v>
      </c>
      <c r="B459" s="173"/>
      <c r="C459" s="87" t="s">
        <v>40</v>
      </c>
      <c r="D459" s="143" t="s">
        <v>389</v>
      </c>
      <c r="E459" s="145" t="s">
        <v>390</v>
      </c>
      <c r="F459" s="238" t="s">
        <v>392</v>
      </c>
      <c r="G459" s="234">
        <v>38692</v>
      </c>
      <c r="H459" s="236">
        <v>38730</v>
      </c>
      <c r="I459" s="148" t="s">
        <v>384</v>
      </c>
      <c r="J459" s="237"/>
      <c r="K459" s="12">
        <f t="shared" si="102"/>
        <v>0</v>
      </c>
      <c r="L459" s="111">
        <f>606*85/100</f>
        <v>515.1</v>
      </c>
      <c r="M459" s="192">
        <f t="shared" si="103"/>
        <v>429.25000000000006</v>
      </c>
      <c r="N459" s="31"/>
      <c r="O459" s="111">
        <f t="shared" si="104"/>
        <v>429.25000000000006</v>
      </c>
      <c r="P459" s="31">
        <f t="shared" si="105"/>
        <v>279.01250000000005</v>
      </c>
      <c r="Q459" s="31"/>
      <c r="R459" s="111">
        <f t="shared" si="106"/>
        <v>279.01250000000005</v>
      </c>
      <c r="S459" s="186"/>
      <c r="T459" s="187"/>
    </row>
    <row r="460" spans="1:20" s="91" customFormat="1" ht="23.25" customHeight="1">
      <c r="A460" s="85" t="s">
        <v>361</v>
      </c>
      <c r="B460" s="173"/>
      <c r="C460" s="87" t="s">
        <v>40</v>
      </c>
      <c r="D460" s="143" t="s">
        <v>393</v>
      </c>
      <c r="E460" s="145" t="s">
        <v>390</v>
      </c>
      <c r="F460" s="238" t="s">
        <v>394</v>
      </c>
      <c r="G460" s="234">
        <v>38754</v>
      </c>
      <c r="H460" s="236">
        <v>38789</v>
      </c>
      <c r="I460" s="148" t="s">
        <v>384</v>
      </c>
      <c r="J460" s="237"/>
      <c r="K460" s="12">
        <v>0</v>
      </c>
      <c r="L460" s="111">
        <f>116*85/100</f>
        <v>98.6</v>
      </c>
      <c r="M460" s="192">
        <f t="shared" si="103"/>
        <v>82.16666666666667</v>
      </c>
      <c r="N460" s="31"/>
      <c r="O460" s="111">
        <f t="shared" si="104"/>
        <v>82.16666666666667</v>
      </c>
      <c r="P460" s="31">
        <f t="shared" si="105"/>
        <v>53.40833333333334</v>
      </c>
      <c r="Q460" s="31"/>
      <c r="R460" s="111">
        <f t="shared" si="106"/>
        <v>53.40833333333334</v>
      </c>
      <c r="S460" s="186"/>
      <c r="T460" s="187"/>
    </row>
    <row r="461" spans="1:20" s="91" customFormat="1" ht="23.25" customHeight="1">
      <c r="A461" s="85" t="s">
        <v>361</v>
      </c>
      <c r="B461" s="173"/>
      <c r="C461" s="87" t="s">
        <v>40</v>
      </c>
      <c r="D461" s="143" t="s">
        <v>393</v>
      </c>
      <c r="E461" s="145" t="s">
        <v>390</v>
      </c>
      <c r="F461" s="238" t="s">
        <v>395</v>
      </c>
      <c r="G461" s="234">
        <v>38754</v>
      </c>
      <c r="H461" s="236">
        <v>38789</v>
      </c>
      <c r="I461" s="148" t="s">
        <v>384</v>
      </c>
      <c r="J461" s="237"/>
      <c r="K461" s="12">
        <f t="shared" si="102"/>
        <v>0</v>
      </c>
      <c r="L461" s="111">
        <f>436.5*85/100</f>
        <v>371.025</v>
      </c>
      <c r="M461" s="192">
        <f t="shared" si="103"/>
        <v>309.1875</v>
      </c>
      <c r="N461" s="31"/>
      <c r="O461" s="111">
        <f t="shared" si="104"/>
        <v>309.1875</v>
      </c>
      <c r="P461" s="31">
        <f t="shared" si="105"/>
        <v>200.971875</v>
      </c>
      <c r="Q461" s="31"/>
      <c r="R461" s="111">
        <f t="shared" si="106"/>
        <v>200.971875</v>
      </c>
      <c r="S461" s="186"/>
      <c r="T461" s="187"/>
    </row>
    <row r="462" spans="1:20" s="91" customFormat="1" ht="23.25" customHeight="1">
      <c r="A462" s="85" t="s">
        <v>361</v>
      </c>
      <c r="B462" s="173"/>
      <c r="C462" s="87" t="s">
        <v>40</v>
      </c>
      <c r="D462" s="143" t="s">
        <v>393</v>
      </c>
      <c r="E462" s="145" t="s">
        <v>390</v>
      </c>
      <c r="F462" s="238" t="s">
        <v>396</v>
      </c>
      <c r="G462" s="234">
        <v>38754</v>
      </c>
      <c r="H462" s="236">
        <v>38789</v>
      </c>
      <c r="I462" s="148" t="s">
        <v>384</v>
      </c>
      <c r="J462" s="237"/>
      <c r="K462" s="12">
        <f t="shared" si="102"/>
        <v>0</v>
      </c>
      <c r="L462" s="111">
        <f>519.5*85/100</f>
        <v>441.575</v>
      </c>
      <c r="M462" s="192">
        <f t="shared" si="103"/>
        <v>367.9791666666667</v>
      </c>
      <c r="N462" s="31"/>
      <c r="O462" s="111">
        <f t="shared" si="104"/>
        <v>367.9791666666667</v>
      </c>
      <c r="P462" s="31">
        <f t="shared" si="105"/>
        <v>239.18645833333335</v>
      </c>
      <c r="Q462" s="31"/>
      <c r="R462" s="111">
        <f t="shared" si="106"/>
        <v>239.18645833333335</v>
      </c>
      <c r="S462" s="186"/>
      <c r="T462" s="187"/>
    </row>
    <row r="463" spans="1:20" s="91" customFormat="1" ht="23.25" customHeight="1">
      <c r="A463" s="85" t="s">
        <v>361</v>
      </c>
      <c r="B463" s="173"/>
      <c r="C463" s="87" t="s">
        <v>40</v>
      </c>
      <c r="D463" s="239" t="s">
        <v>393</v>
      </c>
      <c r="E463" s="240" t="s">
        <v>390</v>
      </c>
      <c r="F463" s="241" t="s">
        <v>397</v>
      </c>
      <c r="G463" s="242">
        <v>38692</v>
      </c>
      <c r="H463" s="243">
        <v>38730</v>
      </c>
      <c r="I463" s="249" t="s">
        <v>398</v>
      </c>
      <c r="J463" s="244"/>
      <c r="K463" s="31">
        <f t="shared" si="102"/>
        <v>0</v>
      </c>
      <c r="L463" s="111">
        <f>278.5*85/100</f>
        <v>236.725</v>
      </c>
      <c r="M463" s="192">
        <f t="shared" si="103"/>
        <v>197.27083333333334</v>
      </c>
      <c r="N463" s="31"/>
      <c r="O463" s="111">
        <f t="shared" si="104"/>
        <v>197.27083333333334</v>
      </c>
      <c r="P463" s="31">
        <f t="shared" si="105"/>
        <v>128.22604166666667</v>
      </c>
      <c r="Q463" s="31"/>
      <c r="R463" s="111">
        <f t="shared" si="106"/>
        <v>128.22604166666667</v>
      </c>
      <c r="S463" s="186"/>
      <c r="T463" s="187"/>
    </row>
    <row r="464" spans="1:20" s="91" customFormat="1" ht="23.25" customHeight="1">
      <c r="A464" s="85" t="s">
        <v>361</v>
      </c>
      <c r="B464" s="173"/>
      <c r="C464" s="87" t="s">
        <v>40</v>
      </c>
      <c r="D464" s="233" t="s">
        <v>399</v>
      </c>
      <c r="E464" s="145" t="s">
        <v>400</v>
      </c>
      <c r="F464" s="238" t="s">
        <v>401</v>
      </c>
      <c r="G464" s="234">
        <v>38772</v>
      </c>
      <c r="H464" s="236">
        <v>38772</v>
      </c>
      <c r="I464" s="240" t="s">
        <v>402</v>
      </c>
      <c r="J464" s="237">
        <v>500</v>
      </c>
      <c r="K464" s="12">
        <f t="shared" si="102"/>
        <v>100</v>
      </c>
      <c r="L464" s="111">
        <f>600*85/100</f>
        <v>510</v>
      </c>
      <c r="M464" s="192">
        <f t="shared" si="103"/>
        <v>425</v>
      </c>
      <c r="N464" s="31"/>
      <c r="O464" s="111">
        <f aca="true" t="shared" si="107" ref="O464:O471">+N464+M464</f>
        <v>425</v>
      </c>
      <c r="P464" s="31">
        <f aca="true" t="shared" si="108" ref="P464:P471">+M464*0.65</f>
        <v>276.25</v>
      </c>
      <c r="Q464" s="31"/>
      <c r="R464" s="111">
        <f aca="true" t="shared" si="109" ref="R464:R471">+Q464+P464</f>
        <v>276.25</v>
      </c>
      <c r="S464" s="186"/>
      <c r="T464" s="187"/>
    </row>
    <row r="465" spans="1:20" s="91" customFormat="1" ht="23.25" customHeight="1">
      <c r="A465" s="85" t="s">
        <v>361</v>
      </c>
      <c r="B465" s="173"/>
      <c r="C465" s="87" t="s">
        <v>40</v>
      </c>
      <c r="D465" s="233" t="s">
        <v>399</v>
      </c>
      <c r="E465" s="145" t="s">
        <v>400</v>
      </c>
      <c r="F465" s="235">
        <v>588</v>
      </c>
      <c r="G465" s="234">
        <v>38800</v>
      </c>
      <c r="H465" s="236">
        <v>38800</v>
      </c>
      <c r="I465" s="145" t="s">
        <v>403</v>
      </c>
      <c r="J465" s="237">
        <v>500</v>
      </c>
      <c r="K465" s="12">
        <f t="shared" si="102"/>
        <v>100</v>
      </c>
      <c r="L465" s="111">
        <f>600*85/100</f>
        <v>510</v>
      </c>
      <c r="M465" s="192">
        <f t="shared" si="103"/>
        <v>425</v>
      </c>
      <c r="N465" s="31"/>
      <c r="O465" s="111">
        <f t="shared" si="107"/>
        <v>425</v>
      </c>
      <c r="P465" s="31">
        <f t="shared" si="108"/>
        <v>276.25</v>
      </c>
      <c r="Q465" s="31"/>
      <c r="R465" s="111">
        <f t="shared" si="109"/>
        <v>276.25</v>
      </c>
      <c r="S465" s="186"/>
      <c r="T465" s="187"/>
    </row>
    <row r="466" spans="1:20" s="91" customFormat="1" ht="23.25" customHeight="1">
      <c r="A466" s="85" t="s">
        <v>361</v>
      </c>
      <c r="B466" s="173"/>
      <c r="C466" s="87" t="s">
        <v>40</v>
      </c>
      <c r="D466" s="233" t="s">
        <v>399</v>
      </c>
      <c r="E466" s="145" t="s">
        <v>400</v>
      </c>
      <c r="F466" s="235">
        <v>900</v>
      </c>
      <c r="G466" s="234">
        <v>38831</v>
      </c>
      <c r="H466" s="236">
        <v>38831</v>
      </c>
      <c r="I466" s="145" t="s">
        <v>404</v>
      </c>
      <c r="J466" s="237">
        <v>500</v>
      </c>
      <c r="K466" s="12">
        <f t="shared" si="102"/>
        <v>100</v>
      </c>
      <c r="L466" s="111">
        <f>600*85/100</f>
        <v>510</v>
      </c>
      <c r="M466" s="192">
        <f t="shared" si="103"/>
        <v>425</v>
      </c>
      <c r="N466" s="31"/>
      <c r="O466" s="111">
        <f t="shared" si="107"/>
        <v>425</v>
      </c>
      <c r="P466" s="31">
        <f t="shared" si="108"/>
        <v>276.25</v>
      </c>
      <c r="Q466" s="31"/>
      <c r="R466" s="111">
        <f t="shared" si="109"/>
        <v>276.25</v>
      </c>
      <c r="S466" s="186"/>
      <c r="T466" s="187"/>
    </row>
    <row r="467" spans="1:20" s="91" customFormat="1" ht="23.25" customHeight="1">
      <c r="A467" s="85" t="s">
        <v>361</v>
      </c>
      <c r="B467" s="173"/>
      <c r="C467" s="87" t="s">
        <v>40</v>
      </c>
      <c r="D467" s="233" t="s">
        <v>399</v>
      </c>
      <c r="E467" s="145" t="s">
        <v>400</v>
      </c>
      <c r="F467" s="235">
        <v>51</v>
      </c>
      <c r="G467" s="234">
        <v>38741</v>
      </c>
      <c r="H467" s="236">
        <v>38741</v>
      </c>
      <c r="I467" s="240" t="s">
        <v>405</v>
      </c>
      <c r="J467" s="237">
        <v>500</v>
      </c>
      <c r="K467" s="12">
        <f t="shared" si="102"/>
        <v>100</v>
      </c>
      <c r="L467" s="111">
        <f>600*85/100</f>
        <v>510</v>
      </c>
      <c r="M467" s="192">
        <f t="shared" si="103"/>
        <v>425</v>
      </c>
      <c r="N467" s="31"/>
      <c r="O467" s="111">
        <f t="shared" si="107"/>
        <v>425</v>
      </c>
      <c r="P467" s="31">
        <f t="shared" si="108"/>
        <v>276.25</v>
      </c>
      <c r="Q467" s="31"/>
      <c r="R467" s="111">
        <f t="shared" si="109"/>
        <v>276.25</v>
      </c>
      <c r="S467" s="186"/>
      <c r="T467" s="187"/>
    </row>
    <row r="468" spans="1:20" s="91" customFormat="1" ht="23.25" customHeight="1">
      <c r="A468" s="85" t="s">
        <v>361</v>
      </c>
      <c r="B468" s="173"/>
      <c r="C468" s="87" t="s">
        <v>40</v>
      </c>
      <c r="D468" s="233" t="s">
        <v>406</v>
      </c>
      <c r="E468" s="145" t="s">
        <v>306</v>
      </c>
      <c r="F468" s="245" t="s">
        <v>407</v>
      </c>
      <c r="G468" s="234"/>
      <c r="H468" s="236">
        <v>38811</v>
      </c>
      <c r="I468" s="145" t="s">
        <v>364</v>
      </c>
      <c r="J468" s="237"/>
      <c r="K468" s="12">
        <f t="shared" si="102"/>
        <v>0</v>
      </c>
      <c r="L468" s="111">
        <f>3500*85/100</f>
        <v>2975</v>
      </c>
      <c r="M468" s="192">
        <f>+L468</f>
        <v>2975</v>
      </c>
      <c r="N468" s="31"/>
      <c r="O468" s="111">
        <f t="shared" si="107"/>
        <v>2975</v>
      </c>
      <c r="P468" s="31">
        <f t="shared" si="108"/>
        <v>1933.75</v>
      </c>
      <c r="Q468" s="31"/>
      <c r="R468" s="111">
        <f t="shared" si="109"/>
        <v>1933.75</v>
      </c>
      <c r="S468" s="186"/>
      <c r="T468" s="187"/>
    </row>
    <row r="469" spans="1:20" s="91" customFormat="1" ht="23.25" customHeight="1">
      <c r="A469" s="85" t="s">
        <v>361</v>
      </c>
      <c r="B469" s="173"/>
      <c r="C469" s="87" t="s">
        <v>40</v>
      </c>
      <c r="D469" s="233" t="s">
        <v>406</v>
      </c>
      <c r="E469" s="145" t="s">
        <v>306</v>
      </c>
      <c r="F469" s="245" t="s">
        <v>408</v>
      </c>
      <c r="G469" s="234"/>
      <c r="H469" s="236">
        <v>38782</v>
      </c>
      <c r="I469" s="240" t="s">
        <v>364</v>
      </c>
      <c r="J469" s="237"/>
      <c r="K469" s="12">
        <f t="shared" si="102"/>
        <v>0</v>
      </c>
      <c r="L469" s="111">
        <f>3500*85/100</f>
        <v>2975</v>
      </c>
      <c r="M469" s="192">
        <f aca="true" t="shared" si="110" ref="M469:M475">+L469</f>
        <v>2975</v>
      </c>
      <c r="N469" s="31"/>
      <c r="O469" s="111">
        <f t="shared" si="107"/>
        <v>2975</v>
      </c>
      <c r="P469" s="31">
        <f t="shared" si="108"/>
        <v>1933.75</v>
      </c>
      <c r="Q469" s="31"/>
      <c r="R469" s="111">
        <f t="shared" si="109"/>
        <v>1933.75</v>
      </c>
      <c r="S469" s="186"/>
      <c r="T469" s="187"/>
    </row>
    <row r="470" spans="1:20" s="91" customFormat="1" ht="23.25" customHeight="1">
      <c r="A470" s="85" t="s">
        <v>361</v>
      </c>
      <c r="B470" s="173"/>
      <c r="C470" s="87" t="s">
        <v>40</v>
      </c>
      <c r="D470" s="233" t="s">
        <v>406</v>
      </c>
      <c r="E470" s="145" t="s">
        <v>306</v>
      </c>
      <c r="F470" s="245" t="s">
        <v>409</v>
      </c>
      <c r="G470" s="234"/>
      <c r="H470" s="236">
        <v>38749</v>
      </c>
      <c r="I470" s="145" t="s">
        <v>364</v>
      </c>
      <c r="J470" s="237"/>
      <c r="K470" s="12">
        <f t="shared" si="102"/>
        <v>0</v>
      </c>
      <c r="L470" s="111">
        <f>3500*85/100</f>
        <v>2975</v>
      </c>
      <c r="M470" s="192">
        <f t="shared" si="110"/>
        <v>2975</v>
      </c>
      <c r="N470" s="31"/>
      <c r="O470" s="111">
        <f t="shared" si="107"/>
        <v>2975</v>
      </c>
      <c r="P470" s="31">
        <f t="shared" si="108"/>
        <v>1933.75</v>
      </c>
      <c r="Q470" s="31"/>
      <c r="R470" s="111">
        <f t="shared" si="109"/>
        <v>1933.75</v>
      </c>
      <c r="S470" s="186"/>
      <c r="T470" s="187"/>
    </row>
    <row r="471" spans="1:20" s="91" customFormat="1" ht="23.25" customHeight="1">
      <c r="A471" s="85" t="s">
        <v>361</v>
      </c>
      <c r="B471" s="173"/>
      <c r="C471" s="87" t="s">
        <v>40</v>
      </c>
      <c r="D471" s="233" t="s">
        <v>406</v>
      </c>
      <c r="E471" s="145" t="s">
        <v>306</v>
      </c>
      <c r="F471" s="245" t="s">
        <v>410</v>
      </c>
      <c r="G471" s="234"/>
      <c r="H471" s="236">
        <v>38720</v>
      </c>
      <c r="I471" s="145" t="s">
        <v>364</v>
      </c>
      <c r="J471" s="237"/>
      <c r="K471" s="12">
        <f t="shared" si="102"/>
        <v>0</v>
      </c>
      <c r="L471" s="111">
        <f>3500*85/100</f>
        <v>2975</v>
      </c>
      <c r="M471" s="192">
        <f t="shared" si="110"/>
        <v>2975</v>
      </c>
      <c r="N471" s="31"/>
      <c r="O471" s="111">
        <f t="shared" si="107"/>
        <v>2975</v>
      </c>
      <c r="P471" s="31">
        <f t="shared" si="108"/>
        <v>1933.75</v>
      </c>
      <c r="Q471" s="31"/>
      <c r="R471" s="111">
        <f t="shared" si="109"/>
        <v>1933.75</v>
      </c>
      <c r="S471" s="186"/>
      <c r="T471" s="187"/>
    </row>
    <row r="472" spans="1:20" s="91" customFormat="1" ht="23.25" customHeight="1">
      <c r="A472" s="85" t="s">
        <v>361</v>
      </c>
      <c r="B472" s="173"/>
      <c r="C472" s="87" t="s">
        <v>40</v>
      </c>
      <c r="D472" s="233" t="s">
        <v>411</v>
      </c>
      <c r="E472" s="145" t="s">
        <v>412</v>
      </c>
      <c r="F472" s="245" t="s">
        <v>413</v>
      </c>
      <c r="G472" s="234"/>
      <c r="H472" s="236">
        <v>38721</v>
      </c>
      <c r="I472" s="145" t="s">
        <v>364</v>
      </c>
      <c r="J472" s="237"/>
      <c r="K472" s="12">
        <f t="shared" si="102"/>
        <v>0</v>
      </c>
      <c r="L472" s="111">
        <f>550*85/100</f>
        <v>467.5</v>
      </c>
      <c r="M472" s="192">
        <f t="shared" si="110"/>
        <v>467.5</v>
      </c>
      <c r="N472" s="31"/>
      <c r="O472" s="111">
        <f aca="true" t="shared" si="111" ref="O472:O477">+N472+M472</f>
        <v>467.5</v>
      </c>
      <c r="P472" s="31">
        <f aca="true" t="shared" si="112" ref="P472:Q478">+M472*0.65</f>
        <v>303.875</v>
      </c>
      <c r="Q472" s="31"/>
      <c r="R472" s="111">
        <f aca="true" t="shared" si="113" ref="R472:R477">+Q472+P472</f>
        <v>303.875</v>
      </c>
      <c r="S472" s="186"/>
      <c r="T472" s="187"/>
    </row>
    <row r="473" spans="1:20" s="91" customFormat="1" ht="23.25" customHeight="1">
      <c r="A473" s="85" t="s">
        <v>361</v>
      </c>
      <c r="B473" s="173"/>
      <c r="C473" s="87" t="s">
        <v>40</v>
      </c>
      <c r="D473" s="233" t="s">
        <v>411</v>
      </c>
      <c r="E473" s="145" t="s">
        <v>412</v>
      </c>
      <c r="F473" s="245" t="s">
        <v>414</v>
      </c>
      <c r="G473" s="234"/>
      <c r="H473" s="236">
        <v>38751</v>
      </c>
      <c r="I473" s="145" t="s">
        <v>364</v>
      </c>
      <c r="J473" s="237"/>
      <c r="K473" s="12">
        <f t="shared" si="102"/>
        <v>0</v>
      </c>
      <c r="L473" s="111">
        <f>550*85/100</f>
        <v>467.5</v>
      </c>
      <c r="M473" s="192">
        <f t="shared" si="110"/>
        <v>467.5</v>
      </c>
      <c r="N473" s="31"/>
      <c r="O473" s="111">
        <f t="shared" si="111"/>
        <v>467.5</v>
      </c>
      <c r="P473" s="31">
        <f t="shared" si="112"/>
        <v>303.875</v>
      </c>
      <c r="Q473" s="31"/>
      <c r="R473" s="111">
        <f t="shared" si="113"/>
        <v>303.875</v>
      </c>
      <c r="S473" s="186"/>
      <c r="T473" s="187"/>
    </row>
    <row r="474" spans="1:20" s="91" customFormat="1" ht="23.25" customHeight="1">
      <c r="A474" s="85" t="s">
        <v>361</v>
      </c>
      <c r="B474" s="173"/>
      <c r="C474" s="87" t="s">
        <v>40</v>
      </c>
      <c r="D474" s="233" t="s">
        <v>411</v>
      </c>
      <c r="E474" s="145" t="s">
        <v>412</v>
      </c>
      <c r="F474" s="235" t="s">
        <v>415</v>
      </c>
      <c r="G474" s="234"/>
      <c r="H474" s="236"/>
      <c r="I474" s="240" t="s">
        <v>364</v>
      </c>
      <c r="J474" s="237"/>
      <c r="K474" s="12">
        <f t="shared" si="102"/>
        <v>0</v>
      </c>
      <c r="L474" s="111">
        <f>550*85/100</f>
        <v>467.5</v>
      </c>
      <c r="M474" s="192">
        <f t="shared" si="110"/>
        <v>467.5</v>
      </c>
      <c r="N474" s="31"/>
      <c r="O474" s="111">
        <f t="shared" si="111"/>
        <v>467.5</v>
      </c>
      <c r="P474" s="31">
        <f t="shared" si="112"/>
        <v>303.875</v>
      </c>
      <c r="Q474" s="31"/>
      <c r="R474" s="111">
        <f t="shared" si="113"/>
        <v>303.875</v>
      </c>
      <c r="S474" s="186"/>
      <c r="T474" s="187"/>
    </row>
    <row r="475" spans="1:20" s="91" customFormat="1" ht="23.25" customHeight="1">
      <c r="A475" s="85" t="s">
        <v>361</v>
      </c>
      <c r="B475" s="173"/>
      <c r="C475" s="87" t="s">
        <v>40</v>
      </c>
      <c r="D475" s="233" t="s">
        <v>416</v>
      </c>
      <c r="E475" s="145" t="s">
        <v>412</v>
      </c>
      <c r="F475" s="235" t="s">
        <v>417</v>
      </c>
      <c r="G475" s="234"/>
      <c r="H475" s="236"/>
      <c r="I475" s="145" t="s">
        <v>364</v>
      </c>
      <c r="J475" s="237"/>
      <c r="K475" s="12">
        <f t="shared" si="102"/>
        <v>0</v>
      </c>
      <c r="L475" s="111">
        <f>550*85/100</f>
        <v>467.5</v>
      </c>
      <c r="M475" s="192">
        <f t="shared" si="110"/>
        <v>467.5</v>
      </c>
      <c r="N475" s="31"/>
      <c r="O475" s="111">
        <f t="shared" si="111"/>
        <v>467.5</v>
      </c>
      <c r="P475" s="31">
        <f t="shared" si="112"/>
        <v>303.875</v>
      </c>
      <c r="Q475" s="31"/>
      <c r="R475" s="111">
        <f t="shared" si="113"/>
        <v>303.875</v>
      </c>
      <c r="S475" s="186"/>
      <c r="T475" s="187"/>
    </row>
    <row r="476" spans="1:20" s="91" customFormat="1" ht="23.25" customHeight="1">
      <c r="A476" s="85" t="s">
        <v>361</v>
      </c>
      <c r="B476" s="173"/>
      <c r="C476" s="87" t="s">
        <v>40</v>
      </c>
      <c r="D476" s="233" t="s">
        <v>381</v>
      </c>
      <c r="E476" s="145" t="s">
        <v>382</v>
      </c>
      <c r="F476" s="238" t="s">
        <v>418</v>
      </c>
      <c r="G476" s="234">
        <v>38743</v>
      </c>
      <c r="H476" s="236">
        <v>38743</v>
      </c>
      <c r="I476" s="145" t="s">
        <v>384</v>
      </c>
      <c r="J476" s="237"/>
      <c r="K476" s="12">
        <f t="shared" si="102"/>
        <v>0</v>
      </c>
      <c r="L476" s="111">
        <f>109.27*85/100</f>
        <v>92.8795</v>
      </c>
      <c r="M476" s="192">
        <f>+L476/1.2</f>
        <v>77.39958333333333</v>
      </c>
      <c r="N476" s="31"/>
      <c r="O476" s="111">
        <f t="shared" si="111"/>
        <v>77.39958333333333</v>
      </c>
      <c r="P476" s="31">
        <f t="shared" si="112"/>
        <v>50.30972916666666</v>
      </c>
      <c r="Q476" s="31"/>
      <c r="R476" s="111">
        <f t="shared" si="113"/>
        <v>50.30972916666666</v>
      </c>
      <c r="S476" s="186"/>
      <c r="T476" s="187"/>
    </row>
    <row r="477" spans="1:20" s="91" customFormat="1" ht="24" customHeight="1">
      <c r="A477" s="85" t="s">
        <v>361</v>
      </c>
      <c r="B477" s="173"/>
      <c r="C477" s="87" t="s">
        <v>40</v>
      </c>
      <c r="D477" s="147" t="s">
        <v>419</v>
      </c>
      <c r="E477" s="145"/>
      <c r="F477" s="238"/>
      <c r="G477" s="234"/>
      <c r="H477" s="236"/>
      <c r="I477" s="145"/>
      <c r="J477" s="237"/>
      <c r="K477" s="12"/>
      <c r="L477" s="111">
        <f>(219.26)+(1065.21)+(9+10+9.5+8+6+7.5+6+47.3+26.95+170)+(7+12.5+8.4+43.5+9.5+50+10+11+6+10+10)+(37.8+40+9.5+9.5+14.5+15+10+1+78.1+83)+(75.6+35+108+65+230+170+95+113+109+28+35+50)+(29+4+2)+(175+90)+(7+39+6+41+7+67.5+12+60.5+52+37.7)+(9.5+7.5+6+12+46+69.8+96.8)+(19+15+19+51+51+30)+(4.5+9.5+9.5+41+14.5+20.5+14.5+1+11+14.5)+(29+13.5+1.2+4.4+8.25+4.15+16.55+7.4+4.6+1.1+2.25+45+22+35.2+0.8+131.55+10+10+33.8+8+47.16)+(45+45+55+75+55.2+32+32+100+39+2.5+170+100+100+10+65)+(41+45+35+9+11+7+85)+(30+372+131.55)+(163.25+152.25+183.05+95.05)+(90+94+91.8+166)+(340.8)+(186.06+380.54+28.8+138.78+24.52)</f>
        <v>8640.480000000001</v>
      </c>
      <c r="M477" s="192">
        <f>+L477</f>
        <v>8640.480000000001</v>
      </c>
      <c r="N477" s="31"/>
      <c r="O477" s="111">
        <f t="shared" si="111"/>
        <v>8640.480000000001</v>
      </c>
      <c r="P477" s="31">
        <f t="shared" si="112"/>
        <v>5616.312000000001</v>
      </c>
      <c r="Q477" s="31"/>
      <c r="R477" s="111">
        <f t="shared" si="113"/>
        <v>5616.312000000001</v>
      </c>
      <c r="S477" s="355"/>
      <c r="T477" s="356"/>
    </row>
    <row r="478" spans="1:20" s="91" customFormat="1" ht="24" customHeight="1">
      <c r="A478" s="85" t="s">
        <v>455</v>
      </c>
      <c r="B478" s="173"/>
      <c r="C478" s="87" t="s">
        <v>40</v>
      </c>
      <c r="D478" s="147" t="s">
        <v>319</v>
      </c>
      <c r="E478" s="145" t="s">
        <v>183</v>
      </c>
      <c r="F478" s="238">
        <v>-444616</v>
      </c>
      <c r="G478" s="234">
        <v>38840</v>
      </c>
      <c r="H478" s="236">
        <v>38860</v>
      </c>
      <c r="I478" s="145" t="s">
        <v>481</v>
      </c>
      <c r="J478" s="237">
        <v>83.37</v>
      </c>
      <c r="K478" s="12">
        <v>16.67</v>
      </c>
      <c r="L478" s="111">
        <f>+J478+K478</f>
        <v>100.04</v>
      </c>
      <c r="M478" s="192">
        <f aca="true" t="shared" si="114" ref="M478:M491">+J478*0.85</f>
        <v>70.8645</v>
      </c>
      <c r="N478" s="192">
        <f aca="true" t="shared" si="115" ref="N478:N491">+K478*0.85</f>
        <v>14.169500000000001</v>
      </c>
      <c r="O478" s="111">
        <f aca="true" t="shared" si="116" ref="O478:O492">+N478+M478</f>
        <v>85.034</v>
      </c>
      <c r="P478" s="31">
        <f t="shared" si="112"/>
        <v>46.06192500000001</v>
      </c>
      <c r="Q478" s="31">
        <f t="shared" si="112"/>
        <v>9.210175000000001</v>
      </c>
      <c r="R478" s="111">
        <f aca="true" t="shared" si="117" ref="R478:R491">+Q478+P478</f>
        <v>55.27210000000001</v>
      </c>
      <c r="S478" s="355"/>
      <c r="T478" s="356"/>
    </row>
    <row r="479" spans="1:20" s="91" customFormat="1" ht="24" customHeight="1">
      <c r="A479" s="85" t="s">
        <v>455</v>
      </c>
      <c r="B479" s="173"/>
      <c r="C479" s="87" t="s">
        <v>40</v>
      </c>
      <c r="D479" s="147" t="s">
        <v>319</v>
      </c>
      <c r="E479" s="145" t="s">
        <v>183</v>
      </c>
      <c r="F479" s="238">
        <v>-444617</v>
      </c>
      <c r="G479" s="234">
        <v>38903</v>
      </c>
      <c r="H479" s="236">
        <v>38923</v>
      </c>
      <c r="I479" s="145" t="s">
        <v>481</v>
      </c>
      <c r="J479" s="237">
        <v>97.06</v>
      </c>
      <c r="K479" s="12">
        <v>19.41</v>
      </c>
      <c r="L479" s="111">
        <f aca="true" t="shared" si="118" ref="L479:L487">+K479+J479</f>
        <v>116.47</v>
      </c>
      <c r="M479" s="192">
        <f t="shared" si="114"/>
        <v>82.501</v>
      </c>
      <c r="N479" s="192">
        <f t="shared" si="115"/>
        <v>16.4985</v>
      </c>
      <c r="O479" s="111">
        <f t="shared" si="116"/>
        <v>98.99950000000001</v>
      </c>
      <c r="P479" s="31">
        <f aca="true" t="shared" si="119" ref="P479:P491">+M479*0.65</f>
        <v>53.62565000000001</v>
      </c>
      <c r="Q479" s="31">
        <f aca="true" t="shared" si="120" ref="Q479:Q491">+N479*0.65</f>
        <v>10.724025000000001</v>
      </c>
      <c r="R479" s="111">
        <f t="shared" si="117"/>
        <v>64.349675</v>
      </c>
      <c r="S479" s="355"/>
      <c r="T479" s="356"/>
    </row>
    <row r="480" spans="1:20" s="91" customFormat="1" ht="24" customHeight="1">
      <c r="A480" s="85" t="s">
        <v>455</v>
      </c>
      <c r="B480" s="173"/>
      <c r="C480" s="87" t="s">
        <v>40</v>
      </c>
      <c r="D480" s="147" t="s">
        <v>385</v>
      </c>
      <c r="E480" s="145" t="s">
        <v>386</v>
      </c>
      <c r="F480" s="238">
        <v>-240466</v>
      </c>
      <c r="G480" s="234">
        <v>38884</v>
      </c>
      <c r="H480" s="236">
        <v>38904</v>
      </c>
      <c r="I480" s="145" t="s">
        <v>482</v>
      </c>
      <c r="J480" s="237">
        <v>1350.93</v>
      </c>
      <c r="K480" s="12">
        <v>260.26</v>
      </c>
      <c r="L480" s="111">
        <f t="shared" si="118"/>
        <v>1611.19</v>
      </c>
      <c r="M480" s="192">
        <f t="shared" si="114"/>
        <v>1148.2905</v>
      </c>
      <c r="N480" s="192">
        <f t="shared" si="115"/>
        <v>221.22099999999998</v>
      </c>
      <c r="O480" s="111">
        <f t="shared" si="116"/>
        <v>1369.5115</v>
      </c>
      <c r="P480" s="31">
        <f t="shared" si="119"/>
        <v>746.3888250000001</v>
      </c>
      <c r="Q480" s="31">
        <f t="shared" si="120"/>
        <v>143.79364999999999</v>
      </c>
      <c r="R480" s="111">
        <f t="shared" si="117"/>
        <v>890.1824750000001</v>
      </c>
      <c r="S480" s="355" t="s">
        <v>673</v>
      </c>
      <c r="T480" s="356"/>
    </row>
    <row r="481" spans="1:20" s="91" customFormat="1" ht="24" customHeight="1">
      <c r="A481" s="85" t="s">
        <v>455</v>
      </c>
      <c r="B481" s="173"/>
      <c r="C481" s="87" t="s">
        <v>40</v>
      </c>
      <c r="D481" s="147" t="s">
        <v>385</v>
      </c>
      <c r="E481" s="145" t="s">
        <v>386</v>
      </c>
      <c r="F481" s="238">
        <v>-152693</v>
      </c>
      <c r="G481" s="234">
        <v>38825</v>
      </c>
      <c r="H481" s="236">
        <v>38845</v>
      </c>
      <c r="I481" s="145" t="s">
        <v>481</v>
      </c>
      <c r="J481" s="237">
        <v>2054.16</v>
      </c>
      <c r="K481" s="12">
        <v>211.41</v>
      </c>
      <c r="L481" s="111">
        <f t="shared" si="118"/>
        <v>2265.5699999999997</v>
      </c>
      <c r="M481" s="192">
        <f t="shared" si="114"/>
        <v>1746.0359999999998</v>
      </c>
      <c r="N481" s="192">
        <f t="shared" si="115"/>
        <v>179.6985</v>
      </c>
      <c r="O481" s="111">
        <f t="shared" si="116"/>
        <v>1925.7344999999998</v>
      </c>
      <c r="P481" s="31">
        <f t="shared" si="119"/>
        <v>1134.9234</v>
      </c>
      <c r="Q481" s="31">
        <f t="shared" si="120"/>
        <v>116.804025</v>
      </c>
      <c r="R481" s="111">
        <f t="shared" si="117"/>
        <v>1251.7274249999998</v>
      </c>
      <c r="S481" s="355"/>
      <c r="T481" s="356"/>
    </row>
    <row r="482" spans="1:20" s="91" customFormat="1" ht="24" customHeight="1">
      <c r="A482" s="85" t="s">
        <v>455</v>
      </c>
      <c r="B482" s="173"/>
      <c r="C482" s="87" t="s">
        <v>40</v>
      </c>
      <c r="D482" s="147" t="s">
        <v>483</v>
      </c>
      <c r="E482" s="145" t="s">
        <v>390</v>
      </c>
      <c r="F482" s="238">
        <v>-614118</v>
      </c>
      <c r="G482" s="234">
        <v>38813</v>
      </c>
      <c r="H482" s="236">
        <v>38852</v>
      </c>
      <c r="I482" s="145" t="s">
        <v>481</v>
      </c>
      <c r="J482" s="237">
        <f>507.92-2.91</f>
        <v>505.01</v>
      </c>
      <c r="K482" s="12">
        <f>101.58-0.58</f>
        <v>101</v>
      </c>
      <c r="L482" s="111">
        <f t="shared" si="118"/>
        <v>606.01</v>
      </c>
      <c r="M482" s="192">
        <f t="shared" si="114"/>
        <v>429.25849999999997</v>
      </c>
      <c r="N482" s="192">
        <f t="shared" si="115"/>
        <v>85.85</v>
      </c>
      <c r="O482" s="111">
        <f t="shared" si="116"/>
        <v>515.1084999999999</v>
      </c>
      <c r="P482" s="31">
        <f t="shared" si="119"/>
        <v>279.01802499999997</v>
      </c>
      <c r="Q482" s="31">
        <f t="shared" si="120"/>
        <v>55.802499999999995</v>
      </c>
      <c r="R482" s="111">
        <f t="shared" si="117"/>
        <v>334.820525</v>
      </c>
      <c r="S482" s="355"/>
      <c r="T482" s="356"/>
    </row>
    <row r="483" spans="1:20" s="91" customFormat="1" ht="24" customHeight="1">
      <c r="A483" s="85" t="s">
        <v>455</v>
      </c>
      <c r="B483" s="173"/>
      <c r="C483" s="87" t="s">
        <v>40</v>
      </c>
      <c r="D483" s="147" t="s">
        <v>483</v>
      </c>
      <c r="E483" s="145" t="s">
        <v>390</v>
      </c>
      <c r="F483" s="238">
        <v>-461422</v>
      </c>
      <c r="G483" s="234">
        <v>38813</v>
      </c>
      <c r="H483" s="236">
        <v>38852</v>
      </c>
      <c r="I483" s="145" t="s">
        <v>481</v>
      </c>
      <c r="J483" s="237">
        <f>127.26-4.78+0.03</f>
        <v>122.51</v>
      </c>
      <c r="K483" s="12">
        <f>25.45-0.96</f>
        <v>24.49</v>
      </c>
      <c r="L483" s="111">
        <f t="shared" si="118"/>
        <v>147</v>
      </c>
      <c r="M483" s="192">
        <f t="shared" si="114"/>
        <v>104.1335</v>
      </c>
      <c r="N483" s="192">
        <f t="shared" si="115"/>
        <v>20.816499999999998</v>
      </c>
      <c r="O483" s="111">
        <f t="shared" si="116"/>
        <v>124.94999999999999</v>
      </c>
      <c r="P483" s="31">
        <f t="shared" si="119"/>
        <v>67.686775</v>
      </c>
      <c r="Q483" s="31">
        <f t="shared" si="120"/>
        <v>13.530724999999999</v>
      </c>
      <c r="R483" s="111">
        <f t="shared" si="117"/>
        <v>81.2175</v>
      </c>
      <c r="S483" s="355"/>
      <c r="T483" s="356"/>
    </row>
    <row r="484" spans="1:20" s="91" customFormat="1" ht="24" customHeight="1">
      <c r="A484" s="85" t="s">
        <v>455</v>
      </c>
      <c r="B484" s="173"/>
      <c r="C484" s="87" t="s">
        <v>40</v>
      </c>
      <c r="D484" s="147" t="s">
        <v>483</v>
      </c>
      <c r="E484" s="145" t="s">
        <v>390</v>
      </c>
      <c r="F484" s="238">
        <v>-462357</v>
      </c>
      <c r="G484" s="234">
        <v>38813</v>
      </c>
      <c r="H484" s="236">
        <v>38852</v>
      </c>
      <c r="I484" s="145" t="s">
        <v>481</v>
      </c>
      <c r="J484" s="237">
        <f>246.81-2.83+0.23</f>
        <v>244.20999999999998</v>
      </c>
      <c r="K484" s="12">
        <f>49.36-0.57</f>
        <v>48.79</v>
      </c>
      <c r="L484" s="111">
        <f t="shared" si="118"/>
        <v>293</v>
      </c>
      <c r="M484" s="192">
        <f t="shared" si="114"/>
        <v>207.5785</v>
      </c>
      <c r="N484" s="192">
        <f t="shared" si="115"/>
        <v>41.4715</v>
      </c>
      <c r="O484" s="111">
        <f t="shared" si="116"/>
        <v>249.04999999999998</v>
      </c>
      <c r="P484" s="31">
        <f t="shared" si="119"/>
        <v>134.926025</v>
      </c>
      <c r="Q484" s="31">
        <f t="shared" si="120"/>
        <v>26.956475</v>
      </c>
      <c r="R484" s="111">
        <f t="shared" si="117"/>
        <v>161.88250000000002</v>
      </c>
      <c r="S484" s="355"/>
      <c r="T484" s="356"/>
    </row>
    <row r="485" spans="1:20" s="91" customFormat="1" ht="24" customHeight="1">
      <c r="A485" s="85" t="s">
        <v>455</v>
      </c>
      <c r="B485" s="173"/>
      <c r="C485" s="87" t="s">
        <v>40</v>
      </c>
      <c r="D485" s="147" t="s">
        <v>483</v>
      </c>
      <c r="E485" s="145" t="s">
        <v>390</v>
      </c>
      <c r="F485" s="238">
        <v>-657450</v>
      </c>
      <c r="G485" s="234">
        <v>38875</v>
      </c>
      <c r="H485" s="236">
        <v>38911</v>
      </c>
      <c r="I485" s="145" t="s">
        <v>481</v>
      </c>
      <c r="J485" s="237">
        <f>419.47-19.49+0.03</f>
        <v>400.01</v>
      </c>
      <c r="K485" s="12">
        <f>83.89-3.9</f>
        <v>79.99</v>
      </c>
      <c r="L485" s="111">
        <f t="shared" si="118"/>
        <v>480</v>
      </c>
      <c r="M485" s="192">
        <f t="shared" si="114"/>
        <v>340.00849999999997</v>
      </c>
      <c r="N485" s="192">
        <f t="shared" si="115"/>
        <v>67.99149999999999</v>
      </c>
      <c r="O485" s="111">
        <f t="shared" si="116"/>
        <v>407.99999999999994</v>
      </c>
      <c r="P485" s="31">
        <f t="shared" si="119"/>
        <v>221.00552499999998</v>
      </c>
      <c r="Q485" s="31">
        <f t="shared" si="120"/>
        <v>44.194475</v>
      </c>
      <c r="R485" s="111">
        <f t="shared" si="117"/>
        <v>265.2</v>
      </c>
      <c r="S485" s="355" t="s">
        <v>673</v>
      </c>
      <c r="T485" s="356"/>
    </row>
    <row r="486" spans="1:20" s="91" customFormat="1" ht="24" customHeight="1">
      <c r="A486" s="85" t="s">
        <v>455</v>
      </c>
      <c r="B486" s="173"/>
      <c r="C486" s="87" t="s">
        <v>40</v>
      </c>
      <c r="D486" s="147" t="s">
        <v>483</v>
      </c>
      <c r="E486" s="145" t="s">
        <v>390</v>
      </c>
      <c r="F486" s="238">
        <v>-665843</v>
      </c>
      <c r="G486" s="234">
        <v>38875</v>
      </c>
      <c r="H486" s="236">
        <v>38911</v>
      </c>
      <c r="I486" s="145" t="s">
        <v>481</v>
      </c>
      <c r="J486" s="237">
        <f>103.49-4.05+0.17</f>
        <v>99.61</v>
      </c>
      <c r="K486" s="12">
        <f>20.7-0.81</f>
        <v>19.89</v>
      </c>
      <c r="L486" s="111">
        <f t="shared" si="118"/>
        <v>119.5</v>
      </c>
      <c r="M486" s="192">
        <f t="shared" si="114"/>
        <v>84.6685</v>
      </c>
      <c r="N486" s="192">
        <f t="shared" si="115"/>
        <v>16.9065</v>
      </c>
      <c r="O486" s="111">
        <f t="shared" si="116"/>
        <v>101.57499999999999</v>
      </c>
      <c r="P486" s="31">
        <f t="shared" si="119"/>
        <v>55.034524999999995</v>
      </c>
      <c r="Q486" s="31">
        <f t="shared" si="120"/>
        <v>10.989225000000001</v>
      </c>
      <c r="R486" s="111">
        <f t="shared" si="117"/>
        <v>66.02374999999999</v>
      </c>
      <c r="S486" s="355" t="s">
        <v>673</v>
      </c>
      <c r="T486" s="356"/>
    </row>
    <row r="487" spans="1:20" s="91" customFormat="1" ht="24" customHeight="1">
      <c r="A487" s="85" t="s">
        <v>455</v>
      </c>
      <c r="B487" s="173"/>
      <c r="C487" s="87" t="s">
        <v>40</v>
      </c>
      <c r="D487" s="147" t="s">
        <v>483</v>
      </c>
      <c r="E487" s="145" t="s">
        <v>390</v>
      </c>
      <c r="F487" s="238">
        <v>-656645</v>
      </c>
      <c r="G487" s="234">
        <v>38875</v>
      </c>
      <c r="H487" s="236">
        <v>38911</v>
      </c>
      <c r="I487" s="145" t="s">
        <v>481</v>
      </c>
      <c r="J487" s="237">
        <f>225.85-2.16+0.07</f>
        <v>223.76</v>
      </c>
      <c r="K487" s="12">
        <f>45.17-0.43</f>
        <v>44.74</v>
      </c>
      <c r="L487" s="111">
        <f t="shared" si="118"/>
        <v>268.5</v>
      </c>
      <c r="M487" s="192">
        <f t="shared" si="114"/>
        <v>190.196</v>
      </c>
      <c r="N487" s="192">
        <f t="shared" si="115"/>
        <v>38.029</v>
      </c>
      <c r="O487" s="111">
        <f t="shared" si="116"/>
        <v>228.225</v>
      </c>
      <c r="P487" s="31">
        <f t="shared" si="119"/>
        <v>123.62740000000001</v>
      </c>
      <c r="Q487" s="31">
        <f t="shared" si="120"/>
        <v>24.718850000000003</v>
      </c>
      <c r="R487" s="111">
        <f t="shared" si="117"/>
        <v>148.34625</v>
      </c>
      <c r="S487" s="355" t="s">
        <v>673</v>
      </c>
      <c r="T487" s="356"/>
    </row>
    <row r="488" spans="1:20" s="91" customFormat="1" ht="24" customHeight="1">
      <c r="A488" s="85" t="s">
        <v>455</v>
      </c>
      <c r="B488" s="173"/>
      <c r="C488" s="87" t="s">
        <v>40</v>
      </c>
      <c r="D488" s="147" t="s">
        <v>399</v>
      </c>
      <c r="E488" s="145" t="s">
        <v>484</v>
      </c>
      <c r="F488" s="238">
        <v>1197</v>
      </c>
      <c r="G488" s="234">
        <v>38861</v>
      </c>
      <c r="H488" s="236">
        <v>38868</v>
      </c>
      <c r="I488" s="145" t="s">
        <v>485</v>
      </c>
      <c r="J488" s="237">
        <v>500</v>
      </c>
      <c r="K488" s="12">
        <v>100</v>
      </c>
      <c r="L488" s="111">
        <v>600</v>
      </c>
      <c r="M488" s="192">
        <f t="shared" si="114"/>
        <v>425</v>
      </c>
      <c r="N488" s="192">
        <f t="shared" si="115"/>
        <v>85</v>
      </c>
      <c r="O488" s="111">
        <f t="shared" si="116"/>
        <v>510</v>
      </c>
      <c r="P488" s="31">
        <f t="shared" si="119"/>
        <v>276.25</v>
      </c>
      <c r="Q488" s="31">
        <f t="shared" si="120"/>
        <v>55.25</v>
      </c>
      <c r="R488" s="111">
        <f t="shared" si="117"/>
        <v>331.5</v>
      </c>
      <c r="S488" s="355"/>
      <c r="T488" s="356"/>
    </row>
    <row r="489" spans="1:20" s="91" customFormat="1" ht="24" customHeight="1">
      <c r="A489" s="85" t="s">
        <v>455</v>
      </c>
      <c r="B489" s="173"/>
      <c r="C489" s="87" t="s">
        <v>40</v>
      </c>
      <c r="D489" s="147" t="s">
        <v>399</v>
      </c>
      <c r="E489" s="145" t="s">
        <v>484</v>
      </c>
      <c r="F489" s="238">
        <v>1425</v>
      </c>
      <c r="G489" s="234">
        <v>38892</v>
      </c>
      <c r="H489" s="236">
        <v>38901</v>
      </c>
      <c r="I489" s="145" t="s">
        <v>486</v>
      </c>
      <c r="J489" s="237">
        <v>500</v>
      </c>
      <c r="K489" s="12">
        <v>100</v>
      </c>
      <c r="L489" s="111">
        <v>600</v>
      </c>
      <c r="M489" s="192">
        <f t="shared" si="114"/>
        <v>425</v>
      </c>
      <c r="N489" s="192">
        <f t="shared" si="115"/>
        <v>85</v>
      </c>
      <c r="O489" s="111">
        <f t="shared" si="116"/>
        <v>510</v>
      </c>
      <c r="P489" s="31">
        <f t="shared" si="119"/>
        <v>276.25</v>
      </c>
      <c r="Q489" s="31">
        <f t="shared" si="120"/>
        <v>55.25</v>
      </c>
      <c r="R489" s="111">
        <f t="shared" si="117"/>
        <v>331.5</v>
      </c>
      <c r="S489" s="355" t="s">
        <v>673</v>
      </c>
      <c r="T489" s="356"/>
    </row>
    <row r="490" spans="1:20" s="91" customFormat="1" ht="24" customHeight="1">
      <c r="A490" s="85" t="s">
        <v>455</v>
      </c>
      <c r="B490" s="173"/>
      <c r="C490" s="87" t="s">
        <v>40</v>
      </c>
      <c r="D490" s="147" t="s">
        <v>399</v>
      </c>
      <c r="E490" s="145" t="s">
        <v>484</v>
      </c>
      <c r="F490" s="238">
        <v>1731</v>
      </c>
      <c r="G490" s="234">
        <v>38922</v>
      </c>
      <c r="H490" s="236">
        <v>38929</v>
      </c>
      <c r="I490" s="145" t="s">
        <v>487</v>
      </c>
      <c r="J490" s="237">
        <v>500</v>
      </c>
      <c r="K490" s="12">
        <v>100</v>
      </c>
      <c r="L490" s="111">
        <v>600</v>
      </c>
      <c r="M490" s="192">
        <f t="shared" si="114"/>
        <v>425</v>
      </c>
      <c r="N490" s="192">
        <f t="shared" si="115"/>
        <v>85</v>
      </c>
      <c r="O490" s="111">
        <f t="shared" si="116"/>
        <v>510</v>
      </c>
      <c r="P490" s="31">
        <f t="shared" si="119"/>
        <v>276.25</v>
      </c>
      <c r="Q490" s="31">
        <f t="shared" si="120"/>
        <v>55.25</v>
      </c>
      <c r="R490" s="111">
        <f t="shared" si="117"/>
        <v>331.5</v>
      </c>
      <c r="S490" s="355" t="s">
        <v>673</v>
      </c>
      <c r="T490" s="356"/>
    </row>
    <row r="491" spans="1:20" s="91" customFormat="1" ht="24" customHeight="1">
      <c r="A491" s="85" t="s">
        <v>455</v>
      </c>
      <c r="B491" s="173"/>
      <c r="C491" s="87" t="s">
        <v>40</v>
      </c>
      <c r="D491" s="147" t="s">
        <v>399</v>
      </c>
      <c r="E491" s="145" t="s">
        <v>484</v>
      </c>
      <c r="F491" s="238">
        <v>2081</v>
      </c>
      <c r="G491" s="234">
        <v>38953</v>
      </c>
      <c r="H491" s="236">
        <v>38961</v>
      </c>
      <c r="I491" s="145" t="s">
        <v>488</v>
      </c>
      <c r="J491" s="237">
        <v>500</v>
      </c>
      <c r="K491" s="12">
        <v>100</v>
      </c>
      <c r="L491" s="111">
        <v>600</v>
      </c>
      <c r="M491" s="192">
        <f t="shared" si="114"/>
        <v>425</v>
      </c>
      <c r="N491" s="192">
        <f t="shared" si="115"/>
        <v>85</v>
      </c>
      <c r="O491" s="111">
        <f t="shared" si="116"/>
        <v>510</v>
      </c>
      <c r="P491" s="31">
        <f t="shared" si="119"/>
        <v>276.25</v>
      </c>
      <c r="Q491" s="31">
        <f t="shared" si="120"/>
        <v>55.25</v>
      </c>
      <c r="R491" s="111">
        <f t="shared" si="117"/>
        <v>331.5</v>
      </c>
      <c r="S491" s="355" t="s">
        <v>673</v>
      </c>
      <c r="T491" s="356"/>
    </row>
    <row r="492" spans="1:20" s="91" customFormat="1" ht="24" customHeight="1">
      <c r="A492" s="85" t="s">
        <v>455</v>
      </c>
      <c r="B492" s="173"/>
      <c r="C492" s="87" t="s">
        <v>40</v>
      </c>
      <c r="D492" s="147" t="s">
        <v>411</v>
      </c>
      <c r="E492" s="145" t="s">
        <v>489</v>
      </c>
      <c r="F492" s="238" t="s">
        <v>490</v>
      </c>
      <c r="G492" s="234">
        <v>38873</v>
      </c>
      <c r="H492" s="236">
        <v>38877</v>
      </c>
      <c r="I492" s="145" t="s">
        <v>179</v>
      </c>
      <c r="J492" s="237"/>
      <c r="K492" s="12"/>
      <c r="L492" s="111">
        <v>160</v>
      </c>
      <c r="M492" s="192">
        <v>136</v>
      </c>
      <c r="N492" s="31"/>
      <c r="O492" s="111">
        <f t="shared" si="116"/>
        <v>136</v>
      </c>
      <c r="P492" s="31">
        <f aca="true" t="shared" si="121" ref="P492:P498">+M492*0.65</f>
        <v>88.4</v>
      </c>
      <c r="Q492" s="31">
        <f aca="true" t="shared" si="122" ref="Q492:Q498">+N492*0.65</f>
        <v>0</v>
      </c>
      <c r="R492" s="111">
        <f aca="true" t="shared" si="123" ref="R492:R498">+Q492+P492</f>
        <v>88.4</v>
      </c>
      <c r="S492" s="186"/>
      <c r="T492" s="187"/>
    </row>
    <row r="493" spans="1:20" s="91" customFormat="1" ht="24" customHeight="1">
      <c r="A493" s="85" t="s">
        <v>455</v>
      </c>
      <c r="B493" s="173"/>
      <c r="C493" s="87" t="s">
        <v>40</v>
      </c>
      <c r="D493" s="147" t="s">
        <v>411</v>
      </c>
      <c r="E493" s="145" t="s">
        <v>489</v>
      </c>
      <c r="F493" s="238" t="s">
        <v>491</v>
      </c>
      <c r="G493" s="234">
        <v>38916</v>
      </c>
      <c r="H493" s="236">
        <v>38919</v>
      </c>
      <c r="I493" s="145" t="s">
        <v>179</v>
      </c>
      <c r="J493" s="237"/>
      <c r="K493" s="12"/>
      <c r="L493" s="111">
        <v>160</v>
      </c>
      <c r="M493" s="192">
        <v>136</v>
      </c>
      <c r="N493" s="31"/>
      <c r="O493" s="111">
        <f aca="true" t="shared" si="124" ref="O493:O498">+N493+M493</f>
        <v>136</v>
      </c>
      <c r="P493" s="31">
        <f t="shared" si="121"/>
        <v>88.4</v>
      </c>
      <c r="Q493" s="31">
        <f t="shared" si="122"/>
        <v>0</v>
      </c>
      <c r="R493" s="111">
        <f t="shared" si="123"/>
        <v>88.4</v>
      </c>
      <c r="S493" s="186"/>
      <c r="T493" s="187"/>
    </row>
    <row r="494" spans="1:20" s="91" customFormat="1" ht="24" customHeight="1">
      <c r="A494" s="85" t="s">
        <v>455</v>
      </c>
      <c r="B494" s="173"/>
      <c r="C494" s="87" t="s">
        <v>40</v>
      </c>
      <c r="D494" s="147" t="s">
        <v>411</v>
      </c>
      <c r="E494" s="145" t="s">
        <v>492</v>
      </c>
      <c r="F494" s="238" t="s">
        <v>493</v>
      </c>
      <c r="G494" s="234">
        <v>38846</v>
      </c>
      <c r="H494" s="236">
        <v>38849</v>
      </c>
      <c r="I494" s="145" t="s">
        <v>179</v>
      </c>
      <c r="J494" s="237"/>
      <c r="K494" s="12"/>
      <c r="L494" s="111">
        <v>160</v>
      </c>
      <c r="M494" s="192">
        <v>136</v>
      </c>
      <c r="N494" s="31"/>
      <c r="O494" s="111">
        <f t="shared" si="124"/>
        <v>136</v>
      </c>
      <c r="P494" s="31">
        <f t="shared" si="121"/>
        <v>88.4</v>
      </c>
      <c r="Q494" s="31">
        <f t="shared" si="122"/>
        <v>0</v>
      </c>
      <c r="R494" s="111">
        <f t="shared" si="123"/>
        <v>88.4</v>
      </c>
      <c r="S494" s="186"/>
      <c r="T494" s="187"/>
    </row>
    <row r="495" spans="1:20" s="91" customFormat="1" ht="24" customHeight="1">
      <c r="A495" s="85" t="s">
        <v>455</v>
      </c>
      <c r="B495" s="173"/>
      <c r="C495" s="87" t="s">
        <v>40</v>
      </c>
      <c r="D495" s="147" t="s">
        <v>494</v>
      </c>
      <c r="E495" s="145" t="s">
        <v>306</v>
      </c>
      <c r="F495" s="238" t="s">
        <v>493</v>
      </c>
      <c r="G495" s="234">
        <v>38839</v>
      </c>
      <c r="H495" s="236">
        <v>38842</v>
      </c>
      <c r="I495" s="145" t="s">
        <v>179</v>
      </c>
      <c r="J495" s="237"/>
      <c r="K495" s="12"/>
      <c r="L495" s="111">
        <v>3505</v>
      </c>
      <c r="M495" s="192">
        <v>2979.25</v>
      </c>
      <c r="N495" s="31"/>
      <c r="O495" s="111">
        <f t="shared" si="124"/>
        <v>2979.25</v>
      </c>
      <c r="P495" s="31">
        <f t="shared" si="121"/>
        <v>1936.5125</v>
      </c>
      <c r="Q495" s="31">
        <f t="shared" si="122"/>
        <v>0</v>
      </c>
      <c r="R495" s="111">
        <f t="shared" si="123"/>
        <v>1936.5125</v>
      </c>
      <c r="S495" s="186"/>
      <c r="T495" s="187"/>
    </row>
    <row r="496" spans="1:20" s="91" customFormat="1" ht="24" customHeight="1">
      <c r="A496" s="85" t="s">
        <v>455</v>
      </c>
      <c r="B496" s="173"/>
      <c r="C496" s="87" t="s">
        <v>40</v>
      </c>
      <c r="D496" s="147" t="s">
        <v>495</v>
      </c>
      <c r="E496" s="145" t="s">
        <v>306</v>
      </c>
      <c r="F496" s="238" t="s">
        <v>490</v>
      </c>
      <c r="G496" s="234">
        <v>38867</v>
      </c>
      <c r="H496" s="236">
        <v>38873</v>
      </c>
      <c r="I496" s="145" t="s">
        <v>179</v>
      </c>
      <c r="J496" s="237"/>
      <c r="K496" s="12"/>
      <c r="L496" s="111">
        <v>3505</v>
      </c>
      <c r="M496" s="192">
        <v>2979.25</v>
      </c>
      <c r="N496" s="31"/>
      <c r="O496" s="111">
        <f t="shared" si="124"/>
        <v>2979.25</v>
      </c>
      <c r="P496" s="31">
        <f t="shared" si="121"/>
        <v>1936.5125</v>
      </c>
      <c r="Q496" s="31">
        <f t="shared" si="122"/>
        <v>0</v>
      </c>
      <c r="R496" s="111">
        <f t="shared" si="123"/>
        <v>1936.5125</v>
      </c>
      <c r="S496" s="186"/>
      <c r="T496" s="187"/>
    </row>
    <row r="497" spans="1:20" s="91" customFormat="1" ht="24" customHeight="1">
      <c r="A497" s="85" t="s">
        <v>455</v>
      </c>
      <c r="B497" s="173"/>
      <c r="C497" s="87" t="s">
        <v>40</v>
      </c>
      <c r="D497" s="147" t="s">
        <v>496</v>
      </c>
      <c r="E497" s="145" t="s">
        <v>306</v>
      </c>
      <c r="F497" s="238" t="s">
        <v>491</v>
      </c>
      <c r="G497" s="234">
        <v>38902</v>
      </c>
      <c r="H497" s="236">
        <v>38905</v>
      </c>
      <c r="I497" s="145" t="s">
        <v>179</v>
      </c>
      <c r="J497" s="237"/>
      <c r="K497" s="12"/>
      <c r="L497" s="111">
        <v>3505</v>
      </c>
      <c r="M497" s="192">
        <v>2979.25</v>
      </c>
      <c r="N497" s="31"/>
      <c r="O497" s="111">
        <f t="shared" si="124"/>
        <v>2979.25</v>
      </c>
      <c r="P497" s="31">
        <f t="shared" si="121"/>
        <v>1936.5125</v>
      </c>
      <c r="Q497" s="31">
        <f t="shared" si="122"/>
        <v>0</v>
      </c>
      <c r="R497" s="111">
        <f t="shared" si="123"/>
        <v>1936.5125</v>
      </c>
      <c r="S497" s="186"/>
      <c r="T497" s="187"/>
    </row>
    <row r="498" spans="1:20" s="91" customFormat="1" ht="24" customHeight="1">
      <c r="A498" s="85" t="s">
        <v>455</v>
      </c>
      <c r="B498" s="173"/>
      <c r="C498" s="87" t="s">
        <v>40</v>
      </c>
      <c r="D498" s="147" t="s">
        <v>497</v>
      </c>
      <c r="E498" s="145" t="s">
        <v>306</v>
      </c>
      <c r="F498" s="238" t="s">
        <v>498</v>
      </c>
      <c r="G498" s="234">
        <v>38930</v>
      </c>
      <c r="H498" s="236">
        <v>38933</v>
      </c>
      <c r="I498" s="145" t="s">
        <v>179</v>
      </c>
      <c r="J498" s="237"/>
      <c r="K498" s="12"/>
      <c r="L498" s="111">
        <v>3645.5</v>
      </c>
      <c r="M498" s="192">
        <v>3645.5</v>
      </c>
      <c r="N498" s="31"/>
      <c r="O498" s="111">
        <f t="shared" si="124"/>
        <v>3645.5</v>
      </c>
      <c r="P498" s="31">
        <f t="shared" si="121"/>
        <v>2369.5750000000003</v>
      </c>
      <c r="Q498" s="31">
        <f t="shared" si="122"/>
        <v>0</v>
      </c>
      <c r="R498" s="111">
        <f t="shared" si="123"/>
        <v>2369.5750000000003</v>
      </c>
      <c r="S498" s="186"/>
      <c r="T498" s="187"/>
    </row>
    <row r="499" spans="1:20" s="91" customFormat="1" ht="24" customHeight="1">
      <c r="A499" s="85" t="s">
        <v>455</v>
      </c>
      <c r="B499" s="173"/>
      <c r="C499" s="87" t="s">
        <v>40</v>
      </c>
      <c r="D499" s="147" t="s">
        <v>499</v>
      </c>
      <c r="E499" s="145"/>
      <c r="F499" s="238"/>
      <c r="G499" s="234"/>
      <c r="H499" s="236"/>
      <c r="I499" s="145" t="s">
        <v>153</v>
      </c>
      <c r="J499" s="237"/>
      <c r="K499" s="12"/>
      <c r="L499" s="111">
        <v>2344.75</v>
      </c>
      <c r="M499" s="192">
        <v>1993.0375</v>
      </c>
      <c r="N499" s="31"/>
      <c r="O499" s="111">
        <f aca="true" t="shared" si="125" ref="O499:O531">+N499+M499</f>
        <v>1993.0375</v>
      </c>
      <c r="P499" s="31">
        <f aca="true" t="shared" si="126" ref="P499:Q503">+M499*0.65</f>
        <v>1295.474375</v>
      </c>
      <c r="Q499" s="31">
        <f t="shared" si="126"/>
        <v>0</v>
      </c>
      <c r="R499" s="111">
        <f aca="true" t="shared" si="127" ref="R499:R504">+Q499+P499</f>
        <v>1295.474375</v>
      </c>
      <c r="S499" s="355"/>
      <c r="T499" s="356"/>
    </row>
    <row r="500" spans="1:20" s="91" customFormat="1" ht="24" customHeight="1">
      <c r="A500" s="85" t="s">
        <v>455</v>
      </c>
      <c r="B500" s="173"/>
      <c r="C500" s="87" t="s">
        <v>40</v>
      </c>
      <c r="D500" s="147" t="s">
        <v>500</v>
      </c>
      <c r="E500" s="145"/>
      <c r="F500" s="238"/>
      <c r="G500" s="234"/>
      <c r="H500" s="236"/>
      <c r="I500" s="145" t="s">
        <v>153</v>
      </c>
      <c r="J500" s="237"/>
      <c r="K500" s="12"/>
      <c r="L500" s="111">
        <v>1261.3</v>
      </c>
      <c r="M500" s="192">
        <v>1261.3</v>
      </c>
      <c r="N500" s="31"/>
      <c r="O500" s="111">
        <f t="shared" si="125"/>
        <v>1261.3</v>
      </c>
      <c r="P500" s="31">
        <f t="shared" si="126"/>
        <v>819.845</v>
      </c>
      <c r="Q500" s="31">
        <f t="shared" si="126"/>
        <v>0</v>
      </c>
      <c r="R500" s="111">
        <f t="shared" si="127"/>
        <v>819.845</v>
      </c>
      <c r="S500" s="355"/>
      <c r="T500" s="356"/>
    </row>
    <row r="501" spans="1:20" s="91" customFormat="1" ht="24" customHeight="1">
      <c r="A501" s="85" t="s">
        <v>455</v>
      </c>
      <c r="B501" s="173"/>
      <c r="C501" s="87" t="s">
        <v>40</v>
      </c>
      <c r="D501" s="147" t="s">
        <v>501</v>
      </c>
      <c r="E501" s="145"/>
      <c r="F501" s="238"/>
      <c r="G501" s="234"/>
      <c r="H501" s="236"/>
      <c r="I501" s="145" t="s">
        <v>153</v>
      </c>
      <c r="J501" s="237"/>
      <c r="K501" s="12"/>
      <c r="L501" s="111">
        <v>521.3</v>
      </c>
      <c r="M501" s="192">
        <v>521.3</v>
      </c>
      <c r="N501" s="31"/>
      <c r="O501" s="111">
        <f t="shared" si="125"/>
        <v>521.3</v>
      </c>
      <c r="P501" s="31">
        <f t="shared" si="126"/>
        <v>338.84499999999997</v>
      </c>
      <c r="Q501" s="31">
        <f t="shared" si="126"/>
        <v>0</v>
      </c>
      <c r="R501" s="111">
        <f t="shared" si="127"/>
        <v>338.84499999999997</v>
      </c>
      <c r="S501" s="355"/>
      <c r="T501" s="356"/>
    </row>
    <row r="502" spans="1:20" s="91" customFormat="1" ht="24" customHeight="1">
      <c r="A502" s="85" t="s">
        <v>455</v>
      </c>
      <c r="B502" s="173"/>
      <c r="C502" s="87" t="s">
        <v>40</v>
      </c>
      <c r="D502" s="147" t="s">
        <v>502</v>
      </c>
      <c r="E502" s="145"/>
      <c r="F502" s="238"/>
      <c r="G502" s="234"/>
      <c r="H502" s="236"/>
      <c r="I502" s="145" t="s">
        <v>153</v>
      </c>
      <c r="J502" s="237"/>
      <c r="K502" s="12"/>
      <c r="L502" s="111">
        <v>339</v>
      </c>
      <c r="M502" s="192">
        <v>339</v>
      </c>
      <c r="N502" s="31"/>
      <c r="O502" s="111">
        <f t="shared" si="125"/>
        <v>339</v>
      </c>
      <c r="P502" s="31">
        <f t="shared" si="126"/>
        <v>220.35</v>
      </c>
      <c r="Q502" s="31">
        <f t="shared" si="126"/>
        <v>0</v>
      </c>
      <c r="R502" s="111">
        <f t="shared" si="127"/>
        <v>220.35</v>
      </c>
      <c r="S502" s="355"/>
      <c r="T502" s="356"/>
    </row>
    <row r="503" spans="1:20" s="91" customFormat="1" ht="24" customHeight="1">
      <c r="A503" s="85" t="s">
        <v>455</v>
      </c>
      <c r="B503" s="173"/>
      <c r="C503" s="87" t="s">
        <v>40</v>
      </c>
      <c r="D503" s="147" t="s">
        <v>503</v>
      </c>
      <c r="E503" s="145"/>
      <c r="F503" s="238"/>
      <c r="G503" s="234"/>
      <c r="H503" s="236"/>
      <c r="I503" s="145" t="s">
        <v>153</v>
      </c>
      <c r="J503" s="237"/>
      <c r="K503" s="12"/>
      <c r="L503" s="111">
        <v>269</v>
      </c>
      <c r="M503" s="192">
        <v>269</v>
      </c>
      <c r="N503" s="31"/>
      <c r="O503" s="111">
        <f t="shared" si="125"/>
        <v>269</v>
      </c>
      <c r="P503" s="31">
        <f t="shared" si="126"/>
        <v>174.85</v>
      </c>
      <c r="Q503" s="31">
        <f t="shared" si="126"/>
        <v>0</v>
      </c>
      <c r="R503" s="111">
        <f t="shared" si="127"/>
        <v>174.85</v>
      </c>
      <c r="S503" s="355"/>
      <c r="T503" s="356"/>
    </row>
    <row r="504" spans="1:20" s="91" customFormat="1" ht="24" customHeight="1">
      <c r="A504" s="85" t="s">
        <v>518</v>
      </c>
      <c r="B504" s="173"/>
      <c r="C504" s="87" t="s">
        <v>40</v>
      </c>
      <c r="D504" s="147" t="s">
        <v>519</v>
      </c>
      <c r="E504" s="145"/>
      <c r="F504" s="238"/>
      <c r="G504" s="234"/>
      <c r="H504" s="236"/>
      <c r="I504" s="145"/>
      <c r="J504" s="237"/>
      <c r="K504" s="12"/>
      <c r="L504" s="111"/>
      <c r="M504" s="192">
        <f>+Conguagli!M60</f>
        <v>649.5090833333306</v>
      </c>
      <c r="N504" s="31"/>
      <c r="O504" s="111">
        <f t="shared" si="125"/>
        <v>649.5090833333306</v>
      </c>
      <c r="P504" s="31">
        <f>+M504*0.65</f>
        <v>422.1809041666649</v>
      </c>
      <c r="Q504" s="31">
        <f>+N504*0.65</f>
        <v>0</v>
      </c>
      <c r="R504" s="111">
        <f t="shared" si="127"/>
        <v>422.1809041666649</v>
      </c>
      <c r="S504" s="186"/>
      <c r="T504" s="187"/>
    </row>
    <row r="505" spans="1:20" s="91" customFormat="1" ht="24" customHeight="1">
      <c r="A505" s="85" t="s">
        <v>518</v>
      </c>
      <c r="B505" s="173"/>
      <c r="C505" s="87" t="s">
        <v>40</v>
      </c>
      <c r="D505" s="147" t="s">
        <v>521</v>
      </c>
      <c r="E505" s="145" t="s">
        <v>522</v>
      </c>
      <c r="F505" s="238">
        <v>3195</v>
      </c>
      <c r="G505" s="234" t="s">
        <v>523</v>
      </c>
      <c r="H505" s="236">
        <v>39080</v>
      </c>
      <c r="I505" s="145" t="s">
        <v>524</v>
      </c>
      <c r="J505" s="237">
        <v>500</v>
      </c>
      <c r="K505" s="12">
        <v>100</v>
      </c>
      <c r="L505" s="111">
        <v>600</v>
      </c>
      <c r="M505" s="192">
        <f>+J505*0.85</f>
        <v>425</v>
      </c>
      <c r="N505" s="31">
        <f>+K505*0.85</f>
        <v>85</v>
      </c>
      <c r="O505" s="111">
        <f t="shared" si="125"/>
        <v>510</v>
      </c>
      <c r="P505" s="31">
        <f aca="true" t="shared" si="128" ref="P505:P531">+M505*0.65</f>
        <v>276.25</v>
      </c>
      <c r="Q505" s="31">
        <f aca="true" t="shared" si="129" ref="Q505:Q531">+N505*0.65</f>
        <v>55.25</v>
      </c>
      <c r="R505" s="111">
        <f aca="true" t="shared" si="130" ref="R505:R531">+Q505+P505</f>
        <v>331.5</v>
      </c>
      <c r="S505" s="257"/>
      <c r="T505" s="258"/>
    </row>
    <row r="506" spans="1:20" s="91" customFormat="1" ht="24" customHeight="1">
      <c r="A506" s="85" t="s">
        <v>518</v>
      </c>
      <c r="B506" s="173"/>
      <c r="C506" s="87" t="s">
        <v>40</v>
      </c>
      <c r="D506" s="147" t="s">
        <v>521</v>
      </c>
      <c r="E506" s="145" t="s">
        <v>522</v>
      </c>
      <c r="F506" s="238">
        <v>2889</v>
      </c>
      <c r="G506" s="234" t="s">
        <v>525</v>
      </c>
      <c r="H506" s="236" t="s">
        <v>526</v>
      </c>
      <c r="I506" s="145" t="s">
        <v>524</v>
      </c>
      <c r="J506" s="237">
        <v>500</v>
      </c>
      <c r="K506" s="12">
        <v>100</v>
      </c>
      <c r="L506" s="111">
        <v>600</v>
      </c>
      <c r="M506" s="192">
        <f aca="true" t="shared" si="131" ref="M506:M526">+J506*0.85</f>
        <v>425</v>
      </c>
      <c r="N506" s="31">
        <f aca="true" t="shared" si="132" ref="N506:N526">+K506*0.85</f>
        <v>85</v>
      </c>
      <c r="O506" s="111">
        <f t="shared" si="125"/>
        <v>510</v>
      </c>
      <c r="P506" s="31">
        <f t="shared" si="128"/>
        <v>276.25</v>
      </c>
      <c r="Q506" s="31">
        <f t="shared" si="129"/>
        <v>55.25</v>
      </c>
      <c r="R506" s="111">
        <f t="shared" si="130"/>
        <v>331.5</v>
      </c>
      <c r="S506" s="259"/>
      <c r="T506" s="260"/>
    </row>
    <row r="507" spans="1:20" s="91" customFormat="1" ht="24" customHeight="1">
      <c r="A507" s="85" t="s">
        <v>518</v>
      </c>
      <c r="B507" s="173"/>
      <c r="C507" s="87" t="s">
        <v>40</v>
      </c>
      <c r="D507" s="147" t="s">
        <v>521</v>
      </c>
      <c r="E507" s="145" t="s">
        <v>522</v>
      </c>
      <c r="F507" s="238">
        <v>2587</v>
      </c>
      <c r="G507" s="234" t="s">
        <v>527</v>
      </c>
      <c r="H507" s="236" t="s">
        <v>528</v>
      </c>
      <c r="I507" s="145" t="s">
        <v>524</v>
      </c>
      <c r="J507" s="237">
        <v>500</v>
      </c>
      <c r="K507" s="12">
        <v>100</v>
      </c>
      <c r="L507" s="111">
        <v>600</v>
      </c>
      <c r="M507" s="192">
        <f t="shared" si="131"/>
        <v>425</v>
      </c>
      <c r="N507" s="31">
        <f t="shared" si="132"/>
        <v>85</v>
      </c>
      <c r="O507" s="111">
        <f t="shared" si="125"/>
        <v>510</v>
      </c>
      <c r="P507" s="31">
        <f t="shared" si="128"/>
        <v>276.25</v>
      </c>
      <c r="Q507" s="31">
        <f t="shared" si="129"/>
        <v>55.25</v>
      </c>
      <c r="R507" s="111">
        <f t="shared" si="130"/>
        <v>331.5</v>
      </c>
      <c r="S507" s="259"/>
      <c r="T507" s="260"/>
    </row>
    <row r="508" spans="1:20" s="91" customFormat="1" ht="24" customHeight="1">
      <c r="A508" s="85" t="s">
        <v>518</v>
      </c>
      <c r="B508" s="173"/>
      <c r="C508" s="87" t="s">
        <v>40</v>
      </c>
      <c r="D508" s="147" t="s">
        <v>521</v>
      </c>
      <c r="E508" s="145" t="s">
        <v>522</v>
      </c>
      <c r="F508" s="238">
        <v>2285</v>
      </c>
      <c r="G508" s="234" t="s">
        <v>529</v>
      </c>
      <c r="H508" s="236" t="s">
        <v>530</v>
      </c>
      <c r="I508" s="145" t="s">
        <v>524</v>
      </c>
      <c r="J508" s="237">
        <v>500</v>
      </c>
      <c r="K508" s="12">
        <v>100</v>
      </c>
      <c r="L508" s="111">
        <v>600</v>
      </c>
      <c r="M508" s="192">
        <f t="shared" si="131"/>
        <v>425</v>
      </c>
      <c r="N508" s="31">
        <f t="shared" si="132"/>
        <v>85</v>
      </c>
      <c r="O508" s="111">
        <f t="shared" si="125"/>
        <v>510</v>
      </c>
      <c r="P508" s="31">
        <f t="shared" si="128"/>
        <v>276.25</v>
      </c>
      <c r="Q508" s="31">
        <f t="shared" si="129"/>
        <v>55.25</v>
      </c>
      <c r="R508" s="111">
        <f t="shared" si="130"/>
        <v>331.5</v>
      </c>
      <c r="S508" s="259"/>
      <c r="T508" s="260"/>
    </row>
    <row r="509" spans="1:20" s="91" customFormat="1" ht="24" customHeight="1">
      <c r="A509" s="85" t="s">
        <v>518</v>
      </c>
      <c r="B509" s="173"/>
      <c r="C509" s="87" t="s">
        <v>40</v>
      </c>
      <c r="D509" s="147" t="s">
        <v>177</v>
      </c>
      <c r="E509" s="145" t="s">
        <v>531</v>
      </c>
      <c r="F509" s="238" t="s">
        <v>532</v>
      </c>
      <c r="G509" s="234" t="s">
        <v>533</v>
      </c>
      <c r="H509" s="236" t="s">
        <v>533</v>
      </c>
      <c r="I509" s="145" t="s">
        <v>179</v>
      </c>
      <c r="J509" s="237">
        <v>320</v>
      </c>
      <c r="K509" s="12"/>
      <c r="L509" s="111">
        <v>320</v>
      </c>
      <c r="M509" s="192">
        <f t="shared" si="131"/>
        <v>272</v>
      </c>
      <c r="N509" s="31">
        <f t="shared" si="132"/>
        <v>0</v>
      </c>
      <c r="O509" s="111">
        <f t="shared" si="125"/>
        <v>272</v>
      </c>
      <c r="P509" s="31">
        <f t="shared" si="128"/>
        <v>176.8</v>
      </c>
      <c r="Q509" s="31">
        <f t="shared" si="129"/>
        <v>0</v>
      </c>
      <c r="R509" s="111">
        <f t="shared" si="130"/>
        <v>176.8</v>
      </c>
      <c r="S509" s="259"/>
      <c r="T509" s="260"/>
    </row>
    <row r="510" spans="1:20" s="91" customFormat="1" ht="24" customHeight="1">
      <c r="A510" s="85" t="s">
        <v>518</v>
      </c>
      <c r="B510" s="173"/>
      <c r="C510" s="87" t="s">
        <v>40</v>
      </c>
      <c r="D510" s="147" t="s">
        <v>177</v>
      </c>
      <c r="E510" s="145" t="s">
        <v>531</v>
      </c>
      <c r="F510" s="238" t="s">
        <v>534</v>
      </c>
      <c r="G510" s="234" t="s">
        <v>535</v>
      </c>
      <c r="H510" s="236" t="s">
        <v>536</v>
      </c>
      <c r="I510" s="145" t="s">
        <v>179</v>
      </c>
      <c r="J510" s="237">
        <v>160</v>
      </c>
      <c r="K510" s="12"/>
      <c r="L510" s="111">
        <v>160</v>
      </c>
      <c r="M510" s="192">
        <f t="shared" si="131"/>
        <v>136</v>
      </c>
      <c r="N510" s="31">
        <f t="shared" si="132"/>
        <v>0</v>
      </c>
      <c r="O510" s="111">
        <f t="shared" si="125"/>
        <v>136</v>
      </c>
      <c r="P510" s="31">
        <f t="shared" si="128"/>
        <v>88.4</v>
      </c>
      <c r="Q510" s="31">
        <f t="shared" si="129"/>
        <v>0</v>
      </c>
      <c r="R510" s="111">
        <f t="shared" si="130"/>
        <v>88.4</v>
      </c>
      <c r="S510" s="259"/>
      <c r="T510" s="260"/>
    </row>
    <row r="511" spans="1:20" s="91" customFormat="1" ht="24" customHeight="1">
      <c r="A511" s="85" t="s">
        <v>518</v>
      </c>
      <c r="B511" s="173"/>
      <c r="C511" s="87" t="s">
        <v>40</v>
      </c>
      <c r="D511" s="147" t="s">
        <v>177</v>
      </c>
      <c r="E511" s="145" t="s">
        <v>531</v>
      </c>
      <c r="F511" s="238" t="s">
        <v>537</v>
      </c>
      <c r="G511" s="234" t="s">
        <v>538</v>
      </c>
      <c r="H511" s="236" t="s">
        <v>539</v>
      </c>
      <c r="I511" s="145" t="s">
        <v>179</v>
      </c>
      <c r="J511" s="237">
        <v>571</v>
      </c>
      <c r="K511" s="12"/>
      <c r="L511" s="111">
        <v>571</v>
      </c>
      <c r="M511" s="192">
        <f t="shared" si="131"/>
        <v>485.34999999999997</v>
      </c>
      <c r="N511" s="31">
        <f t="shared" si="132"/>
        <v>0</v>
      </c>
      <c r="O511" s="111">
        <f t="shared" si="125"/>
        <v>485.34999999999997</v>
      </c>
      <c r="P511" s="31">
        <f t="shared" si="128"/>
        <v>315.47749999999996</v>
      </c>
      <c r="Q511" s="31">
        <f t="shared" si="129"/>
        <v>0</v>
      </c>
      <c r="R511" s="111">
        <f t="shared" si="130"/>
        <v>315.47749999999996</v>
      </c>
      <c r="S511" s="259"/>
      <c r="T511" s="260"/>
    </row>
    <row r="512" spans="1:20" s="91" customFormat="1" ht="24" customHeight="1">
      <c r="A512" s="85" t="s">
        <v>518</v>
      </c>
      <c r="B512" s="173"/>
      <c r="C512" s="87" t="s">
        <v>40</v>
      </c>
      <c r="D512" s="147" t="s">
        <v>177</v>
      </c>
      <c r="E512" s="145" t="s">
        <v>531</v>
      </c>
      <c r="F512" s="238" t="s">
        <v>540</v>
      </c>
      <c r="G512" s="234" t="s">
        <v>541</v>
      </c>
      <c r="H512" s="236" t="s">
        <v>542</v>
      </c>
      <c r="I512" s="145" t="s">
        <v>179</v>
      </c>
      <c r="J512" s="237">
        <v>571</v>
      </c>
      <c r="K512" s="12"/>
      <c r="L512" s="111">
        <v>571</v>
      </c>
      <c r="M512" s="192">
        <f t="shared" si="131"/>
        <v>485.34999999999997</v>
      </c>
      <c r="N512" s="31">
        <f t="shared" si="132"/>
        <v>0</v>
      </c>
      <c r="O512" s="111">
        <f t="shared" si="125"/>
        <v>485.34999999999997</v>
      </c>
      <c r="P512" s="31">
        <f t="shared" si="128"/>
        <v>315.47749999999996</v>
      </c>
      <c r="Q512" s="31">
        <f t="shared" si="129"/>
        <v>0</v>
      </c>
      <c r="R512" s="111">
        <f t="shared" si="130"/>
        <v>315.47749999999996</v>
      </c>
      <c r="S512" s="259"/>
      <c r="T512" s="260"/>
    </row>
    <row r="513" spans="1:20" s="91" customFormat="1" ht="24" customHeight="1">
      <c r="A513" s="85" t="s">
        <v>518</v>
      </c>
      <c r="B513" s="173"/>
      <c r="C513" s="87" t="s">
        <v>40</v>
      </c>
      <c r="D513" s="147" t="s">
        <v>543</v>
      </c>
      <c r="E513" s="145" t="s">
        <v>203</v>
      </c>
      <c r="F513" s="238" t="s">
        <v>544</v>
      </c>
      <c r="G513" s="234" t="s">
        <v>545</v>
      </c>
      <c r="H513" s="236" t="s">
        <v>546</v>
      </c>
      <c r="I513" s="145" t="s">
        <v>179</v>
      </c>
      <c r="J513" s="237">
        <v>3570</v>
      </c>
      <c r="K513" s="12"/>
      <c r="L513" s="111">
        <v>3570</v>
      </c>
      <c r="M513" s="192">
        <f t="shared" si="131"/>
        <v>3034.5</v>
      </c>
      <c r="N513" s="31">
        <f t="shared" si="132"/>
        <v>0</v>
      </c>
      <c r="O513" s="111">
        <f t="shared" si="125"/>
        <v>3034.5</v>
      </c>
      <c r="P513" s="31">
        <f t="shared" si="128"/>
        <v>1972.425</v>
      </c>
      <c r="Q513" s="31">
        <f t="shared" si="129"/>
        <v>0</v>
      </c>
      <c r="R513" s="111">
        <f t="shared" si="130"/>
        <v>1972.425</v>
      </c>
      <c r="S513" s="259"/>
      <c r="T513" s="260"/>
    </row>
    <row r="514" spans="1:20" s="91" customFormat="1" ht="24" customHeight="1">
      <c r="A514" s="85" t="s">
        <v>518</v>
      </c>
      <c r="B514" s="173"/>
      <c r="C514" s="87" t="s">
        <v>40</v>
      </c>
      <c r="D514" s="147" t="s">
        <v>543</v>
      </c>
      <c r="E514" s="145" t="s">
        <v>203</v>
      </c>
      <c r="F514" s="238" t="s">
        <v>534</v>
      </c>
      <c r="G514" s="234" t="s">
        <v>547</v>
      </c>
      <c r="H514" s="236" t="s">
        <v>548</v>
      </c>
      <c r="I514" s="145" t="s">
        <v>179</v>
      </c>
      <c r="J514" s="237">
        <v>3570</v>
      </c>
      <c r="K514" s="12"/>
      <c r="L514" s="111">
        <v>3570</v>
      </c>
      <c r="M514" s="192">
        <f t="shared" si="131"/>
        <v>3034.5</v>
      </c>
      <c r="N514" s="31">
        <f t="shared" si="132"/>
        <v>0</v>
      </c>
      <c r="O514" s="111">
        <f t="shared" si="125"/>
        <v>3034.5</v>
      </c>
      <c r="P514" s="31">
        <f t="shared" si="128"/>
        <v>1972.425</v>
      </c>
      <c r="Q514" s="31">
        <f t="shared" si="129"/>
        <v>0</v>
      </c>
      <c r="R514" s="111">
        <f t="shared" si="130"/>
        <v>1972.425</v>
      </c>
      <c r="S514" s="259"/>
      <c r="T514" s="260"/>
    </row>
    <row r="515" spans="1:20" s="91" customFormat="1" ht="24" customHeight="1">
      <c r="A515" s="85" t="s">
        <v>518</v>
      </c>
      <c r="B515" s="173"/>
      <c r="C515" s="87" t="s">
        <v>40</v>
      </c>
      <c r="D515" s="147" t="s">
        <v>543</v>
      </c>
      <c r="E515" s="145" t="s">
        <v>203</v>
      </c>
      <c r="F515" s="238" t="s">
        <v>537</v>
      </c>
      <c r="G515" s="234" t="s">
        <v>549</v>
      </c>
      <c r="H515" s="236" t="s">
        <v>550</v>
      </c>
      <c r="I515" s="145" t="s">
        <v>179</v>
      </c>
      <c r="J515" s="237">
        <v>3570</v>
      </c>
      <c r="K515" s="12"/>
      <c r="L515" s="111">
        <v>3570</v>
      </c>
      <c r="M515" s="192">
        <f t="shared" si="131"/>
        <v>3034.5</v>
      </c>
      <c r="N515" s="31">
        <f t="shared" si="132"/>
        <v>0</v>
      </c>
      <c r="O515" s="111">
        <f t="shared" si="125"/>
        <v>3034.5</v>
      </c>
      <c r="P515" s="31">
        <f t="shared" si="128"/>
        <v>1972.425</v>
      </c>
      <c r="Q515" s="31">
        <f t="shared" si="129"/>
        <v>0</v>
      </c>
      <c r="R515" s="111">
        <f t="shared" si="130"/>
        <v>1972.425</v>
      </c>
      <c r="S515" s="259"/>
      <c r="T515" s="260"/>
    </row>
    <row r="516" spans="1:20" s="91" customFormat="1" ht="24" customHeight="1">
      <c r="A516" s="85" t="s">
        <v>518</v>
      </c>
      <c r="B516" s="173"/>
      <c r="C516" s="87" t="s">
        <v>40</v>
      </c>
      <c r="D516" s="147" t="s">
        <v>543</v>
      </c>
      <c r="E516" s="145" t="s">
        <v>203</v>
      </c>
      <c r="F516" s="238" t="s">
        <v>540</v>
      </c>
      <c r="G516" s="234" t="s">
        <v>551</v>
      </c>
      <c r="H516" s="236">
        <v>39051</v>
      </c>
      <c r="I516" s="145" t="s">
        <v>179</v>
      </c>
      <c r="J516" s="237">
        <v>3570</v>
      </c>
      <c r="K516" s="12"/>
      <c r="L516" s="111">
        <v>3570</v>
      </c>
      <c r="M516" s="192">
        <f t="shared" si="131"/>
        <v>3034.5</v>
      </c>
      <c r="N516" s="31">
        <f t="shared" si="132"/>
        <v>0</v>
      </c>
      <c r="O516" s="111">
        <f t="shared" si="125"/>
        <v>3034.5</v>
      </c>
      <c r="P516" s="31">
        <f t="shared" si="128"/>
        <v>1972.425</v>
      </c>
      <c r="Q516" s="31">
        <f t="shared" si="129"/>
        <v>0</v>
      </c>
      <c r="R516" s="111">
        <f t="shared" si="130"/>
        <v>1972.425</v>
      </c>
      <c r="S516" s="259"/>
      <c r="T516" s="260"/>
    </row>
    <row r="517" spans="1:20" s="91" customFormat="1" ht="24" customHeight="1">
      <c r="A517" s="85" t="s">
        <v>518</v>
      </c>
      <c r="B517" s="173"/>
      <c r="C517" s="87" t="s">
        <v>40</v>
      </c>
      <c r="D517" s="147" t="s">
        <v>552</v>
      </c>
      <c r="E517" s="145" t="s">
        <v>161</v>
      </c>
      <c r="F517" s="238">
        <v>-8019</v>
      </c>
      <c r="G517" s="234" t="s">
        <v>553</v>
      </c>
      <c r="H517" s="236" t="s">
        <v>554</v>
      </c>
      <c r="I517" s="145" t="s">
        <v>162</v>
      </c>
      <c r="J517" s="237">
        <v>1437.67</v>
      </c>
      <c r="K517" s="12">
        <v>241.33</v>
      </c>
      <c r="L517" s="111">
        <v>1679</v>
      </c>
      <c r="M517" s="192">
        <f t="shared" si="131"/>
        <v>1222.0195</v>
      </c>
      <c r="N517" s="31">
        <f t="shared" si="132"/>
        <v>205.1305</v>
      </c>
      <c r="O517" s="111">
        <f t="shared" si="125"/>
        <v>1427.15</v>
      </c>
      <c r="P517" s="31">
        <f t="shared" si="128"/>
        <v>794.3126750000001</v>
      </c>
      <c r="Q517" s="31">
        <f t="shared" si="129"/>
        <v>133.33482500000002</v>
      </c>
      <c r="R517" s="111">
        <f t="shared" si="130"/>
        <v>927.6475000000002</v>
      </c>
      <c r="S517" s="259"/>
      <c r="T517" s="260"/>
    </row>
    <row r="518" spans="1:20" s="91" customFormat="1" ht="24" customHeight="1">
      <c r="A518" s="85" t="s">
        <v>518</v>
      </c>
      <c r="B518" s="173"/>
      <c r="C518" s="87" t="s">
        <v>40</v>
      </c>
      <c r="D518" s="147" t="s">
        <v>552</v>
      </c>
      <c r="E518" s="145" t="s">
        <v>161</v>
      </c>
      <c r="F518" s="238">
        <v>-7335</v>
      </c>
      <c r="G518" s="234" t="s">
        <v>555</v>
      </c>
      <c r="H518" s="236" t="s">
        <v>556</v>
      </c>
      <c r="I518" s="145" t="s">
        <v>162</v>
      </c>
      <c r="J518" s="237">
        <v>1486.95</v>
      </c>
      <c r="K518" s="12">
        <v>233.09</v>
      </c>
      <c r="L518" s="111">
        <v>1720</v>
      </c>
      <c r="M518" s="192">
        <f t="shared" si="131"/>
        <v>1263.9075</v>
      </c>
      <c r="N518" s="31">
        <f t="shared" si="132"/>
        <v>198.1265</v>
      </c>
      <c r="O518" s="111">
        <f t="shared" si="125"/>
        <v>1462.034</v>
      </c>
      <c r="P518" s="31">
        <f t="shared" si="128"/>
        <v>821.539875</v>
      </c>
      <c r="Q518" s="31">
        <f t="shared" si="129"/>
        <v>128.782225</v>
      </c>
      <c r="R518" s="111">
        <f t="shared" si="130"/>
        <v>950.3221000000001</v>
      </c>
      <c r="S518" s="259"/>
      <c r="T518" s="260"/>
    </row>
    <row r="519" spans="1:20" s="91" customFormat="1" ht="24" customHeight="1">
      <c r="A519" s="85" t="s">
        <v>518</v>
      </c>
      <c r="B519" s="173"/>
      <c r="C519" s="87" t="s">
        <v>40</v>
      </c>
      <c r="D519" s="147" t="s">
        <v>557</v>
      </c>
      <c r="E519" s="145" t="s">
        <v>183</v>
      </c>
      <c r="F519" s="238">
        <v>-4611</v>
      </c>
      <c r="G519" s="234" t="s">
        <v>556</v>
      </c>
      <c r="H519" s="236" t="s">
        <v>558</v>
      </c>
      <c r="I519" s="145" t="s">
        <v>162</v>
      </c>
      <c r="J519" s="237">
        <v>161.55</v>
      </c>
      <c r="K519" s="12">
        <v>32.31</v>
      </c>
      <c r="L519" s="111">
        <v>193.86</v>
      </c>
      <c r="M519" s="192">
        <f t="shared" si="131"/>
        <v>137.3175</v>
      </c>
      <c r="N519" s="31">
        <f t="shared" si="132"/>
        <v>27.4635</v>
      </c>
      <c r="O519" s="111">
        <f t="shared" si="125"/>
        <v>164.781</v>
      </c>
      <c r="P519" s="31">
        <f t="shared" si="128"/>
        <v>89.256375</v>
      </c>
      <c r="Q519" s="31">
        <f t="shared" si="129"/>
        <v>17.851275</v>
      </c>
      <c r="R519" s="111">
        <f t="shared" si="130"/>
        <v>107.10765</v>
      </c>
      <c r="S519" s="259"/>
      <c r="T519" s="260"/>
    </row>
    <row r="520" spans="1:20" s="91" customFormat="1" ht="24" customHeight="1">
      <c r="A520" s="85" t="s">
        <v>518</v>
      </c>
      <c r="B520" s="173"/>
      <c r="C520" s="87" t="s">
        <v>40</v>
      </c>
      <c r="D520" s="147" t="s">
        <v>557</v>
      </c>
      <c r="E520" s="145" t="s">
        <v>183</v>
      </c>
      <c r="F520" s="238">
        <v>-2445</v>
      </c>
      <c r="G520" s="234">
        <v>38930</v>
      </c>
      <c r="H520" s="236" t="s">
        <v>559</v>
      </c>
      <c r="I520" s="145" t="s">
        <v>162</v>
      </c>
      <c r="J520" s="237">
        <v>654.2</v>
      </c>
      <c r="K520" s="12">
        <v>175.24</v>
      </c>
      <c r="L520" s="111">
        <v>829.44</v>
      </c>
      <c r="M520" s="192">
        <f t="shared" si="131"/>
        <v>556.07</v>
      </c>
      <c r="N520" s="31">
        <f t="shared" si="132"/>
        <v>148.954</v>
      </c>
      <c r="O520" s="111">
        <f t="shared" si="125"/>
        <v>705.0240000000001</v>
      </c>
      <c r="P520" s="31">
        <f t="shared" si="128"/>
        <v>361.44550000000004</v>
      </c>
      <c r="Q520" s="31">
        <f t="shared" si="129"/>
        <v>96.82010000000001</v>
      </c>
      <c r="R520" s="111">
        <f t="shared" si="130"/>
        <v>458.26560000000006</v>
      </c>
      <c r="S520" s="259"/>
      <c r="T520" s="260"/>
    </row>
    <row r="521" spans="1:20" s="91" customFormat="1" ht="24" customHeight="1">
      <c r="A521" s="85" t="s">
        <v>518</v>
      </c>
      <c r="B521" s="173"/>
      <c r="C521" s="87" t="s">
        <v>40</v>
      </c>
      <c r="D521" s="147" t="s">
        <v>560</v>
      </c>
      <c r="E521" s="145" t="s">
        <v>561</v>
      </c>
      <c r="F521" s="238">
        <v>-7040</v>
      </c>
      <c r="G521" s="234" t="s">
        <v>562</v>
      </c>
      <c r="H521" s="236" t="s">
        <v>563</v>
      </c>
      <c r="I521" s="145" t="s">
        <v>162</v>
      </c>
      <c r="J521" s="237">
        <v>261.27</v>
      </c>
      <c r="K521" s="12">
        <v>48.733999999999995</v>
      </c>
      <c r="L521" s="111">
        <v>310.00399999999996</v>
      </c>
      <c r="M521" s="192">
        <f t="shared" si="131"/>
        <v>222.07949999999997</v>
      </c>
      <c r="N521" s="31">
        <f t="shared" si="132"/>
        <v>41.423899999999996</v>
      </c>
      <c r="O521" s="111">
        <f t="shared" si="125"/>
        <v>263.50339999999994</v>
      </c>
      <c r="P521" s="31">
        <f t="shared" si="128"/>
        <v>144.35167499999997</v>
      </c>
      <c r="Q521" s="31">
        <f t="shared" si="129"/>
        <v>26.925535</v>
      </c>
      <c r="R521" s="111">
        <f t="shared" si="130"/>
        <v>171.27720999999997</v>
      </c>
      <c r="S521" s="259"/>
      <c r="T521" s="260"/>
    </row>
    <row r="522" spans="1:20" s="91" customFormat="1" ht="24" customHeight="1">
      <c r="A522" s="85" t="s">
        <v>518</v>
      </c>
      <c r="B522" s="173"/>
      <c r="C522" s="87" t="s">
        <v>40</v>
      </c>
      <c r="D522" s="147" t="s">
        <v>560</v>
      </c>
      <c r="E522" s="145" t="s">
        <v>561</v>
      </c>
      <c r="F522" s="238">
        <v>-8721</v>
      </c>
      <c r="G522" s="234" t="s">
        <v>562</v>
      </c>
      <c r="H522" s="236" t="s">
        <v>563</v>
      </c>
      <c r="I522" s="145" t="s">
        <v>162</v>
      </c>
      <c r="J522" s="237">
        <v>401.35</v>
      </c>
      <c r="K522" s="12">
        <v>76.65</v>
      </c>
      <c r="L522" s="111">
        <v>478</v>
      </c>
      <c r="M522" s="192">
        <f t="shared" si="131"/>
        <v>341.14750000000004</v>
      </c>
      <c r="N522" s="31">
        <f t="shared" si="132"/>
        <v>65.1525</v>
      </c>
      <c r="O522" s="111">
        <f t="shared" si="125"/>
        <v>406.30000000000007</v>
      </c>
      <c r="P522" s="31">
        <f t="shared" si="128"/>
        <v>221.74587500000004</v>
      </c>
      <c r="Q522" s="31">
        <f t="shared" si="129"/>
        <v>42.349125</v>
      </c>
      <c r="R522" s="111">
        <f t="shared" si="130"/>
        <v>264.095</v>
      </c>
      <c r="S522" s="259"/>
      <c r="T522" s="260"/>
    </row>
    <row r="523" spans="1:20" s="91" customFormat="1" ht="24" customHeight="1">
      <c r="A523" s="85" t="s">
        <v>518</v>
      </c>
      <c r="B523" s="173"/>
      <c r="C523" s="87" t="s">
        <v>40</v>
      </c>
      <c r="D523" s="147" t="s">
        <v>560</v>
      </c>
      <c r="E523" s="145" t="s">
        <v>561</v>
      </c>
      <c r="F523" s="238">
        <v>-1165</v>
      </c>
      <c r="G523" s="234" t="s">
        <v>562</v>
      </c>
      <c r="H523" s="236" t="s">
        <v>563</v>
      </c>
      <c r="I523" s="145" t="s">
        <v>162</v>
      </c>
      <c r="J523" s="237">
        <v>99.06</v>
      </c>
      <c r="K523" s="12">
        <v>14.942000000000002</v>
      </c>
      <c r="L523" s="111">
        <v>114.00200000000001</v>
      </c>
      <c r="M523" s="192">
        <f t="shared" si="131"/>
        <v>84.201</v>
      </c>
      <c r="N523" s="31">
        <f t="shared" si="132"/>
        <v>12.700700000000001</v>
      </c>
      <c r="O523" s="111">
        <f t="shared" si="125"/>
        <v>96.90169999999999</v>
      </c>
      <c r="P523" s="31">
        <f t="shared" si="128"/>
        <v>54.73065</v>
      </c>
      <c r="Q523" s="31">
        <f t="shared" si="129"/>
        <v>8.255455000000001</v>
      </c>
      <c r="R523" s="111">
        <f t="shared" si="130"/>
        <v>62.986104999999995</v>
      </c>
      <c r="S523" s="259"/>
      <c r="T523" s="260"/>
    </row>
    <row r="524" spans="1:20" s="91" customFormat="1" ht="24" customHeight="1">
      <c r="A524" s="85" t="s">
        <v>518</v>
      </c>
      <c r="B524" s="173"/>
      <c r="C524" s="87" t="s">
        <v>40</v>
      </c>
      <c r="D524" s="147" t="s">
        <v>560</v>
      </c>
      <c r="E524" s="145" t="s">
        <v>561</v>
      </c>
      <c r="F524" s="238">
        <v>-7199</v>
      </c>
      <c r="G524" s="234" t="s">
        <v>547</v>
      </c>
      <c r="H524" s="236">
        <v>39034</v>
      </c>
      <c r="I524" s="145" t="s">
        <v>162</v>
      </c>
      <c r="J524" s="237">
        <v>114.58</v>
      </c>
      <c r="K524" s="12">
        <v>17.916</v>
      </c>
      <c r="L524" s="111">
        <v>132.496</v>
      </c>
      <c r="M524" s="192">
        <f t="shared" si="131"/>
        <v>97.393</v>
      </c>
      <c r="N524" s="31">
        <f t="shared" si="132"/>
        <v>15.2286</v>
      </c>
      <c r="O524" s="111">
        <f t="shared" si="125"/>
        <v>112.6216</v>
      </c>
      <c r="P524" s="31">
        <f t="shared" si="128"/>
        <v>63.30545</v>
      </c>
      <c r="Q524" s="31">
        <f t="shared" si="129"/>
        <v>9.89859</v>
      </c>
      <c r="R524" s="111">
        <f t="shared" si="130"/>
        <v>73.20404</v>
      </c>
      <c r="S524" s="259"/>
      <c r="T524" s="260"/>
    </row>
    <row r="525" spans="1:20" s="91" customFormat="1" ht="24" customHeight="1">
      <c r="A525" s="85" t="s">
        <v>518</v>
      </c>
      <c r="B525" s="173"/>
      <c r="C525" s="87" t="s">
        <v>40</v>
      </c>
      <c r="D525" s="147" t="s">
        <v>560</v>
      </c>
      <c r="E525" s="145" t="s">
        <v>561</v>
      </c>
      <c r="F525" s="238">
        <v>-4992</v>
      </c>
      <c r="G525" s="234" t="s">
        <v>547</v>
      </c>
      <c r="H525" s="236">
        <v>39034</v>
      </c>
      <c r="I525" s="145" t="s">
        <v>162</v>
      </c>
      <c r="J525" s="237">
        <v>174.01</v>
      </c>
      <c r="K525" s="12">
        <v>31.492000000000004</v>
      </c>
      <c r="L525" s="111">
        <v>205.502</v>
      </c>
      <c r="M525" s="192">
        <f t="shared" si="131"/>
        <v>147.90849999999998</v>
      </c>
      <c r="N525" s="31">
        <f t="shared" si="132"/>
        <v>26.768200000000004</v>
      </c>
      <c r="O525" s="111">
        <f t="shared" si="125"/>
        <v>174.67669999999998</v>
      </c>
      <c r="P525" s="31">
        <f t="shared" si="128"/>
        <v>96.14052499999998</v>
      </c>
      <c r="Q525" s="31">
        <f t="shared" si="129"/>
        <v>17.399330000000003</v>
      </c>
      <c r="R525" s="111">
        <f t="shared" si="130"/>
        <v>113.53985499999999</v>
      </c>
      <c r="S525" s="259"/>
      <c r="T525" s="260"/>
    </row>
    <row r="526" spans="1:20" s="91" customFormat="1" ht="24" customHeight="1">
      <c r="A526" s="85" t="s">
        <v>518</v>
      </c>
      <c r="B526" s="173"/>
      <c r="C526" s="87" t="s">
        <v>40</v>
      </c>
      <c r="D526" s="147" t="s">
        <v>560</v>
      </c>
      <c r="E526" s="145" t="s">
        <v>561</v>
      </c>
      <c r="F526" s="238">
        <v>-2341</v>
      </c>
      <c r="G526" s="234" t="s">
        <v>547</v>
      </c>
      <c r="H526" s="236">
        <v>39034</v>
      </c>
      <c r="I526" s="145" t="s">
        <v>162</v>
      </c>
      <c r="J526" s="237">
        <v>347.27</v>
      </c>
      <c r="K526" s="12">
        <v>66.234</v>
      </c>
      <c r="L526" s="111">
        <v>413.5</v>
      </c>
      <c r="M526" s="192">
        <f t="shared" si="131"/>
        <v>295.17949999999996</v>
      </c>
      <c r="N526" s="31">
        <f t="shared" si="132"/>
        <v>56.298899999999996</v>
      </c>
      <c r="O526" s="111">
        <f t="shared" si="125"/>
        <v>351.47839999999997</v>
      </c>
      <c r="P526" s="31">
        <f t="shared" si="128"/>
        <v>191.866675</v>
      </c>
      <c r="Q526" s="31">
        <f t="shared" si="129"/>
        <v>36.594285</v>
      </c>
      <c r="R526" s="111">
        <f t="shared" si="130"/>
        <v>228.46096</v>
      </c>
      <c r="S526" s="259"/>
      <c r="T526" s="260"/>
    </row>
    <row r="527" spans="1:20" s="91" customFormat="1" ht="24" customHeight="1">
      <c r="A527" s="85" t="s">
        <v>518</v>
      </c>
      <c r="B527" s="173"/>
      <c r="C527" s="87" t="s">
        <v>40</v>
      </c>
      <c r="D527" s="147" t="s">
        <v>564</v>
      </c>
      <c r="E527" s="145"/>
      <c r="F527" s="238"/>
      <c r="G527" s="234"/>
      <c r="H527" s="236"/>
      <c r="I527" s="145" t="s">
        <v>153</v>
      </c>
      <c r="J527" s="237"/>
      <c r="K527" s="12"/>
      <c r="L527" s="111">
        <v>1885.33</v>
      </c>
      <c r="M527" s="192">
        <v>1885.33</v>
      </c>
      <c r="N527" s="31"/>
      <c r="O527" s="111">
        <f t="shared" si="125"/>
        <v>1885.33</v>
      </c>
      <c r="P527" s="31">
        <f t="shared" si="128"/>
        <v>1225.4645</v>
      </c>
      <c r="Q527" s="31">
        <f t="shared" si="129"/>
        <v>0</v>
      </c>
      <c r="R527" s="111">
        <f t="shared" si="130"/>
        <v>1225.4645</v>
      </c>
      <c r="S527" s="259"/>
      <c r="T527" s="260"/>
    </row>
    <row r="528" spans="1:20" s="91" customFormat="1" ht="24" customHeight="1">
      <c r="A528" s="85" t="s">
        <v>518</v>
      </c>
      <c r="B528" s="173"/>
      <c r="C528" s="87" t="s">
        <v>40</v>
      </c>
      <c r="D528" s="147" t="s">
        <v>565</v>
      </c>
      <c r="E528" s="145"/>
      <c r="F528" s="238"/>
      <c r="G528" s="234"/>
      <c r="H528" s="236"/>
      <c r="I528" s="145" t="s">
        <v>153</v>
      </c>
      <c r="J528" s="237"/>
      <c r="K528" s="12"/>
      <c r="L528" s="111">
        <v>566.88</v>
      </c>
      <c r="M528" s="192">
        <v>566.88</v>
      </c>
      <c r="N528" s="31"/>
      <c r="O528" s="111">
        <f t="shared" si="125"/>
        <v>566.88</v>
      </c>
      <c r="P528" s="31">
        <f t="shared" si="128"/>
        <v>368.47200000000004</v>
      </c>
      <c r="Q528" s="31">
        <f t="shared" si="129"/>
        <v>0</v>
      </c>
      <c r="R528" s="111">
        <f t="shared" si="130"/>
        <v>368.47200000000004</v>
      </c>
      <c r="S528" s="259"/>
      <c r="T528" s="260"/>
    </row>
    <row r="529" spans="1:20" s="91" customFormat="1" ht="24" customHeight="1">
      <c r="A529" s="85" t="s">
        <v>518</v>
      </c>
      <c r="B529" s="173"/>
      <c r="C529" s="87" t="s">
        <v>40</v>
      </c>
      <c r="D529" s="147" t="s">
        <v>566</v>
      </c>
      <c r="E529" s="145"/>
      <c r="F529" s="238"/>
      <c r="G529" s="234"/>
      <c r="H529" s="236"/>
      <c r="I529" s="145" t="s">
        <v>153</v>
      </c>
      <c r="J529" s="237"/>
      <c r="K529" s="12"/>
      <c r="L529" s="111">
        <v>420.7</v>
      </c>
      <c r="M529" s="192">
        <v>420.7</v>
      </c>
      <c r="N529" s="31"/>
      <c r="O529" s="111">
        <f t="shared" si="125"/>
        <v>420.7</v>
      </c>
      <c r="P529" s="31">
        <f t="shared" si="128"/>
        <v>273.455</v>
      </c>
      <c r="Q529" s="31">
        <f t="shared" si="129"/>
        <v>0</v>
      </c>
      <c r="R529" s="111">
        <f t="shared" si="130"/>
        <v>273.455</v>
      </c>
      <c r="S529" s="259"/>
      <c r="T529" s="260"/>
    </row>
    <row r="530" spans="1:20" s="91" customFormat="1" ht="24" customHeight="1">
      <c r="A530" s="85" t="s">
        <v>518</v>
      </c>
      <c r="B530" s="173"/>
      <c r="C530" s="87" t="s">
        <v>40</v>
      </c>
      <c r="D530" s="147" t="s">
        <v>567</v>
      </c>
      <c r="E530" s="145"/>
      <c r="F530" s="238"/>
      <c r="G530" s="234"/>
      <c r="H530" s="236"/>
      <c r="I530" s="145" t="s">
        <v>153</v>
      </c>
      <c r="J530" s="237"/>
      <c r="K530" s="12"/>
      <c r="L530" s="111">
        <v>1314.35</v>
      </c>
      <c r="M530" s="192">
        <v>1314.35</v>
      </c>
      <c r="N530" s="31"/>
      <c r="O530" s="111">
        <f t="shared" si="125"/>
        <v>1314.35</v>
      </c>
      <c r="P530" s="31">
        <f t="shared" si="128"/>
        <v>854.3275</v>
      </c>
      <c r="Q530" s="31">
        <f t="shared" si="129"/>
        <v>0</v>
      </c>
      <c r="R530" s="111">
        <f t="shared" si="130"/>
        <v>854.3275</v>
      </c>
      <c r="S530" s="259"/>
      <c r="T530" s="260"/>
    </row>
    <row r="531" spans="1:20" s="91" customFormat="1" ht="24" customHeight="1">
      <c r="A531" s="85" t="s">
        <v>518</v>
      </c>
      <c r="B531" s="173"/>
      <c r="C531" s="87" t="s">
        <v>40</v>
      </c>
      <c r="D531" s="147" t="s">
        <v>568</v>
      </c>
      <c r="E531" s="145"/>
      <c r="F531" s="238"/>
      <c r="G531" s="234"/>
      <c r="H531" s="236"/>
      <c r="I531" s="145" t="s">
        <v>153</v>
      </c>
      <c r="J531" s="237"/>
      <c r="K531" s="12"/>
      <c r="L531" s="111">
        <v>231.8</v>
      </c>
      <c r="M531" s="192">
        <v>231.8</v>
      </c>
      <c r="N531" s="31"/>
      <c r="O531" s="111">
        <f t="shared" si="125"/>
        <v>231.8</v>
      </c>
      <c r="P531" s="31">
        <f t="shared" si="128"/>
        <v>150.67000000000002</v>
      </c>
      <c r="Q531" s="31">
        <f t="shared" si="129"/>
        <v>0</v>
      </c>
      <c r="R531" s="111">
        <f t="shared" si="130"/>
        <v>150.67000000000002</v>
      </c>
      <c r="S531" s="261"/>
      <c r="T531" s="262"/>
    </row>
    <row r="532" spans="1:20" s="91" customFormat="1" ht="24" customHeight="1">
      <c r="A532" s="85" t="s">
        <v>518</v>
      </c>
      <c r="B532" s="86"/>
      <c r="C532" s="14" t="s">
        <v>41</v>
      </c>
      <c r="D532" s="147" t="s">
        <v>572</v>
      </c>
      <c r="E532" s="145" t="s">
        <v>573</v>
      </c>
      <c r="F532" s="238">
        <v>9</v>
      </c>
      <c r="G532" s="234">
        <v>38914</v>
      </c>
      <c r="H532" s="236">
        <v>38981</v>
      </c>
      <c r="I532" s="145" t="s">
        <v>328</v>
      </c>
      <c r="J532" s="237">
        <v>500</v>
      </c>
      <c r="K532" s="12">
        <v>100</v>
      </c>
      <c r="L532" s="111">
        <v>600</v>
      </c>
      <c r="M532" s="237">
        <v>500</v>
      </c>
      <c r="N532" s="31"/>
      <c r="O532" s="111">
        <f>+N532+M532</f>
        <v>500</v>
      </c>
      <c r="P532" s="31">
        <f aca="true" t="shared" si="133" ref="P532:Q534">+M532*0.65</f>
        <v>325</v>
      </c>
      <c r="Q532" s="31">
        <f t="shared" si="133"/>
        <v>0</v>
      </c>
      <c r="R532" s="111">
        <f>+Q532+P532</f>
        <v>325</v>
      </c>
      <c r="S532" s="261"/>
      <c r="T532" s="262"/>
    </row>
    <row r="533" spans="1:20" s="91" customFormat="1" ht="24" customHeight="1">
      <c r="A533" s="85" t="s">
        <v>518</v>
      </c>
      <c r="B533" s="86"/>
      <c r="C533" s="14" t="s">
        <v>41</v>
      </c>
      <c r="D533" s="147" t="s">
        <v>572</v>
      </c>
      <c r="E533" s="145" t="s">
        <v>573</v>
      </c>
      <c r="F533" s="238">
        <v>10</v>
      </c>
      <c r="G533" s="234">
        <v>39020</v>
      </c>
      <c r="H533" s="236">
        <v>39008</v>
      </c>
      <c r="I533" s="145" t="s">
        <v>328</v>
      </c>
      <c r="J533" s="237">
        <v>500</v>
      </c>
      <c r="K533" s="12">
        <v>100</v>
      </c>
      <c r="L533" s="111">
        <v>600</v>
      </c>
      <c r="M533" s="237">
        <v>500</v>
      </c>
      <c r="N533" s="31"/>
      <c r="O533" s="111">
        <f>+N533+M533</f>
        <v>500</v>
      </c>
      <c r="P533" s="31">
        <f t="shared" si="133"/>
        <v>325</v>
      </c>
      <c r="Q533" s="31">
        <f t="shared" si="133"/>
        <v>0</v>
      </c>
      <c r="R533" s="111">
        <f>+Q533+P533</f>
        <v>325</v>
      </c>
      <c r="S533" s="261"/>
      <c r="T533" s="262"/>
    </row>
    <row r="534" spans="1:20" s="91" customFormat="1" ht="24" customHeight="1">
      <c r="A534" s="85" t="s">
        <v>518</v>
      </c>
      <c r="B534" s="86"/>
      <c r="C534" s="14" t="s">
        <v>41</v>
      </c>
      <c r="D534" s="147" t="s">
        <v>572</v>
      </c>
      <c r="E534" s="145" t="s">
        <v>573</v>
      </c>
      <c r="F534" s="238">
        <v>25</v>
      </c>
      <c r="G534" s="234">
        <v>39072</v>
      </c>
      <c r="H534" s="236"/>
      <c r="I534" s="145"/>
      <c r="J534" s="237">
        <v>500</v>
      </c>
      <c r="K534" s="12">
        <v>100</v>
      </c>
      <c r="L534" s="111">
        <v>600</v>
      </c>
      <c r="M534" s="237">
        <v>500</v>
      </c>
      <c r="N534" s="31"/>
      <c r="O534" s="111">
        <f>+N534+M534</f>
        <v>500</v>
      </c>
      <c r="P534" s="31">
        <f t="shared" si="133"/>
        <v>325</v>
      </c>
      <c r="Q534" s="31">
        <f t="shared" si="133"/>
        <v>0</v>
      </c>
      <c r="R534" s="111">
        <f>+Q534+P534</f>
        <v>325</v>
      </c>
      <c r="S534" s="261"/>
      <c r="T534" s="262"/>
    </row>
    <row r="535" spans="1:20" s="91" customFormat="1" ht="24" customHeight="1">
      <c r="A535" s="85" t="s">
        <v>518</v>
      </c>
      <c r="B535" s="86"/>
      <c r="C535" s="14" t="s">
        <v>41</v>
      </c>
      <c r="D535" s="147" t="s">
        <v>574</v>
      </c>
      <c r="E535" s="145" t="s">
        <v>575</v>
      </c>
      <c r="F535" s="238">
        <v>20374</v>
      </c>
      <c r="G535" s="234">
        <v>39052</v>
      </c>
      <c r="H535" s="236">
        <v>39052</v>
      </c>
      <c r="I535" s="145" t="s">
        <v>576</v>
      </c>
      <c r="J535" s="237">
        <v>70</v>
      </c>
      <c r="K535" s="12">
        <v>0</v>
      </c>
      <c r="L535" s="111">
        <v>70</v>
      </c>
      <c r="M535" s="192"/>
      <c r="N535" s="31"/>
      <c r="O535" s="111"/>
      <c r="P535" s="31"/>
      <c r="Q535" s="31"/>
      <c r="R535" s="111"/>
      <c r="S535" s="391" t="s">
        <v>579</v>
      </c>
      <c r="T535" s="392"/>
    </row>
    <row r="536" spans="1:20" s="91" customFormat="1" ht="24" customHeight="1">
      <c r="A536" s="85" t="s">
        <v>518</v>
      </c>
      <c r="B536" s="86"/>
      <c r="C536" s="14" t="s">
        <v>41</v>
      </c>
      <c r="D536" s="147" t="s">
        <v>577</v>
      </c>
      <c r="E536" s="145" t="s">
        <v>578</v>
      </c>
      <c r="F536" s="238">
        <v>0</v>
      </c>
      <c r="G536" s="234">
        <v>39052</v>
      </c>
      <c r="H536" s="236">
        <v>39051</v>
      </c>
      <c r="I536" s="145" t="s">
        <v>576</v>
      </c>
      <c r="J536" s="237">
        <v>23</v>
      </c>
      <c r="K536" s="12">
        <v>0</v>
      </c>
      <c r="L536" s="111">
        <v>23</v>
      </c>
      <c r="M536" s="192"/>
      <c r="N536" s="31"/>
      <c r="O536" s="111"/>
      <c r="P536" s="31"/>
      <c r="Q536" s="31"/>
      <c r="R536" s="111"/>
      <c r="S536" s="393"/>
      <c r="T536" s="394"/>
    </row>
    <row r="537" spans="1:20" s="91" customFormat="1" ht="24" customHeight="1">
      <c r="A537" s="85" t="s">
        <v>518</v>
      </c>
      <c r="B537" s="86"/>
      <c r="C537" s="14" t="s">
        <v>41</v>
      </c>
      <c r="D537" s="147" t="s">
        <v>577</v>
      </c>
      <c r="E537" s="145" t="s">
        <v>578</v>
      </c>
      <c r="F537" s="238">
        <v>0</v>
      </c>
      <c r="G537" s="234">
        <v>39052</v>
      </c>
      <c r="H537" s="236">
        <v>39052</v>
      </c>
      <c r="I537" s="145" t="s">
        <v>576</v>
      </c>
      <c r="J537" s="237">
        <v>36.9</v>
      </c>
      <c r="K537" s="12">
        <v>0</v>
      </c>
      <c r="L537" s="111">
        <v>36.9</v>
      </c>
      <c r="M537" s="192"/>
      <c r="N537" s="31"/>
      <c r="O537" s="111"/>
      <c r="P537" s="31"/>
      <c r="Q537" s="31"/>
      <c r="R537" s="111"/>
      <c r="S537" s="393"/>
      <c r="T537" s="394"/>
    </row>
    <row r="538" spans="1:20" s="91" customFormat="1" ht="24" customHeight="1">
      <c r="A538" s="85" t="s">
        <v>518</v>
      </c>
      <c r="B538" s="86"/>
      <c r="C538" s="14" t="s">
        <v>41</v>
      </c>
      <c r="D538" s="147" t="s">
        <v>577</v>
      </c>
      <c r="E538" s="145" t="s">
        <v>578</v>
      </c>
      <c r="F538" s="238">
        <v>0</v>
      </c>
      <c r="G538" s="234">
        <v>39053</v>
      </c>
      <c r="H538" s="236">
        <v>39053</v>
      </c>
      <c r="I538" s="145" t="s">
        <v>576</v>
      </c>
      <c r="J538" s="237">
        <v>3.7</v>
      </c>
      <c r="K538" s="12">
        <v>0</v>
      </c>
      <c r="L538" s="111">
        <f>+K538+J538</f>
        <v>3.7</v>
      </c>
      <c r="M538" s="192"/>
      <c r="N538" s="31"/>
      <c r="O538" s="111"/>
      <c r="P538" s="31"/>
      <c r="Q538" s="31"/>
      <c r="R538" s="111"/>
      <c r="S538" s="393"/>
      <c r="T538" s="394"/>
    </row>
    <row r="539" spans="1:20" s="91" customFormat="1" ht="24" customHeight="1">
      <c r="A539" s="85" t="s">
        <v>518</v>
      </c>
      <c r="B539" s="86"/>
      <c r="C539" s="14" t="s">
        <v>41</v>
      </c>
      <c r="D539" s="147" t="s">
        <v>577</v>
      </c>
      <c r="E539" s="145" t="s">
        <v>578</v>
      </c>
      <c r="F539" s="238">
        <v>0</v>
      </c>
      <c r="G539" s="234">
        <v>39054</v>
      </c>
      <c r="H539" s="236">
        <v>39054</v>
      </c>
      <c r="I539" s="145" t="s">
        <v>576</v>
      </c>
      <c r="J539" s="237">
        <v>3.7</v>
      </c>
      <c r="K539" s="12">
        <v>0</v>
      </c>
      <c r="L539" s="111">
        <f>+K539+J539</f>
        <v>3.7</v>
      </c>
      <c r="M539" s="192"/>
      <c r="N539" s="31"/>
      <c r="O539" s="111"/>
      <c r="P539" s="31"/>
      <c r="Q539" s="31"/>
      <c r="R539" s="111"/>
      <c r="S539" s="393"/>
      <c r="T539" s="394"/>
    </row>
    <row r="540" spans="1:20" s="91" customFormat="1" ht="24" customHeight="1">
      <c r="A540" s="85" t="s">
        <v>518</v>
      </c>
      <c r="B540" s="86"/>
      <c r="C540" s="14" t="s">
        <v>41</v>
      </c>
      <c r="D540" s="147" t="s">
        <v>577</v>
      </c>
      <c r="E540" s="145" t="s">
        <v>578</v>
      </c>
      <c r="F540" s="238">
        <v>0</v>
      </c>
      <c r="G540" s="234">
        <v>39051</v>
      </c>
      <c r="H540" s="236">
        <v>39051</v>
      </c>
      <c r="I540" s="145" t="s">
        <v>576</v>
      </c>
      <c r="J540" s="237">
        <v>4.6</v>
      </c>
      <c r="K540" s="12">
        <v>0</v>
      </c>
      <c r="L540" s="111">
        <v>4.6</v>
      </c>
      <c r="M540" s="192"/>
      <c r="N540" s="31"/>
      <c r="O540" s="111"/>
      <c r="P540" s="31"/>
      <c r="Q540" s="31"/>
      <c r="R540" s="111"/>
      <c r="S540" s="393"/>
      <c r="T540" s="394"/>
    </row>
    <row r="541" spans="1:20" s="91" customFormat="1" ht="24" customHeight="1">
      <c r="A541" s="85" t="s">
        <v>518</v>
      </c>
      <c r="B541" s="86"/>
      <c r="C541" s="14" t="s">
        <v>41</v>
      </c>
      <c r="D541" s="147" t="s">
        <v>577</v>
      </c>
      <c r="E541" s="145" t="s">
        <v>578</v>
      </c>
      <c r="F541" s="238">
        <v>0</v>
      </c>
      <c r="G541" s="234">
        <v>39051</v>
      </c>
      <c r="H541" s="236">
        <v>39051</v>
      </c>
      <c r="I541" s="145" t="s">
        <v>576</v>
      </c>
      <c r="J541" s="237">
        <v>1.7</v>
      </c>
      <c r="K541" s="12">
        <v>0</v>
      </c>
      <c r="L541" s="111">
        <v>1.7</v>
      </c>
      <c r="M541" s="192"/>
      <c r="N541" s="31"/>
      <c r="O541" s="111"/>
      <c r="P541" s="31"/>
      <c r="Q541" s="31"/>
      <c r="R541" s="111"/>
      <c r="S541" s="393"/>
      <c r="T541" s="394"/>
    </row>
    <row r="542" spans="1:20" s="91" customFormat="1" ht="24" customHeight="1">
      <c r="A542" s="85" t="s">
        <v>518</v>
      </c>
      <c r="B542" s="86"/>
      <c r="C542" s="14" t="s">
        <v>41</v>
      </c>
      <c r="D542" s="147" t="s">
        <v>577</v>
      </c>
      <c r="E542" s="145" t="s">
        <v>578</v>
      </c>
      <c r="F542" s="238">
        <v>0</v>
      </c>
      <c r="G542" s="234">
        <v>39051</v>
      </c>
      <c r="H542" s="236">
        <v>39051</v>
      </c>
      <c r="I542" s="145" t="s">
        <v>576</v>
      </c>
      <c r="J542" s="237">
        <v>1.7</v>
      </c>
      <c r="K542" s="12">
        <v>0</v>
      </c>
      <c r="L542" s="111">
        <v>1.7</v>
      </c>
      <c r="M542" s="192"/>
      <c r="N542" s="31"/>
      <c r="O542" s="111"/>
      <c r="P542" s="31"/>
      <c r="Q542" s="31"/>
      <c r="R542" s="111"/>
      <c r="S542" s="395"/>
      <c r="T542" s="396"/>
    </row>
    <row r="543" spans="1:20" s="91" customFormat="1" ht="24" customHeight="1">
      <c r="A543" s="85" t="s">
        <v>518</v>
      </c>
      <c r="B543" s="86"/>
      <c r="C543" s="67" t="s">
        <v>125</v>
      </c>
      <c r="D543" s="147" t="s">
        <v>580</v>
      </c>
      <c r="E543" s="145" t="s">
        <v>581</v>
      </c>
      <c r="F543" s="238">
        <v>17</v>
      </c>
      <c r="G543" s="234">
        <v>39006</v>
      </c>
      <c r="H543" s="236">
        <v>39056</v>
      </c>
      <c r="I543" s="145" t="s">
        <v>582</v>
      </c>
      <c r="J543" s="237">
        <v>550</v>
      </c>
      <c r="K543" s="12">
        <v>110</v>
      </c>
      <c r="L543" s="111">
        <v>660</v>
      </c>
      <c r="M543" s="192">
        <f>+J543</f>
        <v>550</v>
      </c>
      <c r="N543" s="12">
        <v>110</v>
      </c>
      <c r="O543" s="111">
        <f>+N543+M543</f>
        <v>660</v>
      </c>
      <c r="P543" s="31">
        <f aca="true" t="shared" si="134" ref="P543:Q549">+M543*0.65</f>
        <v>357.5</v>
      </c>
      <c r="Q543" s="31">
        <f t="shared" si="134"/>
        <v>71.5</v>
      </c>
      <c r="R543" s="111">
        <f aca="true" t="shared" si="135" ref="R543:R548">+Q543+P543</f>
        <v>429</v>
      </c>
      <c r="S543" s="397"/>
      <c r="T543" s="398"/>
    </row>
    <row r="544" spans="1:20" s="91" customFormat="1" ht="24" customHeight="1">
      <c r="A544" s="85" t="s">
        <v>518</v>
      </c>
      <c r="B544" s="86"/>
      <c r="C544" s="67" t="s">
        <v>125</v>
      </c>
      <c r="D544" s="147" t="s">
        <v>583</v>
      </c>
      <c r="E544" s="145" t="s">
        <v>225</v>
      </c>
      <c r="F544" s="238" t="s">
        <v>584</v>
      </c>
      <c r="G544" s="234">
        <v>38748</v>
      </c>
      <c r="H544" s="236">
        <v>39038</v>
      </c>
      <c r="I544" s="145" t="s">
        <v>328</v>
      </c>
      <c r="J544" s="237"/>
      <c r="K544" s="12"/>
      <c r="L544" s="111">
        <v>76.2</v>
      </c>
      <c r="M544" s="192">
        <f>+L544</f>
        <v>76.2</v>
      </c>
      <c r="N544" s="31"/>
      <c r="O544" s="111">
        <f>+N544+M544</f>
        <v>76.2</v>
      </c>
      <c r="P544" s="31">
        <f t="shared" si="134"/>
        <v>49.53</v>
      </c>
      <c r="Q544" s="31">
        <f t="shared" si="134"/>
        <v>0</v>
      </c>
      <c r="R544" s="111">
        <f t="shared" si="135"/>
        <v>49.53</v>
      </c>
      <c r="S544" s="261"/>
      <c r="T544" s="262"/>
    </row>
    <row r="545" spans="1:20" s="91" customFormat="1" ht="24" customHeight="1">
      <c r="A545" s="85" t="s">
        <v>518</v>
      </c>
      <c r="B545" s="86"/>
      <c r="C545" s="67" t="s">
        <v>125</v>
      </c>
      <c r="D545" s="147" t="s">
        <v>585</v>
      </c>
      <c r="E545" s="145" t="s">
        <v>225</v>
      </c>
      <c r="F545" s="238" t="s">
        <v>586</v>
      </c>
      <c r="G545" s="234">
        <v>38860</v>
      </c>
      <c r="H545" s="236">
        <v>39044</v>
      </c>
      <c r="I545" s="145" t="s">
        <v>328</v>
      </c>
      <c r="J545" s="237"/>
      <c r="K545" s="12"/>
      <c r="L545" s="111">
        <v>310.19</v>
      </c>
      <c r="M545" s="192">
        <f>+L545</f>
        <v>310.19</v>
      </c>
      <c r="N545" s="31"/>
      <c r="O545" s="111">
        <f>+N545+M545</f>
        <v>310.19</v>
      </c>
      <c r="P545" s="31">
        <f t="shared" si="134"/>
        <v>201.6235</v>
      </c>
      <c r="Q545" s="31">
        <f t="shared" si="134"/>
        <v>0</v>
      </c>
      <c r="R545" s="111">
        <f t="shared" si="135"/>
        <v>201.6235</v>
      </c>
      <c r="S545" s="261"/>
      <c r="T545" s="262"/>
    </row>
    <row r="546" spans="1:20" s="91" customFormat="1" ht="24" customHeight="1">
      <c r="A546" s="85" t="s">
        <v>518</v>
      </c>
      <c r="B546" s="86"/>
      <c r="C546" s="67" t="s">
        <v>125</v>
      </c>
      <c r="D546" s="147" t="s">
        <v>587</v>
      </c>
      <c r="E546" s="145" t="s">
        <v>225</v>
      </c>
      <c r="F546" s="238" t="s">
        <v>588</v>
      </c>
      <c r="G546" s="234">
        <v>38848</v>
      </c>
      <c r="H546" s="236">
        <v>39044</v>
      </c>
      <c r="I546" s="145" t="s">
        <v>328</v>
      </c>
      <c r="J546" s="237"/>
      <c r="K546" s="12"/>
      <c r="L546" s="111">
        <v>320.35</v>
      </c>
      <c r="M546" s="192">
        <f>+L546</f>
        <v>320.35</v>
      </c>
      <c r="N546" s="31"/>
      <c r="O546" s="111">
        <f>+N546+M546</f>
        <v>320.35</v>
      </c>
      <c r="P546" s="31">
        <f t="shared" si="134"/>
        <v>208.22750000000002</v>
      </c>
      <c r="Q546" s="31">
        <f t="shared" si="134"/>
        <v>0</v>
      </c>
      <c r="R546" s="111">
        <f t="shared" si="135"/>
        <v>208.22750000000002</v>
      </c>
      <c r="S546" s="261"/>
      <c r="T546" s="262"/>
    </row>
    <row r="547" spans="1:20" s="91" customFormat="1" ht="24" customHeight="1">
      <c r="A547" s="85" t="s">
        <v>518</v>
      </c>
      <c r="B547" s="86"/>
      <c r="C547" s="67" t="s">
        <v>592</v>
      </c>
      <c r="D547" s="147" t="s">
        <v>589</v>
      </c>
      <c r="E547" s="145" t="s">
        <v>590</v>
      </c>
      <c r="F547" s="238">
        <v>697</v>
      </c>
      <c r="G547" s="234">
        <v>38863</v>
      </c>
      <c r="H547" s="236">
        <v>38988</v>
      </c>
      <c r="I547" s="145" t="s">
        <v>591</v>
      </c>
      <c r="J547" s="237">
        <v>466.78</v>
      </c>
      <c r="K547" s="12">
        <v>93.36</v>
      </c>
      <c r="L547" s="111">
        <v>560.14</v>
      </c>
      <c r="M547" s="237">
        <v>466.78</v>
      </c>
      <c r="N547" s="12">
        <v>93.36</v>
      </c>
      <c r="O547" s="111">
        <v>560.14</v>
      </c>
      <c r="P547" s="31">
        <f t="shared" si="134"/>
        <v>303.407</v>
      </c>
      <c r="Q547" s="31">
        <f t="shared" si="134"/>
        <v>60.684000000000005</v>
      </c>
      <c r="R547" s="111">
        <f t="shared" si="135"/>
        <v>364.091</v>
      </c>
      <c r="S547" s="261"/>
      <c r="T547" s="262"/>
    </row>
    <row r="548" spans="1:20" s="91" customFormat="1" ht="24" customHeight="1">
      <c r="A548" s="85" t="s">
        <v>594</v>
      </c>
      <c r="B548" s="173"/>
      <c r="C548" s="87" t="s">
        <v>439</v>
      </c>
      <c r="D548" s="147"/>
      <c r="E548" s="145"/>
      <c r="F548" s="238"/>
      <c r="G548" s="234"/>
      <c r="H548" s="236"/>
      <c r="I548" s="145"/>
      <c r="J548" s="237">
        <v>23747.86</v>
      </c>
      <c r="K548" s="12"/>
      <c r="L548" s="111">
        <f>+J548+K548</f>
        <v>23747.86</v>
      </c>
      <c r="M548" s="237">
        <v>23747.86</v>
      </c>
      <c r="N548" s="12"/>
      <c r="O548" s="111">
        <f>+M548+N548</f>
        <v>23747.86</v>
      </c>
      <c r="P548" s="31">
        <f>+M548*0.65</f>
        <v>15436.109</v>
      </c>
      <c r="Q548" s="31">
        <f>+N548*0.65</f>
        <v>0</v>
      </c>
      <c r="R548" s="111">
        <f t="shared" si="135"/>
        <v>15436.109</v>
      </c>
      <c r="S548" s="261"/>
      <c r="T548" s="262"/>
    </row>
    <row r="549" spans="1:20" s="91" customFormat="1" ht="36" customHeight="1">
      <c r="A549" s="85" t="s">
        <v>594</v>
      </c>
      <c r="B549" s="173"/>
      <c r="C549" s="67" t="s">
        <v>592</v>
      </c>
      <c r="D549" s="147" t="s">
        <v>602</v>
      </c>
      <c r="E549" s="145" t="s">
        <v>603</v>
      </c>
      <c r="F549" s="238" t="s">
        <v>604</v>
      </c>
      <c r="G549" s="234">
        <v>38925</v>
      </c>
      <c r="H549" s="236">
        <v>39153</v>
      </c>
      <c r="I549" s="145" t="s">
        <v>364</v>
      </c>
      <c r="J549" s="237">
        <v>432.15</v>
      </c>
      <c r="K549" s="12">
        <v>86.43</v>
      </c>
      <c r="L549" s="111">
        <v>518.58</v>
      </c>
      <c r="M549" s="237">
        <v>432.15</v>
      </c>
      <c r="N549" s="12">
        <v>86.43</v>
      </c>
      <c r="O549" s="111">
        <v>518.58</v>
      </c>
      <c r="P549" s="31">
        <f t="shared" si="134"/>
        <v>280.8975</v>
      </c>
      <c r="Q549" s="31">
        <f t="shared" si="134"/>
        <v>56.179500000000004</v>
      </c>
      <c r="R549" s="111">
        <f aca="true" t="shared" si="136" ref="R549:R572">+Q549+P549</f>
        <v>337.077</v>
      </c>
      <c r="S549" s="261"/>
      <c r="T549" s="262"/>
    </row>
    <row r="550" spans="1:20" s="91" customFormat="1" ht="24" customHeight="1">
      <c r="A550" s="85" t="s">
        <v>594</v>
      </c>
      <c r="B550" s="173"/>
      <c r="C550" s="67" t="s">
        <v>125</v>
      </c>
      <c r="D550" s="147" t="s">
        <v>605</v>
      </c>
      <c r="E550" s="145" t="s">
        <v>606</v>
      </c>
      <c r="F550" s="238">
        <v>34</v>
      </c>
      <c r="G550" s="234">
        <v>39041</v>
      </c>
      <c r="H550" s="236">
        <v>39119</v>
      </c>
      <c r="I550" s="145" t="s">
        <v>328</v>
      </c>
      <c r="J550" s="237">
        <v>570</v>
      </c>
      <c r="K550" s="12">
        <v>114</v>
      </c>
      <c r="L550" s="111">
        <v>684</v>
      </c>
      <c r="M550" s="237"/>
      <c r="N550" s="12"/>
      <c r="O550" s="111"/>
      <c r="P550" s="31">
        <f aca="true" t="shared" si="137" ref="P550:P572">+M550*0.65</f>
        <v>0</v>
      </c>
      <c r="Q550" s="31">
        <f aca="true" t="shared" si="138" ref="Q550:Q572">+N550*0.65</f>
        <v>0</v>
      </c>
      <c r="R550" s="111">
        <f t="shared" si="136"/>
        <v>0</v>
      </c>
      <c r="S550" s="351" t="s">
        <v>677</v>
      </c>
      <c r="T550" s="352"/>
    </row>
    <row r="551" spans="1:20" s="91" customFormat="1" ht="24" customHeight="1">
      <c r="A551" s="85" t="s">
        <v>594</v>
      </c>
      <c r="B551" s="173"/>
      <c r="C551" s="87" t="s">
        <v>40</v>
      </c>
      <c r="D551" s="147" t="s">
        <v>521</v>
      </c>
      <c r="E551" s="145" t="s">
        <v>522</v>
      </c>
      <c r="F551" s="238">
        <v>46</v>
      </c>
      <c r="G551" s="234">
        <v>39106</v>
      </c>
      <c r="H551" s="236">
        <v>39106</v>
      </c>
      <c r="I551" s="145" t="s">
        <v>524</v>
      </c>
      <c r="J551" s="237">
        <v>500</v>
      </c>
      <c r="K551" s="12">
        <v>100</v>
      </c>
      <c r="L551" s="111">
        <v>600</v>
      </c>
      <c r="M551" s="192">
        <f aca="true" t="shared" si="139" ref="M551:N554">+J551*0.85</f>
        <v>425</v>
      </c>
      <c r="N551" s="192">
        <f t="shared" si="139"/>
        <v>85</v>
      </c>
      <c r="O551" s="111">
        <f aca="true" t="shared" si="140" ref="O551:O572">+N551+M551</f>
        <v>510</v>
      </c>
      <c r="P551" s="31">
        <f t="shared" si="137"/>
        <v>276.25</v>
      </c>
      <c r="Q551" s="31">
        <f t="shared" si="138"/>
        <v>55.25</v>
      </c>
      <c r="R551" s="111">
        <f t="shared" si="136"/>
        <v>331.5</v>
      </c>
      <c r="S551" s="261"/>
      <c r="T551" s="262"/>
    </row>
    <row r="552" spans="1:20" s="91" customFormat="1" ht="24" customHeight="1">
      <c r="A552" s="85" t="s">
        <v>594</v>
      </c>
      <c r="B552" s="173"/>
      <c r="C552" s="87" t="s">
        <v>40</v>
      </c>
      <c r="D552" s="147" t="s">
        <v>521</v>
      </c>
      <c r="E552" s="145" t="s">
        <v>522</v>
      </c>
      <c r="F552" s="238">
        <v>557</v>
      </c>
      <c r="G552" s="234">
        <v>39142</v>
      </c>
      <c r="H552" s="236">
        <v>39142</v>
      </c>
      <c r="I552" s="145" t="s">
        <v>524</v>
      </c>
      <c r="J552" s="237">
        <v>500</v>
      </c>
      <c r="K552" s="12">
        <v>100</v>
      </c>
      <c r="L552" s="111">
        <v>600</v>
      </c>
      <c r="M552" s="192">
        <f t="shared" si="139"/>
        <v>425</v>
      </c>
      <c r="N552" s="192">
        <f t="shared" si="139"/>
        <v>85</v>
      </c>
      <c r="O552" s="111">
        <f t="shared" si="140"/>
        <v>510</v>
      </c>
      <c r="P552" s="31">
        <f t="shared" si="137"/>
        <v>276.25</v>
      </c>
      <c r="Q552" s="31">
        <f t="shared" si="138"/>
        <v>55.25</v>
      </c>
      <c r="R552" s="111">
        <f t="shared" si="136"/>
        <v>331.5</v>
      </c>
      <c r="S552" s="261"/>
      <c r="T552" s="262"/>
    </row>
    <row r="553" spans="1:20" s="91" customFormat="1" ht="24" customHeight="1">
      <c r="A553" s="85" t="s">
        <v>594</v>
      </c>
      <c r="B553" s="173"/>
      <c r="C553" s="87" t="s">
        <v>40</v>
      </c>
      <c r="D553" s="147" t="s">
        <v>521</v>
      </c>
      <c r="E553" s="145" t="s">
        <v>522</v>
      </c>
      <c r="F553" s="238">
        <v>1118</v>
      </c>
      <c r="G553" s="234">
        <v>39174</v>
      </c>
      <c r="H553" s="236">
        <v>39171</v>
      </c>
      <c r="I553" s="145" t="s">
        <v>524</v>
      </c>
      <c r="J553" s="237">
        <v>500</v>
      </c>
      <c r="K553" s="12">
        <v>100</v>
      </c>
      <c r="L553" s="111">
        <v>600</v>
      </c>
      <c r="M553" s="192">
        <f t="shared" si="139"/>
        <v>425</v>
      </c>
      <c r="N553" s="192">
        <f t="shared" si="139"/>
        <v>85</v>
      </c>
      <c r="O553" s="111">
        <f t="shared" si="140"/>
        <v>510</v>
      </c>
      <c r="P553" s="31">
        <f t="shared" si="137"/>
        <v>276.25</v>
      </c>
      <c r="Q553" s="31">
        <f t="shared" si="138"/>
        <v>55.25</v>
      </c>
      <c r="R553" s="111">
        <f t="shared" si="136"/>
        <v>331.5</v>
      </c>
      <c r="S553" s="261"/>
      <c r="T553" s="262"/>
    </row>
    <row r="554" spans="1:20" s="91" customFormat="1" ht="24" customHeight="1">
      <c r="A554" s="85" t="s">
        <v>594</v>
      </c>
      <c r="B554" s="173"/>
      <c r="C554" s="87" t="s">
        <v>40</v>
      </c>
      <c r="D554" s="147" t="s">
        <v>521</v>
      </c>
      <c r="E554" s="145" t="s">
        <v>522</v>
      </c>
      <c r="F554" s="238">
        <v>1672</v>
      </c>
      <c r="G554" s="234">
        <v>39204</v>
      </c>
      <c r="H554" s="236">
        <v>39202</v>
      </c>
      <c r="I554" s="145" t="s">
        <v>524</v>
      </c>
      <c r="J554" s="237">
        <v>500</v>
      </c>
      <c r="K554" s="12">
        <v>100</v>
      </c>
      <c r="L554" s="111">
        <v>600</v>
      </c>
      <c r="M554" s="192">
        <f t="shared" si="139"/>
        <v>425</v>
      </c>
      <c r="N554" s="192">
        <f t="shared" si="139"/>
        <v>85</v>
      </c>
      <c r="O554" s="111">
        <f t="shared" si="140"/>
        <v>510</v>
      </c>
      <c r="P554" s="31">
        <f t="shared" si="137"/>
        <v>276.25</v>
      </c>
      <c r="Q554" s="31">
        <f t="shared" si="138"/>
        <v>55.25</v>
      </c>
      <c r="R554" s="111">
        <f t="shared" si="136"/>
        <v>331.5</v>
      </c>
      <c r="S554" s="261"/>
      <c r="T554" s="262"/>
    </row>
    <row r="555" spans="1:20" s="91" customFormat="1" ht="24" customHeight="1">
      <c r="A555" s="85" t="s">
        <v>594</v>
      </c>
      <c r="B555" s="173"/>
      <c r="C555" s="87" t="s">
        <v>40</v>
      </c>
      <c r="D555" s="147" t="s">
        <v>177</v>
      </c>
      <c r="E555" s="145" t="s">
        <v>531</v>
      </c>
      <c r="F555" s="238">
        <v>39083</v>
      </c>
      <c r="G555" s="234">
        <v>39090</v>
      </c>
      <c r="H555" s="236">
        <v>39091</v>
      </c>
      <c r="I555" s="145" t="s">
        <v>179</v>
      </c>
      <c r="J555" s="237">
        <v>571</v>
      </c>
      <c r="K555" s="12"/>
      <c r="L555" s="111">
        <v>571</v>
      </c>
      <c r="M555" s="192">
        <f>+J555*0.85</f>
        <v>485.34999999999997</v>
      </c>
      <c r="N555" s="31"/>
      <c r="O555" s="111">
        <f t="shared" si="140"/>
        <v>485.34999999999997</v>
      </c>
      <c r="P555" s="31">
        <f t="shared" si="137"/>
        <v>315.47749999999996</v>
      </c>
      <c r="Q555" s="31">
        <f t="shared" si="138"/>
        <v>0</v>
      </c>
      <c r="R555" s="111">
        <f t="shared" si="136"/>
        <v>315.47749999999996</v>
      </c>
      <c r="S555" s="261"/>
      <c r="T555" s="262"/>
    </row>
    <row r="556" spans="1:20" s="91" customFormat="1" ht="24" customHeight="1">
      <c r="A556" s="85" t="s">
        <v>594</v>
      </c>
      <c r="B556" s="173"/>
      <c r="C556" s="87" t="s">
        <v>40</v>
      </c>
      <c r="D556" s="147" t="s">
        <v>177</v>
      </c>
      <c r="E556" s="145" t="s">
        <v>531</v>
      </c>
      <c r="F556" s="238">
        <v>39114</v>
      </c>
      <c r="G556" s="234">
        <v>38753</v>
      </c>
      <c r="H556" s="236">
        <v>39120</v>
      </c>
      <c r="I556" s="145" t="s">
        <v>179</v>
      </c>
      <c r="J556" s="237">
        <v>571</v>
      </c>
      <c r="K556" s="12"/>
      <c r="L556" s="111">
        <v>571</v>
      </c>
      <c r="M556" s="192">
        <f>+J556*0.85</f>
        <v>485.34999999999997</v>
      </c>
      <c r="N556" s="31"/>
      <c r="O556" s="111">
        <f t="shared" si="140"/>
        <v>485.34999999999997</v>
      </c>
      <c r="P556" s="31">
        <f t="shared" si="137"/>
        <v>315.47749999999996</v>
      </c>
      <c r="Q556" s="31">
        <f t="shared" si="138"/>
        <v>0</v>
      </c>
      <c r="R556" s="111">
        <f t="shared" si="136"/>
        <v>315.47749999999996</v>
      </c>
      <c r="S556" s="261"/>
      <c r="T556" s="262"/>
    </row>
    <row r="557" spans="1:20" s="91" customFormat="1" ht="24" customHeight="1">
      <c r="A557" s="85" t="s">
        <v>594</v>
      </c>
      <c r="B557" s="173"/>
      <c r="C557" s="87" t="s">
        <v>40</v>
      </c>
      <c r="D557" s="147" t="s">
        <v>177</v>
      </c>
      <c r="E557" s="145" t="s">
        <v>531</v>
      </c>
      <c r="F557" s="238">
        <v>39142</v>
      </c>
      <c r="G557" s="234">
        <v>39147</v>
      </c>
      <c r="H557" s="236">
        <v>39160</v>
      </c>
      <c r="I557" s="145" t="s">
        <v>179</v>
      </c>
      <c r="J557" s="237">
        <v>571</v>
      </c>
      <c r="K557" s="12"/>
      <c r="L557" s="111">
        <v>571</v>
      </c>
      <c r="M557" s="192">
        <f>+J557*0.85</f>
        <v>485.34999999999997</v>
      </c>
      <c r="N557" s="31"/>
      <c r="O557" s="111">
        <f t="shared" si="140"/>
        <v>485.34999999999997</v>
      </c>
      <c r="P557" s="31">
        <f t="shared" si="137"/>
        <v>315.47749999999996</v>
      </c>
      <c r="Q557" s="31">
        <f t="shared" si="138"/>
        <v>0</v>
      </c>
      <c r="R557" s="111">
        <f t="shared" si="136"/>
        <v>315.47749999999996</v>
      </c>
      <c r="S557" s="261"/>
      <c r="T557" s="262"/>
    </row>
    <row r="558" spans="1:20" s="91" customFormat="1" ht="24" customHeight="1">
      <c r="A558" s="85" t="s">
        <v>594</v>
      </c>
      <c r="B558" s="173"/>
      <c r="C558" s="87" t="s">
        <v>40</v>
      </c>
      <c r="D558" s="147" t="s">
        <v>177</v>
      </c>
      <c r="E558" s="145" t="s">
        <v>531</v>
      </c>
      <c r="F558" s="238">
        <v>39173</v>
      </c>
      <c r="G558" s="234">
        <v>39186</v>
      </c>
      <c r="H558" s="236">
        <v>39188</v>
      </c>
      <c r="I558" s="145" t="s">
        <v>179</v>
      </c>
      <c r="J558" s="237">
        <v>571</v>
      </c>
      <c r="K558" s="12"/>
      <c r="L558" s="111">
        <v>571</v>
      </c>
      <c r="M558" s="192">
        <f>+J558*0.85</f>
        <v>485.34999999999997</v>
      </c>
      <c r="N558" s="31"/>
      <c r="O558" s="111">
        <f t="shared" si="140"/>
        <v>485.34999999999997</v>
      </c>
      <c r="P558" s="31">
        <f t="shared" si="137"/>
        <v>315.47749999999996</v>
      </c>
      <c r="Q558" s="31">
        <f t="shared" si="138"/>
        <v>0</v>
      </c>
      <c r="R558" s="111">
        <f t="shared" si="136"/>
        <v>315.47749999999996</v>
      </c>
      <c r="S558" s="261"/>
      <c r="T558" s="262"/>
    </row>
    <row r="559" spans="1:20" s="91" customFormat="1" ht="24" customHeight="1">
      <c r="A559" s="85" t="s">
        <v>594</v>
      </c>
      <c r="B559" s="173"/>
      <c r="C559" s="87" t="s">
        <v>40</v>
      </c>
      <c r="D559" s="147" t="s">
        <v>543</v>
      </c>
      <c r="E559" s="145" t="s">
        <v>203</v>
      </c>
      <c r="F559" s="238">
        <v>39083</v>
      </c>
      <c r="G559" s="234">
        <v>39084</v>
      </c>
      <c r="H559" s="236">
        <v>39087</v>
      </c>
      <c r="I559" s="145" t="s">
        <v>179</v>
      </c>
      <c r="J559" s="237">
        <v>3570</v>
      </c>
      <c r="K559" s="12"/>
      <c r="L559" s="111">
        <v>3570</v>
      </c>
      <c r="M559" s="192">
        <v>3034.5</v>
      </c>
      <c r="N559" s="31"/>
      <c r="O559" s="111">
        <f t="shared" si="140"/>
        <v>3034.5</v>
      </c>
      <c r="P559" s="31">
        <f t="shared" si="137"/>
        <v>1972.425</v>
      </c>
      <c r="Q559" s="31">
        <f t="shared" si="138"/>
        <v>0</v>
      </c>
      <c r="R559" s="111">
        <f t="shared" si="136"/>
        <v>1972.425</v>
      </c>
      <c r="S559" s="261"/>
      <c r="T559" s="262"/>
    </row>
    <row r="560" spans="1:20" s="91" customFormat="1" ht="24" customHeight="1">
      <c r="A560" s="85" t="s">
        <v>594</v>
      </c>
      <c r="B560" s="173"/>
      <c r="C560" s="87" t="s">
        <v>40</v>
      </c>
      <c r="D560" s="147" t="s">
        <v>543</v>
      </c>
      <c r="E560" s="145" t="s">
        <v>203</v>
      </c>
      <c r="F560" s="238">
        <v>39114</v>
      </c>
      <c r="G560" s="234">
        <v>39113</v>
      </c>
      <c r="H560" s="236">
        <v>39118</v>
      </c>
      <c r="I560" s="145" t="s">
        <v>179</v>
      </c>
      <c r="J560" s="237">
        <v>3570</v>
      </c>
      <c r="K560" s="12"/>
      <c r="L560" s="111">
        <v>3570</v>
      </c>
      <c r="M560" s="192">
        <v>3034.5</v>
      </c>
      <c r="N560" s="31"/>
      <c r="O560" s="111">
        <f t="shared" si="140"/>
        <v>3034.5</v>
      </c>
      <c r="P560" s="31">
        <f t="shared" si="137"/>
        <v>1972.425</v>
      </c>
      <c r="Q560" s="31">
        <f t="shared" si="138"/>
        <v>0</v>
      </c>
      <c r="R560" s="111">
        <f t="shared" si="136"/>
        <v>1972.425</v>
      </c>
      <c r="S560" s="261"/>
      <c r="T560" s="262"/>
    </row>
    <row r="561" spans="1:20" s="91" customFormat="1" ht="24" customHeight="1">
      <c r="A561" s="85" t="s">
        <v>594</v>
      </c>
      <c r="B561" s="173"/>
      <c r="C561" s="87" t="s">
        <v>40</v>
      </c>
      <c r="D561" s="147" t="s">
        <v>543</v>
      </c>
      <c r="E561" s="145" t="s">
        <v>203</v>
      </c>
      <c r="F561" s="238">
        <v>39142</v>
      </c>
      <c r="G561" s="234">
        <v>39141</v>
      </c>
      <c r="H561" s="236">
        <v>39146</v>
      </c>
      <c r="I561" s="145" t="s">
        <v>179</v>
      </c>
      <c r="J561" s="237">
        <v>3570</v>
      </c>
      <c r="K561" s="12"/>
      <c r="L561" s="111">
        <v>3570</v>
      </c>
      <c r="M561" s="192">
        <v>3034.5</v>
      </c>
      <c r="N561" s="31"/>
      <c r="O561" s="111">
        <f t="shared" si="140"/>
        <v>3034.5</v>
      </c>
      <c r="P561" s="31">
        <f t="shared" si="137"/>
        <v>1972.425</v>
      </c>
      <c r="Q561" s="31">
        <f t="shared" si="138"/>
        <v>0</v>
      </c>
      <c r="R561" s="111">
        <f t="shared" si="136"/>
        <v>1972.425</v>
      </c>
      <c r="S561" s="261"/>
      <c r="T561" s="262"/>
    </row>
    <row r="562" spans="1:20" s="91" customFormat="1" ht="24" customHeight="1">
      <c r="A562" s="85" t="s">
        <v>594</v>
      </c>
      <c r="B562" s="173"/>
      <c r="C562" s="87" t="s">
        <v>40</v>
      </c>
      <c r="D562" s="147" t="s">
        <v>543</v>
      </c>
      <c r="E562" s="145" t="s">
        <v>203</v>
      </c>
      <c r="F562" s="238">
        <v>39173</v>
      </c>
      <c r="G562" s="234">
        <v>39174</v>
      </c>
      <c r="H562" s="236">
        <v>39177</v>
      </c>
      <c r="I562" s="145" t="s">
        <v>179</v>
      </c>
      <c r="J562" s="237">
        <v>3570</v>
      </c>
      <c r="K562" s="12"/>
      <c r="L562" s="111">
        <v>3570</v>
      </c>
      <c r="M562" s="192">
        <v>3034.5</v>
      </c>
      <c r="N562" s="31"/>
      <c r="O562" s="111">
        <f t="shared" si="140"/>
        <v>3034.5</v>
      </c>
      <c r="P562" s="31">
        <f t="shared" si="137"/>
        <v>1972.425</v>
      </c>
      <c r="Q562" s="31">
        <f t="shared" si="138"/>
        <v>0</v>
      </c>
      <c r="R562" s="111">
        <f t="shared" si="136"/>
        <v>1972.425</v>
      </c>
      <c r="S562" s="261"/>
      <c r="T562" s="262"/>
    </row>
    <row r="563" spans="1:20" s="91" customFormat="1" ht="24" customHeight="1">
      <c r="A563" s="85" t="s">
        <v>594</v>
      </c>
      <c r="B563" s="173"/>
      <c r="C563" s="87" t="s">
        <v>40</v>
      </c>
      <c r="D563" s="147" t="s">
        <v>552</v>
      </c>
      <c r="E563" s="145" t="s">
        <v>161</v>
      </c>
      <c r="F563" s="149" t="s">
        <v>670</v>
      </c>
      <c r="G563" s="234">
        <v>39067</v>
      </c>
      <c r="H563" s="236">
        <v>39087</v>
      </c>
      <c r="I563" s="145" t="s">
        <v>162</v>
      </c>
      <c r="J563" s="237">
        <f>516.88</f>
        <v>516.88</v>
      </c>
      <c r="K563" s="12">
        <v>62.12</v>
      </c>
      <c r="L563" s="111">
        <f>+J563+K563</f>
        <v>579</v>
      </c>
      <c r="M563" s="192">
        <f>+J563*0.85</f>
        <v>439.34799999999996</v>
      </c>
      <c r="N563" s="192">
        <f aca="true" t="shared" si="141" ref="N563:N572">+K563*0.85</f>
        <v>52.802</v>
      </c>
      <c r="O563" s="111">
        <f t="shared" si="140"/>
        <v>492.15</v>
      </c>
      <c r="P563" s="31">
        <f t="shared" si="137"/>
        <v>285.5762</v>
      </c>
      <c r="Q563" s="31">
        <f t="shared" si="138"/>
        <v>34.3213</v>
      </c>
      <c r="R563" s="111">
        <f t="shared" si="136"/>
        <v>319.8975</v>
      </c>
      <c r="S563" s="397"/>
      <c r="T563" s="398"/>
    </row>
    <row r="564" spans="1:20" s="91" customFormat="1" ht="24" customHeight="1">
      <c r="A564" s="85" t="s">
        <v>594</v>
      </c>
      <c r="B564" s="173"/>
      <c r="C564" s="87" t="s">
        <v>40</v>
      </c>
      <c r="D564" s="147" t="s">
        <v>552</v>
      </c>
      <c r="E564" s="145" t="s">
        <v>161</v>
      </c>
      <c r="F564" s="149" t="s">
        <v>671</v>
      </c>
      <c r="G564" s="234">
        <v>39130</v>
      </c>
      <c r="H564" s="236">
        <v>39150</v>
      </c>
      <c r="I564" s="145" t="s">
        <v>162</v>
      </c>
      <c r="J564" s="237">
        <v>1505.52</v>
      </c>
      <c r="K564" s="12">
        <v>263.48</v>
      </c>
      <c r="L564" s="111">
        <v>1769</v>
      </c>
      <c r="M564" s="192">
        <f>+J564*0.85</f>
        <v>1279.692</v>
      </c>
      <c r="N564" s="192">
        <f t="shared" si="141"/>
        <v>223.958</v>
      </c>
      <c r="O564" s="111">
        <f t="shared" si="140"/>
        <v>1503.65</v>
      </c>
      <c r="P564" s="31">
        <f t="shared" si="137"/>
        <v>831.7998</v>
      </c>
      <c r="Q564" s="31">
        <f t="shared" si="138"/>
        <v>145.5727</v>
      </c>
      <c r="R564" s="111">
        <f t="shared" si="136"/>
        <v>977.3725</v>
      </c>
      <c r="S564" s="397"/>
      <c r="T564" s="398"/>
    </row>
    <row r="565" spans="1:20" s="91" customFormat="1" ht="24" customHeight="1">
      <c r="A565" s="85" t="s">
        <v>594</v>
      </c>
      <c r="B565" s="173"/>
      <c r="C565" s="87" t="s">
        <v>40</v>
      </c>
      <c r="D565" s="147" t="s">
        <v>557</v>
      </c>
      <c r="E565" s="145" t="s">
        <v>183</v>
      </c>
      <c r="F565" s="149" t="s">
        <v>672</v>
      </c>
      <c r="G565" s="234">
        <v>39111</v>
      </c>
      <c r="H565" s="236">
        <v>39111</v>
      </c>
      <c r="I565" s="145" t="s">
        <v>162</v>
      </c>
      <c r="J565" s="237">
        <f>113.26+2.62+2.3+21.58+20+4.91+4.27-20.61</f>
        <v>148.32999999999998</v>
      </c>
      <c r="K565" s="12">
        <v>29.67</v>
      </c>
      <c r="L565" s="111">
        <f>+K565+J565</f>
        <v>178</v>
      </c>
      <c r="M565" s="192">
        <f>+J565*0.85</f>
        <v>126.08049999999999</v>
      </c>
      <c r="N565" s="192">
        <f t="shared" si="141"/>
        <v>25.2195</v>
      </c>
      <c r="O565" s="111">
        <f t="shared" si="140"/>
        <v>151.29999999999998</v>
      </c>
      <c r="P565" s="31">
        <f t="shared" si="137"/>
        <v>81.95232499999999</v>
      </c>
      <c r="Q565" s="31">
        <f t="shared" si="138"/>
        <v>16.392675</v>
      </c>
      <c r="R565" s="111">
        <f t="shared" si="136"/>
        <v>98.34499999999998</v>
      </c>
      <c r="S565" s="397"/>
      <c r="T565" s="398"/>
    </row>
    <row r="566" spans="1:20" s="91" customFormat="1" ht="24" customHeight="1">
      <c r="A566" s="85" t="s">
        <v>594</v>
      </c>
      <c r="B566" s="173"/>
      <c r="C566" s="87" t="s">
        <v>40</v>
      </c>
      <c r="D566" s="147" t="s">
        <v>557</v>
      </c>
      <c r="E566" s="145" t="s">
        <v>183</v>
      </c>
      <c r="F566" s="149" t="s">
        <v>672</v>
      </c>
      <c r="G566" s="234">
        <v>39164</v>
      </c>
      <c r="H566" s="236">
        <v>39164</v>
      </c>
      <c r="I566" s="145" t="s">
        <v>162</v>
      </c>
      <c r="J566" s="237">
        <f>192.65-K566</f>
        <v>160.54000000000002</v>
      </c>
      <c r="K566" s="12">
        <v>32.11</v>
      </c>
      <c r="L566" s="111">
        <f>+K566+J566</f>
        <v>192.65000000000003</v>
      </c>
      <c r="M566" s="192">
        <f>+J566*0.85</f>
        <v>136.459</v>
      </c>
      <c r="N566" s="192">
        <f t="shared" si="141"/>
        <v>27.293499999999998</v>
      </c>
      <c r="O566" s="111">
        <f t="shared" si="140"/>
        <v>163.7525</v>
      </c>
      <c r="P566" s="31">
        <f t="shared" si="137"/>
        <v>88.69835</v>
      </c>
      <c r="Q566" s="31">
        <f t="shared" si="138"/>
        <v>17.740775</v>
      </c>
      <c r="R566" s="111">
        <f t="shared" si="136"/>
        <v>106.439125</v>
      </c>
      <c r="S566" s="397"/>
      <c r="T566" s="398"/>
    </row>
    <row r="567" spans="1:20" s="91" customFormat="1" ht="24" customHeight="1">
      <c r="A567" s="85" t="s">
        <v>594</v>
      </c>
      <c r="B567" s="173"/>
      <c r="C567" s="87" t="s">
        <v>40</v>
      </c>
      <c r="D567" s="147" t="s">
        <v>560</v>
      </c>
      <c r="E567" s="145" t="s">
        <v>561</v>
      </c>
      <c r="F567" s="238">
        <v>-74813</v>
      </c>
      <c r="G567" s="234">
        <v>39057</v>
      </c>
      <c r="H567" s="236">
        <v>39097</v>
      </c>
      <c r="I567" s="145" t="s">
        <v>162</v>
      </c>
      <c r="J567" s="237">
        <f>189.19-2.66+0.16</f>
        <v>186.69</v>
      </c>
      <c r="K567" s="12">
        <f>37.84-0.53</f>
        <v>37.31</v>
      </c>
      <c r="L567" s="111">
        <f>+K567+J567</f>
        <v>224</v>
      </c>
      <c r="M567" s="192">
        <f aca="true" t="shared" si="142" ref="M567:M572">+J567*0.85</f>
        <v>158.6865</v>
      </c>
      <c r="N567" s="192">
        <f t="shared" si="141"/>
        <v>31.7135</v>
      </c>
      <c r="O567" s="111">
        <f t="shared" si="140"/>
        <v>190.4</v>
      </c>
      <c r="P567" s="31">
        <f t="shared" si="137"/>
        <v>103.146225</v>
      </c>
      <c r="Q567" s="31">
        <f t="shared" si="138"/>
        <v>20.613775</v>
      </c>
      <c r="R567" s="111">
        <f t="shared" si="136"/>
        <v>123.76</v>
      </c>
      <c r="S567" s="261"/>
      <c r="T567" s="262"/>
    </row>
    <row r="568" spans="1:20" s="91" customFormat="1" ht="24" customHeight="1">
      <c r="A568" s="85" t="s">
        <v>594</v>
      </c>
      <c r="B568" s="173"/>
      <c r="C568" s="87" t="s">
        <v>40</v>
      </c>
      <c r="D568" s="147" t="s">
        <v>560</v>
      </c>
      <c r="E568" s="145" t="s">
        <v>561</v>
      </c>
      <c r="F568" s="238">
        <v>-71732</v>
      </c>
      <c r="G568" s="234">
        <v>39057</v>
      </c>
      <c r="H568" s="236">
        <v>39097</v>
      </c>
      <c r="I568" s="145" t="s">
        <v>162</v>
      </c>
      <c r="J568" s="237">
        <v>408.37</v>
      </c>
      <c r="K568" s="12">
        <v>77.63399999999999</v>
      </c>
      <c r="L568" s="111">
        <v>486</v>
      </c>
      <c r="M568" s="192">
        <f t="shared" si="142"/>
        <v>347.1145</v>
      </c>
      <c r="N568" s="192">
        <f t="shared" si="141"/>
        <v>65.98889999999999</v>
      </c>
      <c r="O568" s="111">
        <f t="shared" si="140"/>
        <v>413.1034</v>
      </c>
      <c r="P568" s="31">
        <f t="shared" si="137"/>
        <v>225.62442500000003</v>
      </c>
      <c r="Q568" s="31">
        <f t="shared" si="138"/>
        <v>42.892784999999996</v>
      </c>
      <c r="R568" s="111">
        <f t="shared" si="136"/>
        <v>268.51721000000003</v>
      </c>
      <c r="S568" s="261"/>
      <c r="T568" s="262"/>
    </row>
    <row r="569" spans="1:20" s="91" customFormat="1" ht="24" customHeight="1">
      <c r="A569" s="85" t="s">
        <v>594</v>
      </c>
      <c r="B569" s="173"/>
      <c r="C569" s="87" t="s">
        <v>40</v>
      </c>
      <c r="D569" s="147" t="s">
        <v>560</v>
      </c>
      <c r="E569" s="145" t="s">
        <v>561</v>
      </c>
      <c r="F569" s="238">
        <v>-74543</v>
      </c>
      <c r="G569" s="234">
        <v>39057</v>
      </c>
      <c r="H569" s="236">
        <v>39097</v>
      </c>
      <c r="I569" s="145" t="s">
        <v>162</v>
      </c>
      <c r="J569" s="237">
        <f>122.44-4.71+0.22</f>
        <v>117.95</v>
      </c>
      <c r="K569" s="12">
        <f>24.49-0.94</f>
        <v>23.549999999999997</v>
      </c>
      <c r="L569" s="111">
        <v>141.5</v>
      </c>
      <c r="M569" s="192">
        <f t="shared" si="142"/>
        <v>100.2575</v>
      </c>
      <c r="N569" s="192">
        <f t="shared" si="141"/>
        <v>20.0175</v>
      </c>
      <c r="O569" s="111">
        <f t="shared" si="140"/>
        <v>120.27499999999999</v>
      </c>
      <c r="P569" s="31">
        <f t="shared" si="137"/>
        <v>65.16737499999999</v>
      </c>
      <c r="Q569" s="31">
        <f t="shared" si="138"/>
        <v>13.011375</v>
      </c>
      <c r="R569" s="111">
        <f t="shared" si="136"/>
        <v>78.17875</v>
      </c>
      <c r="S569" s="261"/>
      <c r="T569" s="262"/>
    </row>
    <row r="570" spans="1:20" s="91" customFormat="1" ht="24" customHeight="1">
      <c r="A570" s="85" t="s">
        <v>594</v>
      </c>
      <c r="B570" s="173"/>
      <c r="C570" s="87" t="s">
        <v>40</v>
      </c>
      <c r="D570" s="147" t="s">
        <v>560</v>
      </c>
      <c r="E570" s="145" t="s">
        <v>561</v>
      </c>
      <c r="F570" s="238">
        <v>-59629</v>
      </c>
      <c r="G570" s="234">
        <v>39119</v>
      </c>
      <c r="H570" s="236">
        <v>39154</v>
      </c>
      <c r="I570" s="145" t="s">
        <v>162</v>
      </c>
      <c r="J570" s="237">
        <f>175.06-3.13+0.19</f>
        <v>172.12</v>
      </c>
      <c r="K570" s="12">
        <f>35.01-0.63</f>
        <v>34.379999999999995</v>
      </c>
      <c r="L570" s="111">
        <v>206.5</v>
      </c>
      <c r="M570" s="192">
        <f t="shared" si="142"/>
        <v>146.302</v>
      </c>
      <c r="N570" s="192">
        <f t="shared" si="141"/>
        <v>29.222999999999995</v>
      </c>
      <c r="O570" s="111">
        <f t="shared" si="140"/>
        <v>175.52499999999998</v>
      </c>
      <c r="P570" s="31">
        <f t="shared" si="137"/>
        <v>95.0963</v>
      </c>
      <c r="Q570" s="31">
        <f t="shared" si="138"/>
        <v>18.99495</v>
      </c>
      <c r="R570" s="111">
        <f t="shared" si="136"/>
        <v>114.09125</v>
      </c>
      <c r="S570" s="261"/>
      <c r="T570" s="262"/>
    </row>
    <row r="571" spans="1:20" s="91" customFormat="1" ht="24" customHeight="1">
      <c r="A571" s="85" t="s">
        <v>594</v>
      </c>
      <c r="B571" s="173"/>
      <c r="C571" s="87" t="s">
        <v>40</v>
      </c>
      <c r="D571" s="147" t="s">
        <v>560</v>
      </c>
      <c r="E571" s="145" t="s">
        <v>561</v>
      </c>
      <c r="F571" s="238">
        <v>-56395</v>
      </c>
      <c r="G571" s="234">
        <v>39119</v>
      </c>
      <c r="H571" s="236">
        <v>39154</v>
      </c>
      <c r="I571" s="145" t="s">
        <v>162</v>
      </c>
      <c r="J571" s="237">
        <f>362.23+0.24-3.27</f>
        <v>359.20000000000005</v>
      </c>
      <c r="K571" s="12">
        <f>72.45-0.65</f>
        <v>71.8</v>
      </c>
      <c r="L571" s="111">
        <v>431</v>
      </c>
      <c r="M571" s="192">
        <f t="shared" si="142"/>
        <v>305.32000000000005</v>
      </c>
      <c r="N571" s="192">
        <f t="shared" si="141"/>
        <v>61.029999999999994</v>
      </c>
      <c r="O571" s="111">
        <f t="shared" si="140"/>
        <v>366.35</v>
      </c>
      <c r="P571" s="31">
        <f t="shared" si="137"/>
        <v>198.45800000000003</v>
      </c>
      <c r="Q571" s="31">
        <f t="shared" si="138"/>
        <v>39.6695</v>
      </c>
      <c r="R571" s="111">
        <f t="shared" si="136"/>
        <v>238.12750000000003</v>
      </c>
      <c r="S571" s="261"/>
      <c r="T571" s="262"/>
    </row>
    <row r="572" spans="1:20" s="91" customFormat="1" ht="24" customHeight="1">
      <c r="A572" s="85" t="s">
        <v>594</v>
      </c>
      <c r="B572" s="173"/>
      <c r="C572" s="87" t="s">
        <v>40</v>
      </c>
      <c r="D572" s="147" t="s">
        <v>560</v>
      </c>
      <c r="E572" s="145" t="s">
        <v>561</v>
      </c>
      <c r="F572" s="238">
        <v>-58760</v>
      </c>
      <c r="G572" s="234">
        <v>39119</v>
      </c>
      <c r="H572" s="236">
        <v>39154</v>
      </c>
      <c r="I572" s="145" t="s">
        <v>162</v>
      </c>
      <c r="J572" s="237">
        <v>103.51</v>
      </c>
      <c r="K572" s="12">
        <v>14.992000000000003</v>
      </c>
      <c r="L572" s="111">
        <v>118.50200000000001</v>
      </c>
      <c r="M572" s="192">
        <f t="shared" si="142"/>
        <v>87.9835</v>
      </c>
      <c r="N572" s="192">
        <f t="shared" si="141"/>
        <v>12.743200000000002</v>
      </c>
      <c r="O572" s="111">
        <f t="shared" si="140"/>
        <v>100.72670000000001</v>
      </c>
      <c r="P572" s="31">
        <f t="shared" si="137"/>
        <v>57.18927500000001</v>
      </c>
      <c r="Q572" s="31">
        <f t="shared" si="138"/>
        <v>8.283080000000002</v>
      </c>
      <c r="R572" s="111">
        <f t="shared" si="136"/>
        <v>65.47235500000001</v>
      </c>
      <c r="S572" s="261"/>
      <c r="T572" s="262"/>
    </row>
    <row r="573" spans="1:20" s="91" customFormat="1" ht="24" customHeight="1">
      <c r="A573" s="85" t="s">
        <v>594</v>
      </c>
      <c r="B573" s="173"/>
      <c r="C573" s="87" t="s">
        <v>40</v>
      </c>
      <c r="D573" s="147" t="s">
        <v>564</v>
      </c>
      <c r="E573" s="145"/>
      <c r="F573" s="238"/>
      <c r="G573" s="234"/>
      <c r="H573" s="236"/>
      <c r="I573" s="145" t="s">
        <v>153</v>
      </c>
      <c r="J573" s="237"/>
      <c r="K573" s="12"/>
      <c r="L573" s="111">
        <v>848.1</v>
      </c>
      <c r="M573" s="192"/>
      <c r="N573" s="31"/>
      <c r="O573" s="111"/>
      <c r="P573" s="31"/>
      <c r="Q573" s="31"/>
      <c r="R573" s="111"/>
      <c r="S573" s="351" t="s">
        <v>675</v>
      </c>
      <c r="T573" s="352"/>
    </row>
    <row r="574" spans="1:20" s="91" customFormat="1" ht="24" customHeight="1">
      <c r="A574" s="85" t="s">
        <v>594</v>
      </c>
      <c r="B574" s="173"/>
      <c r="C574" s="87" t="s">
        <v>40</v>
      </c>
      <c r="D574" s="147" t="s">
        <v>568</v>
      </c>
      <c r="E574" s="145"/>
      <c r="F574" s="238"/>
      <c r="G574" s="234"/>
      <c r="H574" s="236"/>
      <c r="I574" s="145" t="s">
        <v>153</v>
      </c>
      <c r="J574" s="237"/>
      <c r="K574" s="12"/>
      <c r="L574" s="111">
        <v>401.3</v>
      </c>
      <c r="M574" s="192"/>
      <c r="N574" s="31"/>
      <c r="O574" s="111"/>
      <c r="P574" s="31"/>
      <c r="Q574" s="31"/>
      <c r="R574" s="111"/>
      <c r="S574" s="351" t="s">
        <v>675</v>
      </c>
      <c r="T574" s="352"/>
    </row>
    <row r="575" spans="1:20" s="91" customFormat="1" ht="24" customHeight="1">
      <c r="A575" s="85" t="s">
        <v>594</v>
      </c>
      <c r="B575" s="173"/>
      <c r="C575" s="87" t="s">
        <v>40</v>
      </c>
      <c r="D575" s="147" t="s">
        <v>565</v>
      </c>
      <c r="E575" s="145"/>
      <c r="F575" s="238"/>
      <c r="G575" s="234"/>
      <c r="H575" s="236"/>
      <c r="I575" s="145" t="s">
        <v>153</v>
      </c>
      <c r="J575" s="237"/>
      <c r="K575" s="12"/>
      <c r="L575" s="111">
        <v>457.52</v>
      </c>
      <c r="M575" s="192"/>
      <c r="N575" s="31"/>
      <c r="O575" s="111"/>
      <c r="P575" s="31"/>
      <c r="Q575" s="31"/>
      <c r="R575" s="111"/>
      <c r="S575" s="351" t="s">
        <v>675</v>
      </c>
      <c r="T575" s="352"/>
    </row>
    <row r="576" spans="1:20" s="91" customFormat="1" ht="24" customHeight="1">
      <c r="A576" s="85" t="s">
        <v>594</v>
      </c>
      <c r="B576" s="173"/>
      <c r="C576" s="87" t="s">
        <v>40</v>
      </c>
      <c r="D576" s="147" t="s">
        <v>557</v>
      </c>
      <c r="E576" s="145" t="s">
        <v>183</v>
      </c>
      <c r="F576" s="238">
        <v>-444619</v>
      </c>
      <c r="G576" s="234">
        <v>38966</v>
      </c>
      <c r="H576" s="236">
        <v>39351</v>
      </c>
      <c r="I576" s="145" t="s">
        <v>162</v>
      </c>
      <c r="J576" s="237">
        <v>40.91</v>
      </c>
      <c r="K576" s="12">
        <v>8.181999999999999</v>
      </c>
      <c r="L576" s="111">
        <v>49.092</v>
      </c>
      <c r="M576" s="192">
        <f>+J576*0.85-0.57</f>
        <v>34.2035</v>
      </c>
      <c r="N576" s="192">
        <f>+K576*0.85</f>
        <v>6.954699999999999</v>
      </c>
      <c r="O576" s="111">
        <f aca="true" t="shared" si="143" ref="O576:O581">+N576+M576</f>
        <v>41.158199999999994</v>
      </c>
      <c r="P576" s="31">
        <f aca="true" t="shared" si="144" ref="P576:Q580">+M576*0.65</f>
        <v>22.232275</v>
      </c>
      <c r="Q576" s="31">
        <f t="shared" si="144"/>
        <v>4.520555</v>
      </c>
      <c r="R576" s="111">
        <f aca="true" t="shared" si="145" ref="R576:R581">+Q576+P576</f>
        <v>26.752830000000003</v>
      </c>
      <c r="S576" s="261"/>
      <c r="T576" s="262"/>
    </row>
    <row r="577" spans="1:20" s="91" customFormat="1" ht="24" customHeight="1">
      <c r="A577" s="85" t="s">
        <v>594</v>
      </c>
      <c r="B577" s="173"/>
      <c r="C577" s="14" t="s">
        <v>41</v>
      </c>
      <c r="D577" s="147" t="s">
        <v>572</v>
      </c>
      <c r="E577" s="145" t="s">
        <v>573</v>
      </c>
      <c r="F577" s="238">
        <v>1</v>
      </c>
      <c r="G577" s="234">
        <v>39084</v>
      </c>
      <c r="H577" s="236">
        <v>39092</v>
      </c>
      <c r="I577" s="145" t="s">
        <v>179</v>
      </c>
      <c r="J577" s="237">
        <v>250</v>
      </c>
      <c r="K577" s="12">
        <v>50</v>
      </c>
      <c r="L577" s="111">
        <v>300</v>
      </c>
      <c r="M577" s="192">
        <v>250</v>
      </c>
      <c r="N577" s="31"/>
      <c r="O577" s="111">
        <f t="shared" si="143"/>
        <v>250</v>
      </c>
      <c r="P577" s="31">
        <f t="shared" si="144"/>
        <v>162.5</v>
      </c>
      <c r="Q577" s="31">
        <f t="shared" si="144"/>
        <v>0</v>
      </c>
      <c r="R577" s="111">
        <f t="shared" si="145"/>
        <v>162.5</v>
      </c>
      <c r="S577" s="261"/>
      <c r="T577" s="262"/>
    </row>
    <row r="578" spans="1:20" s="91" customFormat="1" ht="24" customHeight="1">
      <c r="A578" s="85" t="s">
        <v>594</v>
      </c>
      <c r="B578" s="173"/>
      <c r="C578" s="14" t="s">
        <v>41</v>
      </c>
      <c r="D578" s="147" t="s">
        <v>572</v>
      </c>
      <c r="E578" s="145" t="s">
        <v>573</v>
      </c>
      <c r="F578" s="238">
        <v>2</v>
      </c>
      <c r="G578" s="234">
        <v>39112</v>
      </c>
      <c r="H578" s="236">
        <v>39128</v>
      </c>
      <c r="I578" s="145" t="s">
        <v>179</v>
      </c>
      <c r="J578" s="237">
        <v>250</v>
      </c>
      <c r="K578" s="12">
        <v>50</v>
      </c>
      <c r="L578" s="111">
        <v>300</v>
      </c>
      <c r="M578" s="192">
        <v>250</v>
      </c>
      <c r="N578" s="31"/>
      <c r="O578" s="111">
        <f t="shared" si="143"/>
        <v>250</v>
      </c>
      <c r="P578" s="31">
        <f t="shared" si="144"/>
        <v>162.5</v>
      </c>
      <c r="Q578" s="31">
        <f t="shared" si="144"/>
        <v>0</v>
      </c>
      <c r="R578" s="111">
        <f t="shared" si="145"/>
        <v>162.5</v>
      </c>
      <c r="S578" s="261"/>
      <c r="T578" s="262"/>
    </row>
    <row r="579" spans="1:20" s="91" customFormat="1" ht="24" customHeight="1">
      <c r="A579" s="85" t="s">
        <v>594</v>
      </c>
      <c r="B579" s="173"/>
      <c r="C579" s="14" t="s">
        <v>41</v>
      </c>
      <c r="D579" s="147" t="s">
        <v>572</v>
      </c>
      <c r="E579" s="145" t="s">
        <v>573</v>
      </c>
      <c r="F579" s="238">
        <v>4</v>
      </c>
      <c r="G579" s="234">
        <v>39143</v>
      </c>
      <c r="H579" s="236">
        <v>39128</v>
      </c>
      <c r="I579" s="145" t="s">
        <v>179</v>
      </c>
      <c r="J579" s="237">
        <v>250</v>
      </c>
      <c r="K579" s="12">
        <v>50</v>
      </c>
      <c r="L579" s="111">
        <v>300</v>
      </c>
      <c r="M579" s="192">
        <v>250</v>
      </c>
      <c r="N579" s="31"/>
      <c r="O579" s="111">
        <f t="shared" si="143"/>
        <v>250</v>
      </c>
      <c r="P579" s="31">
        <f t="shared" si="144"/>
        <v>162.5</v>
      </c>
      <c r="Q579" s="31">
        <f t="shared" si="144"/>
        <v>0</v>
      </c>
      <c r="R579" s="111">
        <f t="shared" si="145"/>
        <v>162.5</v>
      </c>
      <c r="S579" s="261"/>
      <c r="T579" s="262"/>
    </row>
    <row r="580" spans="1:20" s="91" customFormat="1" ht="24" customHeight="1">
      <c r="A580" s="85" t="s">
        <v>594</v>
      </c>
      <c r="B580" s="173"/>
      <c r="C580" s="14" t="s">
        <v>41</v>
      </c>
      <c r="D580" s="147" t="s">
        <v>572</v>
      </c>
      <c r="E580" s="145" t="s">
        <v>573</v>
      </c>
      <c r="F580" s="238">
        <v>5</v>
      </c>
      <c r="G580" s="234">
        <v>39171</v>
      </c>
      <c r="H580" s="236">
        <v>39189</v>
      </c>
      <c r="I580" s="145" t="s">
        <v>179</v>
      </c>
      <c r="J580" s="237">
        <v>250</v>
      </c>
      <c r="K580" s="12">
        <v>50</v>
      </c>
      <c r="L580" s="111">
        <v>300</v>
      </c>
      <c r="M580" s="192">
        <v>250</v>
      </c>
      <c r="N580" s="31"/>
      <c r="O580" s="111">
        <f t="shared" si="143"/>
        <v>250</v>
      </c>
      <c r="P580" s="31">
        <f t="shared" si="144"/>
        <v>162.5</v>
      </c>
      <c r="Q580" s="31">
        <f t="shared" si="144"/>
        <v>0</v>
      </c>
      <c r="R580" s="111">
        <f t="shared" si="145"/>
        <v>162.5</v>
      </c>
      <c r="S580" s="261"/>
      <c r="T580" s="262"/>
    </row>
    <row r="581" spans="1:20" s="91" customFormat="1" ht="24" customHeight="1">
      <c r="A581" s="85" t="s">
        <v>617</v>
      </c>
      <c r="B581" s="173"/>
      <c r="C581" s="14" t="s">
        <v>439</v>
      </c>
      <c r="D581" s="147"/>
      <c r="E581" s="145"/>
      <c r="F581" s="238"/>
      <c r="G581" s="234"/>
      <c r="H581" s="236"/>
      <c r="I581" s="145"/>
      <c r="J581" s="237"/>
      <c r="K581" s="12"/>
      <c r="L581" s="111"/>
      <c r="M581" s="192">
        <f>SUM(M549:M580)-M548</f>
        <v>-3374.863000000005</v>
      </c>
      <c r="N581" s="192">
        <f>SUM(N549:N580)-N548</f>
        <v>983.3738</v>
      </c>
      <c r="O581" s="111">
        <f t="shared" si="143"/>
        <v>-2391.489200000005</v>
      </c>
      <c r="P581" s="192">
        <f>SUM(P549:P580)-P548</f>
        <v>-2193.6609499999995</v>
      </c>
      <c r="Q581" s="192">
        <f>SUM(Q549:Q580)-Q548</f>
        <v>639.19297</v>
      </c>
      <c r="R581" s="111">
        <f t="shared" si="145"/>
        <v>-1554.4679799999994</v>
      </c>
      <c r="S581" s="351" t="s">
        <v>683</v>
      </c>
      <c r="T581" s="352"/>
    </row>
    <row r="582" spans="1:20" s="91" customFormat="1" ht="24" customHeight="1">
      <c r="A582" s="85" t="s">
        <v>617</v>
      </c>
      <c r="B582" s="173"/>
      <c r="C582" s="87" t="s">
        <v>40</v>
      </c>
      <c r="D582" s="147" t="s">
        <v>521</v>
      </c>
      <c r="E582" s="145" t="s">
        <v>522</v>
      </c>
      <c r="F582" s="238">
        <v>2223</v>
      </c>
      <c r="G582" s="234">
        <v>39234</v>
      </c>
      <c r="H582" s="236">
        <v>39233</v>
      </c>
      <c r="I582" s="145" t="s">
        <v>524</v>
      </c>
      <c r="J582" s="237">
        <v>500</v>
      </c>
      <c r="K582" s="12">
        <v>100</v>
      </c>
      <c r="L582" s="111">
        <v>600</v>
      </c>
      <c r="M582" s="192">
        <f>+J582*0.85</f>
        <v>425</v>
      </c>
      <c r="N582" s="31"/>
      <c r="O582" s="111">
        <f aca="true" t="shared" si="146" ref="O582:O588">+N582+M582</f>
        <v>425</v>
      </c>
      <c r="P582" s="31">
        <f aca="true" t="shared" si="147" ref="P582:Q588">+M582*0.65</f>
        <v>276.25</v>
      </c>
      <c r="Q582" s="31">
        <f t="shared" si="147"/>
        <v>0</v>
      </c>
      <c r="R582" s="111">
        <f aca="true" t="shared" si="148" ref="R582:R588">+Q582+P582</f>
        <v>276.25</v>
      </c>
      <c r="S582" s="351" t="s">
        <v>694</v>
      </c>
      <c r="T582" s="352"/>
    </row>
    <row r="583" spans="1:20" s="91" customFormat="1" ht="24" customHeight="1">
      <c r="A583" s="85" t="s">
        <v>617</v>
      </c>
      <c r="B583" s="173"/>
      <c r="C583" s="87" t="s">
        <v>40</v>
      </c>
      <c r="D583" s="147" t="s">
        <v>521</v>
      </c>
      <c r="E583" s="145" t="s">
        <v>522</v>
      </c>
      <c r="F583" s="238">
        <v>3092</v>
      </c>
      <c r="G583" s="234">
        <v>39265</v>
      </c>
      <c r="H583" s="236">
        <v>39262</v>
      </c>
      <c r="I583" s="145" t="s">
        <v>524</v>
      </c>
      <c r="J583" s="237">
        <v>500</v>
      </c>
      <c r="K583" s="12">
        <v>100</v>
      </c>
      <c r="L583" s="111">
        <v>600</v>
      </c>
      <c r="M583" s="192">
        <v>425</v>
      </c>
      <c r="N583" s="31"/>
      <c r="O583" s="111">
        <f t="shared" si="146"/>
        <v>425</v>
      </c>
      <c r="P583" s="31">
        <f t="shared" si="147"/>
        <v>276.25</v>
      </c>
      <c r="Q583" s="31">
        <f t="shared" si="147"/>
        <v>0</v>
      </c>
      <c r="R583" s="111">
        <f t="shared" si="148"/>
        <v>276.25</v>
      </c>
      <c r="S583" s="351" t="s">
        <v>694</v>
      </c>
      <c r="T583" s="352"/>
    </row>
    <row r="584" spans="1:20" s="91" customFormat="1" ht="24" customHeight="1">
      <c r="A584" s="85" t="s">
        <v>617</v>
      </c>
      <c r="B584" s="173"/>
      <c r="C584" s="87" t="s">
        <v>40</v>
      </c>
      <c r="D584" s="147" t="s">
        <v>521</v>
      </c>
      <c r="E584" s="145" t="s">
        <v>522</v>
      </c>
      <c r="F584" s="238">
        <v>72007</v>
      </c>
      <c r="G584" s="234">
        <v>39295</v>
      </c>
      <c r="H584" s="236">
        <v>39294</v>
      </c>
      <c r="I584" s="145" t="s">
        <v>524</v>
      </c>
      <c r="J584" s="237">
        <v>500</v>
      </c>
      <c r="K584" s="12">
        <v>100</v>
      </c>
      <c r="L584" s="111">
        <v>600</v>
      </c>
      <c r="M584" s="192">
        <v>425</v>
      </c>
      <c r="N584" s="31"/>
      <c r="O584" s="111">
        <f t="shared" si="146"/>
        <v>425</v>
      </c>
      <c r="P584" s="31">
        <f t="shared" si="147"/>
        <v>276.25</v>
      </c>
      <c r="Q584" s="31">
        <f t="shared" si="147"/>
        <v>0</v>
      </c>
      <c r="R584" s="111">
        <f t="shared" si="148"/>
        <v>276.25</v>
      </c>
      <c r="S584" s="351" t="s">
        <v>694</v>
      </c>
      <c r="T584" s="352"/>
    </row>
    <row r="585" spans="1:20" s="91" customFormat="1" ht="24" customHeight="1">
      <c r="A585" s="85" t="s">
        <v>617</v>
      </c>
      <c r="B585" s="173"/>
      <c r="C585" s="87" t="s">
        <v>40</v>
      </c>
      <c r="D585" s="147" t="s">
        <v>521</v>
      </c>
      <c r="E585" s="145" t="s">
        <v>522</v>
      </c>
      <c r="F585" s="238">
        <v>4174</v>
      </c>
      <c r="G585" s="234">
        <v>39326</v>
      </c>
      <c r="H585" s="236">
        <v>39325</v>
      </c>
      <c r="I585" s="145" t="s">
        <v>524</v>
      </c>
      <c r="J585" s="237">
        <v>500</v>
      </c>
      <c r="K585" s="12">
        <v>100</v>
      </c>
      <c r="L585" s="111">
        <v>600</v>
      </c>
      <c r="M585" s="192">
        <v>425</v>
      </c>
      <c r="N585" s="31"/>
      <c r="O585" s="111">
        <f t="shared" si="146"/>
        <v>425</v>
      </c>
      <c r="P585" s="31">
        <f t="shared" si="147"/>
        <v>276.25</v>
      </c>
      <c r="Q585" s="31">
        <f t="shared" si="147"/>
        <v>0</v>
      </c>
      <c r="R585" s="111">
        <f t="shared" si="148"/>
        <v>276.25</v>
      </c>
      <c r="S585" s="351" t="s">
        <v>694</v>
      </c>
      <c r="T585" s="352"/>
    </row>
    <row r="586" spans="1:20" s="91" customFormat="1" ht="24" customHeight="1">
      <c r="A586" s="85" t="s">
        <v>617</v>
      </c>
      <c r="B586" s="173"/>
      <c r="C586" s="87" t="s">
        <v>40</v>
      </c>
      <c r="D586" s="147" t="s">
        <v>177</v>
      </c>
      <c r="E586" s="145" t="s">
        <v>531</v>
      </c>
      <c r="F586" s="238">
        <v>39203</v>
      </c>
      <c r="G586" s="234">
        <v>39216</v>
      </c>
      <c r="H586" s="236">
        <v>39216</v>
      </c>
      <c r="I586" s="145" t="s">
        <v>179</v>
      </c>
      <c r="J586" s="237">
        <v>160</v>
      </c>
      <c r="K586" s="12"/>
      <c r="L586" s="111">
        <v>160</v>
      </c>
      <c r="M586" s="192">
        <f>+J586*0.85</f>
        <v>136</v>
      </c>
      <c r="N586" s="31"/>
      <c r="O586" s="111">
        <f t="shared" si="146"/>
        <v>136</v>
      </c>
      <c r="P586" s="31">
        <f t="shared" si="147"/>
        <v>88.4</v>
      </c>
      <c r="Q586" s="31">
        <f t="shared" si="147"/>
        <v>0</v>
      </c>
      <c r="R586" s="111">
        <f t="shared" si="148"/>
        <v>88.4</v>
      </c>
      <c r="S586" s="261"/>
      <c r="T586" s="262"/>
    </row>
    <row r="587" spans="1:20" s="91" customFormat="1" ht="24" customHeight="1">
      <c r="A587" s="85" t="s">
        <v>617</v>
      </c>
      <c r="B587" s="173"/>
      <c r="C587" s="87" t="s">
        <v>40</v>
      </c>
      <c r="D587" s="147" t="s">
        <v>177</v>
      </c>
      <c r="E587" s="145" t="s">
        <v>531</v>
      </c>
      <c r="F587" s="238">
        <v>39234</v>
      </c>
      <c r="G587" s="234">
        <v>39251</v>
      </c>
      <c r="H587" s="236">
        <v>39252</v>
      </c>
      <c r="I587" s="145" t="s">
        <v>179</v>
      </c>
      <c r="J587" s="237">
        <v>160</v>
      </c>
      <c r="K587" s="12"/>
      <c r="L587" s="111">
        <v>160</v>
      </c>
      <c r="M587" s="192">
        <v>136</v>
      </c>
      <c r="N587" s="31"/>
      <c r="O587" s="111">
        <f t="shared" si="146"/>
        <v>136</v>
      </c>
      <c r="P587" s="31">
        <f t="shared" si="147"/>
        <v>88.4</v>
      </c>
      <c r="Q587" s="31">
        <f t="shared" si="147"/>
        <v>0</v>
      </c>
      <c r="R587" s="111">
        <f t="shared" si="148"/>
        <v>88.4</v>
      </c>
      <c r="S587" s="261"/>
      <c r="T587" s="262"/>
    </row>
    <row r="588" spans="1:20" s="91" customFormat="1" ht="24" customHeight="1">
      <c r="A588" s="85" t="s">
        <v>617</v>
      </c>
      <c r="B588" s="173"/>
      <c r="C588" s="87" t="s">
        <v>40</v>
      </c>
      <c r="D588" s="147" t="s">
        <v>177</v>
      </c>
      <c r="E588" s="145" t="s">
        <v>531</v>
      </c>
      <c r="F588" s="238">
        <v>39264</v>
      </c>
      <c r="G588" s="234">
        <v>39266</v>
      </c>
      <c r="H588" s="236">
        <v>39268</v>
      </c>
      <c r="I588" s="145" t="s">
        <v>179</v>
      </c>
      <c r="J588" s="237">
        <v>160</v>
      </c>
      <c r="K588" s="12"/>
      <c r="L588" s="111">
        <v>160</v>
      </c>
      <c r="M588" s="192">
        <v>136</v>
      </c>
      <c r="N588" s="31"/>
      <c r="O588" s="111">
        <f t="shared" si="146"/>
        <v>136</v>
      </c>
      <c r="P588" s="31">
        <f t="shared" si="147"/>
        <v>88.4</v>
      </c>
      <c r="Q588" s="31">
        <f t="shared" si="147"/>
        <v>0</v>
      </c>
      <c r="R588" s="111">
        <f t="shared" si="148"/>
        <v>88.4</v>
      </c>
      <c r="S588" s="261"/>
      <c r="T588" s="262"/>
    </row>
    <row r="589" spans="1:20" s="91" customFormat="1" ht="24" customHeight="1">
      <c r="A589" s="85" t="s">
        <v>617</v>
      </c>
      <c r="B589" s="173"/>
      <c r="C589" s="87" t="s">
        <v>40</v>
      </c>
      <c r="D589" s="147" t="s">
        <v>543</v>
      </c>
      <c r="E589" s="145" t="s">
        <v>203</v>
      </c>
      <c r="F589" s="238">
        <v>39203</v>
      </c>
      <c r="G589" s="234">
        <v>39203</v>
      </c>
      <c r="H589" s="236">
        <v>39202</v>
      </c>
      <c r="I589" s="145" t="s">
        <v>179</v>
      </c>
      <c r="J589" s="237">
        <v>3570</v>
      </c>
      <c r="K589" s="12"/>
      <c r="L589" s="111">
        <v>3570</v>
      </c>
      <c r="M589" s="192">
        <v>3034.5</v>
      </c>
      <c r="N589" s="31"/>
      <c r="O589" s="111">
        <f aca="true" t="shared" si="149" ref="O589:O594">+N589+M589</f>
        <v>3034.5</v>
      </c>
      <c r="P589" s="31">
        <f aca="true" t="shared" si="150" ref="P589:P594">+M589*0.65</f>
        <v>1972.425</v>
      </c>
      <c r="Q589" s="31">
        <f aca="true" t="shared" si="151" ref="Q589:Q594">+N589*0.65</f>
        <v>0</v>
      </c>
      <c r="R589" s="111">
        <f aca="true" t="shared" si="152" ref="R589:R594">+Q589+P589</f>
        <v>1972.425</v>
      </c>
      <c r="S589" s="261"/>
      <c r="T589" s="262"/>
    </row>
    <row r="590" spans="1:20" s="91" customFormat="1" ht="24" customHeight="1">
      <c r="A590" s="85" t="s">
        <v>617</v>
      </c>
      <c r="B590" s="173"/>
      <c r="C590" s="87" t="s">
        <v>40</v>
      </c>
      <c r="D590" s="147" t="s">
        <v>543</v>
      </c>
      <c r="E590" s="145" t="s">
        <v>203</v>
      </c>
      <c r="F590" s="238">
        <v>39234</v>
      </c>
      <c r="G590" s="234">
        <v>39234</v>
      </c>
      <c r="H590" s="236">
        <v>39233</v>
      </c>
      <c r="I590" s="145" t="s">
        <v>179</v>
      </c>
      <c r="J590" s="237">
        <v>3570</v>
      </c>
      <c r="K590" s="12"/>
      <c r="L590" s="111">
        <v>3570</v>
      </c>
      <c r="M590" s="192">
        <v>3034.5</v>
      </c>
      <c r="N590" s="31"/>
      <c r="O590" s="111">
        <f t="shared" si="149"/>
        <v>3034.5</v>
      </c>
      <c r="P590" s="31">
        <f t="shared" si="150"/>
        <v>1972.425</v>
      </c>
      <c r="Q590" s="31">
        <f t="shared" si="151"/>
        <v>0</v>
      </c>
      <c r="R590" s="111">
        <f t="shared" si="152"/>
        <v>1972.425</v>
      </c>
      <c r="S590" s="261"/>
      <c r="T590" s="262"/>
    </row>
    <row r="591" spans="1:20" s="91" customFormat="1" ht="24" customHeight="1">
      <c r="A591" s="85" t="s">
        <v>617</v>
      </c>
      <c r="B591" s="173"/>
      <c r="C591" s="87" t="s">
        <v>40</v>
      </c>
      <c r="D591" s="147" t="s">
        <v>543</v>
      </c>
      <c r="E591" s="145" t="s">
        <v>203</v>
      </c>
      <c r="F591" s="238">
        <v>39264</v>
      </c>
      <c r="G591" s="234">
        <v>39264</v>
      </c>
      <c r="H591" s="236">
        <v>39265</v>
      </c>
      <c r="I591" s="145" t="s">
        <v>179</v>
      </c>
      <c r="J591" s="237">
        <v>3627</v>
      </c>
      <c r="K591" s="12"/>
      <c r="L591" s="111">
        <v>3627</v>
      </c>
      <c r="M591" s="192">
        <v>3082.95</v>
      </c>
      <c r="N591" s="31"/>
      <c r="O591" s="111">
        <f t="shared" si="149"/>
        <v>3082.95</v>
      </c>
      <c r="P591" s="31">
        <f t="shared" si="150"/>
        <v>2003.9175</v>
      </c>
      <c r="Q591" s="31">
        <f t="shared" si="151"/>
        <v>0</v>
      </c>
      <c r="R591" s="111">
        <f t="shared" si="152"/>
        <v>2003.9175</v>
      </c>
      <c r="S591" s="261"/>
      <c r="T591" s="262"/>
    </row>
    <row r="592" spans="1:20" s="91" customFormat="1" ht="24" customHeight="1">
      <c r="A592" s="85" t="s">
        <v>617</v>
      </c>
      <c r="B592" s="173"/>
      <c r="C592" s="87" t="s">
        <v>40</v>
      </c>
      <c r="D592" s="147" t="s">
        <v>543</v>
      </c>
      <c r="E592" s="145" t="s">
        <v>203</v>
      </c>
      <c r="F592" s="238">
        <v>39295</v>
      </c>
      <c r="G592" s="234">
        <v>39295</v>
      </c>
      <c r="H592" s="236">
        <v>39294</v>
      </c>
      <c r="I592" s="145" t="s">
        <v>179</v>
      </c>
      <c r="J592" s="237">
        <v>3627</v>
      </c>
      <c r="K592" s="12"/>
      <c r="L592" s="111">
        <v>3627</v>
      </c>
      <c r="M592" s="192">
        <v>3082.95</v>
      </c>
      <c r="N592" s="31"/>
      <c r="O592" s="111">
        <f t="shared" si="149"/>
        <v>3082.95</v>
      </c>
      <c r="P592" s="31">
        <f t="shared" si="150"/>
        <v>2003.9175</v>
      </c>
      <c r="Q592" s="31">
        <f t="shared" si="151"/>
        <v>0</v>
      </c>
      <c r="R592" s="111">
        <f t="shared" si="152"/>
        <v>2003.9175</v>
      </c>
      <c r="S592" s="261"/>
      <c r="T592" s="262"/>
    </row>
    <row r="593" spans="1:20" s="91" customFormat="1" ht="24" customHeight="1">
      <c r="A593" s="85" t="s">
        <v>617</v>
      </c>
      <c r="B593" s="173"/>
      <c r="C593" s="87" t="s">
        <v>40</v>
      </c>
      <c r="D593" s="147" t="s">
        <v>552</v>
      </c>
      <c r="E593" s="145" t="s">
        <v>161</v>
      </c>
      <c r="F593" s="238">
        <v>-70111</v>
      </c>
      <c r="G593" s="234">
        <v>39210</v>
      </c>
      <c r="H593" s="236">
        <v>39210</v>
      </c>
      <c r="I593" s="145" t="s">
        <v>162</v>
      </c>
      <c r="J593" s="237">
        <v>1459.96</v>
      </c>
      <c r="K593" s="12">
        <v>261.04</v>
      </c>
      <c r="L593" s="111">
        <v>1721</v>
      </c>
      <c r="M593" s="192">
        <v>1240.9660000000001</v>
      </c>
      <c r="N593" s="31"/>
      <c r="O593" s="111">
        <f t="shared" si="149"/>
        <v>1240.9660000000001</v>
      </c>
      <c r="P593" s="31">
        <f t="shared" si="150"/>
        <v>806.6279000000001</v>
      </c>
      <c r="Q593" s="31">
        <f t="shared" si="151"/>
        <v>0</v>
      </c>
      <c r="R593" s="111">
        <f t="shared" si="152"/>
        <v>806.6279000000001</v>
      </c>
      <c r="S593" s="351" t="s">
        <v>694</v>
      </c>
      <c r="T593" s="352"/>
    </row>
    <row r="594" spans="1:20" s="91" customFormat="1" ht="24" customHeight="1">
      <c r="A594" s="85" t="s">
        <v>617</v>
      </c>
      <c r="B594" s="173"/>
      <c r="C594" s="87" t="s">
        <v>40</v>
      </c>
      <c r="D594" s="147" t="s">
        <v>552</v>
      </c>
      <c r="E594" s="145" t="s">
        <v>161</v>
      </c>
      <c r="F594" s="238">
        <v>-76886</v>
      </c>
      <c r="G594" s="234">
        <v>39272</v>
      </c>
      <c r="H594" s="236">
        <v>39272</v>
      </c>
      <c r="I594" s="145" t="s">
        <v>162</v>
      </c>
      <c r="J594" s="237">
        <v>1168.55</v>
      </c>
      <c r="K594" s="12">
        <v>199.45</v>
      </c>
      <c r="L594" s="111">
        <v>1368</v>
      </c>
      <c r="M594" s="192">
        <v>993.2675</v>
      </c>
      <c r="N594" s="31"/>
      <c r="O594" s="111">
        <f t="shared" si="149"/>
        <v>993.2675</v>
      </c>
      <c r="P594" s="31">
        <f t="shared" si="150"/>
        <v>645.623875</v>
      </c>
      <c r="Q594" s="31">
        <f t="shared" si="151"/>
        <v>0</v>
      </c>
      <c r="R594" s="111">
        <f t="shared" si="152"/>
        <v>645.623875</v>
      </c>
      <c r="S594" s="351" t="s">
        <v>694</v>
      </c>
      <c r="T594" s="352"/>
    </row>
    <row r="595" spans="1:20" s="91" customFormat="1" ht="24" customHeight="1">
      <c r="A595" s="85" t="s">
        <v>617</v>
      </c>
      <c r="B595" s="173"/>
      <c r="C595" s="87" t="s">
        <v>40</v>
      </c>
      <c r="D595" s="147" t="s">
        <v>557</v>
      </c>
      <c r="E595" s="145" t="s">
        <v>183</v>
      </c>
      <c r="F595" s="238">
        <v>-444614</v>
      </c>
      <c r="G595" s="234">
        <v>39205</v>
      </c>
      <c r="H595" s="236">
        <v>39225</v>
      </c>
      <c r="I595" s="145" t="s">
        <v>162</v>
      </c>
      <c r="J595" s="237">
        <v>144.07</v>
      </c>
      <c r="K595" s="12">
        <v>28.81</v>
      </c>
      <c r="L595" s="111">
        <v>172.88</v>
      </c>
      <c r="M595" s="192">
        <v>122.45949999999999</v>
      </c>
      <c r="N595" s="31"/>
      <c r="O595" s="111">
        <f aca="true" t="shared" si="153" ref="O595:O602">+N595+M595</f>
        <v>122.45949999999999</v>
      </c>
      <c r="P595" s="31">
        <f aca="true" t="shared" si="154" ref="P595:P602">+M595*0.65</f>
        <v>79.598675</v>
      </c>
      <c r="Q595" s="31">
        <f aca="true" t="shared" si="155" ref="Q595:Q602">+N595*0.65</f>
        <v>0</v>
      </c>
      <c r="R595" s="111">
        <f aca="true" t="shared" si="156" ref="R595:R602">+Q595+P595</f>
        <v>79.598675</v>
      </c>
      <c r="S595" s="351" t="s">
        <v>694</v>
      </c>
      <c r="T595" s="352"/>
    </row>
    <row r="596" spans="1:20" s="91" customFormat="1" ht="24" customHeight="1">
      <c r="A596" s="85" t="s">
        <v>617</v>
      </c>
      <c r="B596" s="173"/>
      <c r="C596" s="87" t="s">
        <v>40</v>
      </c>
      <c r="D596" s="147" t="s">
        <v>557</v>
      </c>
      <c r="E596" s="145" t="s">
        <v>183</v>
      </c>
      <c r="F596" s="238">
        <v>-444615</v>
      </c>
      <c r="G596" s="234">
        <v>39268</v>
      </c>
      <c r="H596" s="236">
        <v>39288</v>
      </c>
      <c r="I596" s="145" t="s">
        <v>162</v>
      </c>
      <c r="J596" s="237">
        <v>198.17</v>
      </c>
      <c r="K596" s="12">
        <v>39.63</v>
      </c>
      <c r="L596" s="111">
        <v>237.8</v>
      </c>
      <c r="M596" s="192">
        <v>168.4445</v>
      </c>
      <c r="N596" s="31"/>
      <c r="O596" s="111">
        <f t="shared" si="153"/>
        <v>168.4445</v>
      </c>
      <c r="P596" s="31">
        <f t="shared" si="154"/>
        <v>109.48892500000001</v>
      </c>
      <c r="Q596" s="31">
        <f t="shared" si="155"/>
        <v>0</v>
      </c>
      <c r="R596" s="111">
        <f t="shared" si="156"/>
        <v>109.48892500000001</v>
      </c>
      <c r="S596" s="351" t="s">
        <v>694</v>
      </c>
      <c r="T596" s="352"/>
    </row>
    <row r="597" spans="1:20" s="91" customFormat="1" ht="24" customHeight="1">
      <c r="A597" s="85" t="s">
        <v>617</v>
      </c>
      <c r="B597" s="173"/>
      <c r="C597" s="87" t="s">
        <v>40</v>
      </c>
      <c r="D597" s="147" t="s">
        <v>560</v>
      </c>
      <c r="E597" s="145" t="s">
        <v>561</v>
      </c>
      <c r="F597" s="238">
        <v>-651970</v>
      </c>
      <c r="G597" s="234">
        <v>39239</v>
      </c>
      <c r="H597" s="236">
        <v>39276</v>
      </c>
      <c r="I597" s="145" t="s">
        <v>162</v>
      </c>
      <c r="J597" s="237">
        <v>90.02</v>
      </c>
      <c r="K597" s="12">
        <v>18.98</v>
      </c>
      <c r="L597" s="111">
        <v>109</v>
      </c>
      <c r="M597" s="192">
        <v>76.517</v>
      </c>
      <c r="N597" s="31"/>
      <c r="O597" s="111">
        <f t="shared" si="153"/>
        <v>76.517</v>
      </c>
      <c r="P597" s="31">
        <f t="shared" si="154"/>
        <v>49.73605</v>
      </c>
      <c r="Q597" s="31">
        <f t="shared" si="155"/>
        <v>0</v>
      </c>
      <c r="R597" s="111">
        <f t="shared" si="156"/>
        <v>49.73605</v>
      </c>
      <c r="S597" s="351" t="s">
        <v>694</v>
      </c>
      <c r="T597" s="352"/>
    </row>
    <row r="598" spans="1:20" s="91" customFormat="1" ht="24" customHeight="1">
      <c r="A598" s="85" t="s">
        <v>617</v>
      </c>
      <c r="B598" s="173"/>
      <c r="C598" s="87" t="s">
        <v>40</v>
      </c>
      <c r="D598" s="147" t="s">
        <v>560</v>
      </c>
      <c r="E598" s="145" t="s">
        <v>561</v>
      </c>
      <c r="F598" s="238">
        <v>-647360</v>
      </c>
      <c r="G598" s="234">
        <v>39239</v>
      </c>
      <c r="H598" s="236">
        <v>39276</v>
      </c>
      <c r="I598" s="145" t="s">
        <v>162</v>
      </c>
      <c r="J598" s="237">
        <v>460.2</v>
      </c>
      <c r="K598" s="12">
        <v>92.8</v>
      </c>
      <c r="L598" s="111">
        <v>553</v>
      </c>
      <c r="M598" s="192">
        <v>391.17</v>
      </c>
      <c r="N598" s="31"/>
      <c r="O598" s="111">
        <f t="shared" si="153"/>
        <v>391.17</v>
      </c>
      <c r="P598" s="31">
        <f t="shared" si="154"/>
        <v>254.2605</v>
      </c>
      <c r="Q598" s="31">
        <f t="shared" si="155"/>
        <v>0</v>
      </c>
      <c r="R598" s="111">
        <f t="shared" si="156"/>
        <v>254.2605</v>
      </c>
      <c r="S598" s="351" t="s">
        <v>694</v>
      </c>
      <c r="T598" s="352"/>
    </row>
    <row r="599" spans="1:20" s="91" customFormat="1" ht="24" customHeight="1">
      <c r="A599" s="85" t="s">
        <v>617</v>
      </c>
      <c r="B599" s="173"/>
      <c r="C599" s="87" t="s">
        <v>40</v>
      </c>
      <c r="D599" s="147" t="s">
        <v>560</v>
      </c>
      <c r="E599" s="145" t="s">
        <v>561</v>
      </c>
      <c r="F599" s="238">
        <v>-646593</v>
      </c>
      <c r="G599" s="234">
        <v>39239</v>
      </c>
      <c r="H599" s="236">
        <v>39276</v>
      </c>
      <c r="I599" s="145" t="s">
        <v>162</v>
      </c>
      <c r="J599" s="237">
        <v>192.1</v>
      </c>
      <c r="K599" s="12">
        <v>38.9</v>
      </c>
      <c r="L599" s="111">
        <v>231</v>
      </c>
      <c r="M599" s="192">
        <v>163.285</v>
      </c>
      <c r="N599" s="31"/>
      <c r="O599" s="111">
        <f t="shared" si="153"/>
        <v>163.285</v>
      </c>
      <c r="P599" s="31">
        <f t="shared" si="154"/>
        <v>106.13525</v>
      </c>
      <c r="Q599" s="31">
        <f t="shared" si="155"/>
        <v>0</v>
      </c>
      <c r="R599" s="111">
        <f t="shared" si="156"/>
        <v>106.13525</v>
      </c>
      <c r="S599" s="351" t="s">
        <v>694</v>
      </c>
      <c r="T599" s="352"/>
    </row>
    <row r="600" spans="1:20" s="91" customFormat="1" ht="24" customHeight="1">
      <c r="A600" s="85" t="s">
        <v>617</v>
      </c>
      <c r="B600" s="173"/>
      <c r="C600" s="87" t="s">
        <v>40</v>
      </c>
      <c r="D600" s="147" t="s">
        <v>560</v>
      </c>
      <c r="E600" s="145" t="s">
        <v>561</v>
      </c>
      <c r="F600" s="238">
        <v>-439232</v>
      </c>
      <c r="G600" s="234">
        <v>39207</v>
      </c>
      <c r="H600" s="236">
        <v>39216</v>
      </c>
      <c r="I600" s="145" t="s">
        <v>162</v>
      </c>
      <c r="J600" s="237">
        <v>171.49</v>
      </c>
      <c r="K600" s="12">
        <v>35.01</v>
      </c>
      <c r="L600" s="111">
        <v>206.5</v>
      </c>
      <c r="M600" s="192">
        <v>145.7665</v>
      </c>
      <c r="N600" s="31"/>
      <c r="O600" s="111">
        <f t="shared" si="153"/>
        <v>145.7665</v>
      </c>
      <c r="P600" s="31">
        <f t="shared" si="154"/>
        <v>94.748225</v>
      </c>
      <c r="Q600" s="31">
        <f t="shared" si="155"/>
        <v>0</v>
      </c>
      <c r="R600" s="111">
        <f t="shared" si="156"/>
        <v>94.748225</v>
      </c>
      <c r="S600" s="351" t="s">
        <v>694</v>
      </c>
      <c r="T600" s="352"/>
    </row>
    <row r="601" spans="1:20" s="91" customFormat="1" ht="24" customHeight="1">
      <c r="A601" s="85" t="s">
        <v>617</v>
      </c>
      <c r="B601" s="173"/>
      <c r="C601" s="87" t="s">
        <v>40</v>
      </c>
      <c r="D601" s="147" t="s">
        <v>560</v>
      </c>
      <c r="E601" s="145" t="s">
        <v>561</v>
      </c>
      <c r="F601" s="238">
        <v>-442281</v>
      </c>
      <c r="G601" s="234">
        <v>39177</v>
      </c>
      <c r="H601" s="236">
        <v>39216</v>
      </c>
      <c r="I601" s="145" t="s">
        <v>162</v>
      </c>
      <c r="J601" s="237">
        <v>666.43</v>
      </c>
      <c r="K601" s="12">
        <v>134.07</v>
      </c>
      <c r="L601" s="111">
        <v>800.5</v>
      </c>
      <c r="M601" s="192">
        <v>566.4655</v>
      </c>
      <c r="N601" s="31"/>
      <c r="O601" s="111">
        <f t="shared" si="153"/>
        <v>566.4655</v>
      </c>
      <c r="P601" s="31">
        <f t="shared" si="154"/>
        <v>368.202575</v>
      </c>
      <c r="Q601" s="31">
        <f t="shared" si="155"/>
        <v>0</v>
      </c>
      <c r="R601" s="111">
        <f t="shared" si="156"/>
        <v>368.202575</v>
      </c>
      <c r="S601" s="351" t="s">
        <v>694</v>
      </c>
      <c r="T601" s="352"/>
    </row>
    <row r="602" spans="1:20" s="91" customFormat="1" ht="24" customHeight="1">
      <c r="A602" s="85" t="s">
        <v>617</v>
      </c>
      <c r="B602" s="173"/>
      <c r="C602" s="87" t="s">
        <v>40</v>
      </c>
      <c r="D602" s="147" t="s">
        <v>560</v>
      </c>
      <c r="E602" s="145" t="s">
        <v>561</v>
      </c>
      <c r="F602" s="238">
        <v>-441963</v>
      </c>
      <c r="G602" s="234">
        <v>39177</v>
      </c>
      <c r="H602" s="236">
        <v>39216</v>
      </c>
      <c r="I602" s="145" t="s">
        <v>162</v>
      </c>
      <c r="J602" s="237">
        <v>107.2</v>
      </c>
      <c r="K602" s="12">
        <v>22.3</v>
      </c>
      <c r="L602" s="111">
        <v>129.5</v>
      </c>
      <c r="M602" s="192">
        <v>91.12</v>
      </c>
      <c r="N602" s="31"/>
      <c r="O602" s="111">
        <f t="shared" si="153"/>
        <v>91.12</v>
      </c>
      <c r="P602" s="31">
        <f t="shared" si="154"/>
        <v>59.228</v>
      </c>
      <c r="Q602" s="31">
        <f t="shared" si="155"/>
        <v>0</v>
      </c>
      <c r="R602" s="111">
        <f t="shared" si="156"/>
        <v>59.228</v>
      </c>
      <c r="S602" s="351" t="s">
        <v>694</v>
      </c>
      <c r="T602" s="352"/>
    </row>
    <row r="603" spans="1:20" s="91" customFormat="1" ht="24" customHeight="1">
      <c r="A603" s="85" t="s">
        <v>617</v>
      </c>
      <c r="B603" s="173"/>
      <c r="C603" s="14" t="s">
        <v>41</v>
      </c>
      <c r="D603" s="147" t="s">
        <v>572</v>
      </c>
      <c r="E603" s="145" t="s">
        <v>573</v>
      </c>
      <c r="F603" s="238">
        <v>8</v>
      </c>
      <c r="G603" s="234">
        <v>39202</v>
      </c>
      <c r="H603" s="236">
        <v>39225</v>
      </c>
      <c r="I603" s="145" t="s">
        <v>179</v>
      </c>
      <c r="J603" s="237">
        <v>250</v>
      </c>
      <c r="K603" s="12">
        <v>50</v>
      </c>
      <c r="L603" s="111">
        <v>300</v>
      </c>
      <c r="M603" s="192"/>
      <c r="N603" s="31"/>
      <c r="O603" s="111"/>
      <c r="P603" s="31"/>
      <c r="Q603" s="31"/>
      <c r="R603" s="111"/>
      <c r="S603" s="351" t="s">
        <v>692</v>
      </c>
      <c r="T603" s="352"/>
    </row>
    <row r="604" spans="1:20" s="91" customFormat="1" ht="24" customHeight="1">
      <c r="A604" s="85" t="s">
        <v>617</v>
      </c>
      <c r="B604" s="173"/>
      <c r="C604" s="14" t="s">
        <v>41</v>
      </c>
      <c r="D604" s="147" t="s">
        <v>572</v>
      </c>
      <c r="E604" s="145" t="s">
        <v>573</v>
      </c>
      <c r="F604" s="238">
        <v>18</v>
      </c>
      <c r="G604" s="234">
        <v>39232</v>
      </c>
      <c r="H604" s="236">
        <v>39255</v>
      </c>
      <c r="I604" s="145" t="s">
        <v>179</v>
      </c>
      <c r="J604" s="237">
        <v>250</v>
      </c>
      <c r="K604" s="12">
        <v>50</v>
      </c>
      <c r="L604" s="111">
        <v>300</v>
      </c>
      <c r="M604" s="192"/>
      <c r="N604" s="31"/>
      <c r="O604" s="111"/>
      <c r="P604" s="31"/>
      <c r="Q604" s="31"/>
      <c r="R604" s="111"/>
      <c r="S604" s="351" t="s">
        <v>692</v>
      </c>
      <c r="T604" s="352"/>
    </row>
    <row r="605" spans="1:20" s="91" customFormat="1" ht="24" customHeight="1">
      <c r="A605" s="85" t="s">
        <v>617</v>
      </c>
      <c r="B605" s="173"/>
      <c r="C605" s="14" t="s">
        <v>41</v>
      </c>
      <c r="D605" s="147" t="s">
        <v>572</v>
      </c>
      <c r="E605" s="145" t="s">
        <v>573</v>
      </c>
      <c r="F605" s="238">
        <v>28</v>
      </c>
      <c r="G605" s="234">
        <v>39263</v>
      </c>
      <c r="H605" s="236">
        <v>39272</v>
      </c>
      <c r="I605" s="145" t="s">
        <v>179</v>
      </c>
      <c r="J605" s="237">
        <v>250</v>
      </c>
      <c r="K605" s="12">
        <v>50</v>
      </c>
      <c r="L605" s="111">
        <v>300</v>
      </c>
      <c r="M605" s="192"/>
      <c r="N605" s="31"/>
      <c r="O605" s="111"/>
      <c r="P605" s="31"/>
      <c r="Q605" s="31"/>
      <c r="R605" s="111"/>
      <c r="S605" s="351" t="s">
        <v>692</v>
      </c>
      <c r="T605" s="352"/>
    </row>
    <row r="606" spans="1:20" s="91" customFormat="1" ht="37.5" customHeight="1">
      <c r="A606" s="85" t="s">
        <v>617</v>
      </c>
      <c r="B606" s="173"/>
      <c r="C606" s="67" t="s">
        <v>125</v>
      </c>
      <c r="D606" s="147" t="s">
        <v>618</v>
      </c>
      <c r="E606" s="145" t="s">
        <v>619</v>
      </c>
      <c r="F606" s="238" t="s">
        <v>620</v>
      </c>
      <c r="G606" s="234">
        <v>39155</v>
      </c>
      <c r="H606" s="236">
        <v>39230</v>
      </c>
      <c r="I606" s="145" t="s">
        <v>328</v>
      </c>
      <c r="J606" s="237">
        <v>423</v>
      </c>
      <c r="K606" s="12">
        <v>84.6</v>
      </c>
      <c r="L606" s="111">
        <v>507.6</v>
      </c>
      <c r="M606" s="237">
        <v>423</v>
      </c>
      <c r="N606" s="12">
        <v>84.6</v>
      </c>
      <c r="O606" s="111">
        <f>+N606+M606</f>
        <v>507.6</v>
      </c>
      <c r="P606" s="31">
        <f>+M606*0.65</f>
        <v>274.95</v>
      </c>
      <c r="Q606" s="31">
        <f>+N606*0.65</f>
        <v>54.989999999999995</v>
      </c>
      <c r="R606" s="111">
        <f>+Q606+P606</f>
        <v>329.94</v>
      </c>
      <c r="S606" s="261"/>
      <c r="T606" s="262"/>
    </row>
    <row r="607" spans="1:20" s="91" customFormat="1" ht="24" customHeight="1">
      <c r="A607" s="85" t="s">
        <v>617</v>
      </c>
      <c r="B607" s="173"/>
      <c r="C607" s="67" t="s">
        <v>125</v>
      </c>
      <c r="D607" s="147" t="s">
        <v>621</v>
      </c>
      <c r="E607" s="145" t="s">
        <v>622</v>
      </c>
      <c r="F607" s="238">
        <v>418</v>
      </c>
      <c r="G607" s="234">
        <v>39169</v>
      </c>
      <c r="H607" s="236">
        <v>39237</v>
      </c>
      <c r="I607" s="145" t="s">
        <v>328</v>
      </c>
      <c r="J607" s="237">
        <v>70</v>
      </c>
      <c r="K607" s="12">
        <v>14</v>
      </c>
      <c r="L607" s="111">
        <v>84</v>
      </c>
      <c r="M607" s="237">
        <v>70</v>
      </c>
      <c r="N607" s="12">
        <v>14</v>
      </c>
      <c r="O607" s="111">
        <f>+N607+M607</f>
        <v>84</v>
      </c>
      <c r="P607" s="31">
        <f aca="true" t="shared" si="157" ref="P607:P620">+M607*0.65</f>
        <v>45.5</v>
      </c>
      <c r="Q607" s="31">
        <f aca="true" t="shared" si="158" ref="Q607:Q620">+N607*0.65</f>
        <v>9.1</v>
      </c>
      <c r="R607" s="111">
        <f aca="true" t="shared" si="159" ref="R607:R620">+Q607+P607</f>
        <v>54.6</v>
      </c>
      <c r="S607" s="261"/>
      <c r="T607" s="262"/>
    </row>
    <row r="608" spans="1:20" s="91" customFormat="1" ht="24" customHeight="1">
      <c r="A608" s="85" t="s">
        <v>617</v>
      </c>
      <c r="B608" s="173"/>
      <c r="C608" s="67" t="s">
        <v>125</v>
      </c>
      <c r="D608" s="147" t="s">
        <v>623</v>
      </c>
      <c r="E608" s="145" t="s">
        <v>622</v>
      </c>
      <c r="F608" s="238">
        <v>418</v>
      </c>
      <c r="G608" s="234">
        <v>39169</v>
      </c>
      <c r="H608" s="236">
        <v>39237</v>
      </c>
      <c r="I608" s="145" t="s">
        <v>328</v>
      </c>
      <c r="J608" s="237">
        <v>36</v>
      </c>
      <c r="K608" s="12">
        <v>7.2</v>
      </c>
      <c r="L608" s="111">
        <v>43.2</v>
      </c>
      <c r="M608" s="237">
        <v>36</v>
      </c>
      <c r="N608" s="12">
        <v>7.2</v>
      </c>
      <c r="O608" s="111">
        <f aca="true" t="shared" si="160" ref="O608:O620">+N608+M608</f>
        <v>43.2</v>
      </c>
      <c r="P608" s="31">
        <f t="shared" si="157"/>
        <v>23.400000000000002</v>
      </c>
      <c r="Q608" s="31">
        <f t="shared" si="158"/>
        <v>4.680000000000001</v>
      </c>
      <c r="R608" s="111">
        <f t="shared" si="159"/>
        <v>28.080000000000002</v>
      </c>
      <c r="S608" s="261"/>
      <c r="T608" s="262"/>
    </row>
    <row r="609" spans="1:20" s="91" customFormat="1" ht="24" customHeight="1">
      <c r="A609" s="85" t="s">
        <v>617</v>
      </c>
      <c r="B609" s="173"/>
      <c r="C609" s="67" t="s">
        <v>125</v>
      </c>
      <c r="D609" s="147" t="s">
        <v>624</v>
      </c>
      <c r="E609" s="145" t="s">
        <v>622</v>
      </c>
      <c r="F609" s="238">
        <v>418</v>
      </c>
      <c r="G609" s="234">
        <v>39169</v>
      </c>
      <c r="H609" s="236">
        <v>39237</v>
      </c>
      <c r="I609" s="145" t="s">
        <v>328</v>
      </c>
      <c r="J609" s="237">
        <v>100</v>
      </c>
      <c r="K609" s="12">
        <v>20</v>
      </c>
      <c r="L609" s="111">
        <v>120</v>
      </c>
      <c r="M609" s="237">
        <v>100</v>
      </c>
      <c r="N609" s="12">
        <v>20</v>
      </c>
      <c r="O609" s="111">
        <f t="shared" si="160"/>
        <v>120</v>
      </c>
      <c r="P609" s="31">
        <f t="shared" si="157"/>
        <v>65</v>
      </c>
      <c r="Q609" s="31">
        <f t="shared" si="158"/>
        <v>13</v>
      </c>
      <c r="R609" s="111">
        <f t="shared" si="159"/>
        <v>78</v>
      </c>
      <c r="S609" s="261"/>
      <c r="T609" s="262"/>
    </row>
    <row r="610" spans="1:20" s="91" customFormat="1" ht="24" customHeight="1">
      <c r="A610" s="85" t="s">
        <v>617</v>
      </c>
      <c r="B610" s="173"/>
      <c r="C610" s="67" t="s">
        <v>125</v>
      </c>
      <c r="D610" s="147" t="s">
        <v>625</v>
      </c>
      <c r="E610" s="145" t="s">
        <v>622</v>
      </c>
      <c r="F610" s="238">
        <v>418</v>
      </c>
      <c r="G610" s="234">
        <v>39169</v>
      </c>
      <c r="H610" s="236">
        <v>39237</v>
      </c>
      <c r="I610" s="145" t="s">
        <v>328</v>
      </c>
      <c r="J610" s="237">
        <v>65</v>
      </c>
      <c r="K610" s="12">
        <v>13</v>
      </c>
      <c r="L610" s="111">
        <v>78</v>
      </c>
      <c r="M610" s="237">
        <v>65</v>
      </c>
      <c r="N610" s="12">
        <v>13</v>
      </c>
      <c r="O610" s="111">
        <f t="shared" si="160"/>
        <v>78</v>
      </c>
      <c r="P610" s="31">
        <f t="shared" si="157"/>
        <v>42.25</v>
      </c>
      <c r="Q610" s="31">
        <f t="shared" si="158"/>
        <v>8.450000000000001</v>
      </c>
      <c r="R610" s="111">
        <f t="shared" si="159"/>
        <v>50.7</v>
      </c>
      <c r="S610" s="261"/>
      <c r="T610" s="262"/>
    </row>
    <row r="611" spans="1:20" s="91" customFormat="1" ht="24" customHeight="1">
      <c r="A611" s="85" t="s">
        <v>617</v>
      </c>
      <c r="B611" s="173"/>
      <c r="C611" s="67" t="s">
        <v>125</v>
      </c>
      <c r="D611" s="147" t="s">
        <v>626</v>
      </c>
      <c r="E611" s="145" t="s">
        <v>622</v>
      </c>
      <c r="F611" s="238">
        <v>418</v>
      </c>
      <c r="G611" s="234">
        <v>39169</v>
      </c>
      <c r="H611" s="236">
        <v>39237</v>
      </c>
      <c r="I611" s="145" t="s">
        <v>328</v>
      </c>
      <c r="J611" s="237">
        <v>159</v>
      </c>
      <c r="K611" s="12">
        <v>31.8</v>
      </c>
      <c r="L611" s="111">
        <v>190.8</v>
      </c>
      <c r="M611" s="237">
        <v>159</v>
      </c>
      <c r="N611" s="12">
        <v>31.8</v>
      </c>
      <c r="O611" s="111">
        <f t="shared" si="160"/>
        <v>190.8</v>
      </c>
      <c r="P611" s="31">
        <f t="shared" si="157"/>
        <v>103.35000000000001</v>
      </c>
      <c r="Q611" s="31">
        <f t="shared" si="158"/>
        <v>20.67</v>
      </c>
      <c r="R611" s="111">
        <f t="shared" si="159"/>
        <v>124.02000000000001</v>
      </c>
      <c r="S611" s="261"/>
      <c r="T611" s="262"/>
    </row>
    <row r="612" spans="1:20" s="91" customFormat="1" ht="24" customHeight="1">
      <c r="A612" s="85" t="s">
        <v>617</v>
      </c>
      <c r="B612" s="173"/>
      <c r="C612" s="67" t="s">
        <v>125</v>
      </c>
      <c r="D612" s="147" t="s">
        <v>627</v>
      </c>
      <c r="E612" s="145" t="s">
        <v>622</v>
      </c>
      <c r="F612" s="238">
        <v>418</v>
      </c>
      <c r="G612" s="234">
        <v>39169</v>
      </c>
      <c r="H612" s="236">
        <v>39237</v>
      </c>
      <c r="I612" s="145" t="s">
        <v>328</v>
      </c>
      <c r="J612" s="237">
        <v>93</v>
      </c>
      <c r="K612" s="12">
        <v>18.6</v>
      </c>
      <c r="L612" s="111">
        <v>111.6</v>
      </c>
      <c r="M612" s="237">
        <v>93</v>
      </c>
      <c r="N612" s="12">
        <v>18.6</v>
      </c>
      <c r="O612" s="111">
        <f t="shared" si="160"/>
        <v>111.6</v>
      </c>
      <c r="P612" s="31">
        <f t="shared" si="157"/>
        <v>60.45</v>
      </c>
      <c r="Q612" s="31">
        <f t="shared" si="158"/>
        <v>12.090000000000002</v>
      </c>
      <c r="R612" s="111">
        <f t="shared" si="159"/>
        <v>72.54</v>
      </c>
      <c r="S612" s="261"/>
      <c r="T612" s="262"/>
    </row>
    <row r="613" spans="1:20" s="91" customFormat="1" ht="24" customHeight="1">
      <c r="A613" s="85" t="s">
        <v>617</v>
      </c>
      <c r="B613" s="173"/>
      <c r="C613" s="67" t="s">
        <v>125</v>
      </c>
      <c r="D613" s="147" t="s">
        <v>628</v>
      </c>
      <c r="E613" s="145" t="s">
        <v>622</v>
      </c>
      <c r="F613" s="238">
        <v>418</v>
      </c>
      <c r="G613" s="234">
        <v>39169</v>
      </c>
      <c r="H613" s="236">
        <v>39237</v>
      </c>
      <c r="I613" s="145" t="s">
        <v>328</v>
      </c>
      <c r="J613" s="237">
        <v>24</v>
      </c>
      <c r="K613" s="12">
        <v>4.8</v>
      </c>
      <c r="L613" s="111">
        <v>28.8</v>
      </c>
      <c r="M613" s="237">
        <v>24</v>
      </c>
      <c r="N613" s="12">
        <v>4.8</v>
      </c>
      <c r="O613" s="111">
        <f t="shared" si="160"/>
        <v>28.8</v>
      </c>
      <c r="P613" s="31">
        <f t="shared" si="157"/>
        <v>15.600000000000001</v>
      </c>
      <c r="Q613" s="31">
        <f t="shared" si="158"/>
        <v>3.12</v>
      </c>
      <c r="R613" s="111">
        <f t="shared" si="159"/>
        <v>18.720000000000002</v>
      </c>
      <c r="S613" s="261"/>
      <c r="T613" s="262"/>
    </row>
    <row r="614" spans="1:20" s="91" customFormat="1" ht="24" customHeight="1">
      <c r="A614" s="85" t="s">
        <v>617</v>
      </c>
      <c r="B614" s="173"/>
      <c r="C614" s="67" t="s">
        <v>125</v>
      </c>
      <c r="D614" s="147" t="s">
        <v>629</v>
      </c>
      <c r="E614" s="145" t="s">
        <v>622</v>
      </c>
      <c r="F614" s="238">
        <v>418</v>
      </c>
      <c r="G614" s="234">
        <v>39169</v>
      </c>
      <c r="H614" s="236">
        <v>39237</v>
      </c>
      <c r="I614" s="145" t="s">
        <v>328</v>
      </c>
      <c r="J614" s="237">
        <v>35</v>
      </c>
      <c r="K614" s="12">
        <v>7</v>
      </c>
      <c r="L614" s="111">
        <v>42</v>
      </c>
      <c r="M614" s="237">
        <v>35</v>
      </c>
      <c r="N614" s="12">
        <v>7</v>
      </c>
      <c r="O614" s="111">
        <f t="shared" si="160"/>
        <v>42</v>
      </c>
      <c r="P614" s="31">
        <f t="shared" si="157"/>
        <v>22.75</v>
      </c>
      <c r="Q614" s="31">
        <f t="shared" si="158"/>
        <v>4.55</v>
      </c>
      <c r="R614" s="111">
        <f t="shared" si="159"/>
        <v>27.3</v>
      </c>
      <c r="S614" s="261"/>
      <c r="T614" s="262"/>
    </row>
    <row r="615" spans="1:20" s="91" customFormat="1" ht="24" customHeight="1">
      <c r="A615" s="85" t="s">
        <v>617</v>
      </c>
      <c r="B615" s="173"/>
      <c r="C615" s="67" t="s">
        <v>125</v>
      </c>
      <c r="D615" s="147" t="s">
        <v>630</v>
      </c>
      <c r="E615" s="145" t="s">
        <v>622</v>
      </c>
      <c r="F615" s="238">
        <v>418</v>
      </c>
      <c r="G615" s="234">
        <v>39169</v>
      </c>
      <c r="H615" s="236">
        <v>39237</v>
      </c>
      <c r="I615" s="145" t="s">
        <v>328</v>
      </c>
      <c r="J615" s="237">
        <v>15</v>
      </c>
      <c r="K615" s="12">
        <v>3</v>
      </c>
      <c r="L615" s="111">
        <v>18</v>
      </c>
      <c r="M615" s="237">
        <v>15</v>
      </c>
      <c r="N615" s="12">
        <v>3</v>
      </c>
      <c r="O615" s="111">
        <f t="shared" si="160"/>
        <v>18</v>
      </c>
      <c r="P615" s="31">
        <f t="shared" si="157"/>
        <v>9.75</v>
      </c>
      <c r="Q615" s="31">
        <f t="shared" si="158"/>
        <v>1.9500000000000002</v>
      </c>
      <c r="R615" s="111">
        <f t="shared" si="159"/>
        <v>11.7</v>
      </c>
      <c r="S615" s="261"/>
      <c r="T615" s="262"/>
    </row>
    <row r="616" spans="1:20" s="91" customFormat="1" ht="24" customHeight="1">
      <c r="A616" s="85" t="s">
        <v>617</v>
      </c>
      <c r="B616" s="173"/>
      <c r="C616" s="67" t="s">
        <v>125</v>
      </c>
      <c r="D616" s="147" t="s">
        <v>631</v>
      </c>
      <c r="E616" s="145" t="s">
        <v>622</v>
      </c>
      <c r="F616" s="238">
        <v>418</v>
      </c>
      <c r="G616" s="234">
        <v>39169</v>
      </c>
      <c r="H616" s="236">
        <v>39237</v>
      </c>
      <c r="I616" s="145" t="s">
        <v>328</v>
      </c>
      <c r="J616" s="237">
        <v>130</v>
      </c>
      <c r="K616" s="12">
        <v>26</v>
      </c>
      <c r="L616" s="111">
        <v>156</v>
      </c>
      <c r="M616" s="237">
        <v>130</v>
      </c>
      <c r="N616" s="12">
        <v>26</v>
      </c>
      <c r="O616" s="111">
        <f t="shared" si="160"/>
        <v>156</v>
      </c>
      <c r="P616" s="31">
        <f t="shared" si="157"/>
        <v>84.5</v>
      </c>
      <c r="Q616" s="31">
        <f t="shared" si="158"/>
        <v>16.900000000000002</v>
      </c>
      <c r="R616" s="111">
        <f t="shared" si="159"/>
        <v>101.4</v>
      </c>
      <c r="S616" s="261"/>
      <c r="T616" s="262"/>
    </row>
    <row r="617" spans="1:20" s="91" customFormat="1" ht="24" customHeight="1">
      <c r="A617" s="85" t="s">
        <v>617</v>
      </c>
      <c r="B617" s="173"/>
      <c r="C617" s="87" t="s">
        <v>40</v>
      </c>
      <c r="D617" s="147" t="s">
        <v>521</v>
      </c>
      <c r="E617" s="145" t="s">
        <v>522</v>
      </c>
      <c r="F617" s="238">
        <v>4820</v>
      </c>
      <c r="G617" s="234">
        <v>39356</v>
      </c>
      <c r="H617" s="236">
        <v>39353</v>
      </c>
      <c r="I617" s="145" t="s">
        <v>524</v>
      </c>
      <c r="J617" s="237">
        <v>500</v>
      </c>
      <c r="K617" s="12">
        <v>100</v>
      </c>
      <c r="L617" s="111">
        <v>600</v>
      </c>
      <c r="M617" s="192">
        <v>425</v>
      </c>
      <c r="N617" s="31"/>
      <c r="O617" s="111">
        <f t="shared" si="160"/>
        <v>425</v>
      </c>
      <c r="P617" s="31">
        <f t="shared" si="157"/>
        <v>276.25</v>
      </c>
      <c r="Q617" s="31">
        <f t="shared" si="158"/>
        <v>0</v>
      </c>
      <c r="R617" s="111">
        <f t="shared" si="159"/>
        <v>276.25</v>
      </c>
      <c r="S617" s="351" t="s">
        <v>694</v>
      </c>
      <c r="T617" s="352"/>
    </row>
    <row r="618" spans="1:20" s="91" customFormat="1" ht="24" customHeight="1">
      <c r="A618" s="85" t="s">
        <v>617</v>
      </c>
      <c r="B618" s="173"/>
      <c r="C618" s="87" t="s">
        <v>40</v>
      </c>
      <c r="D618" s="147" t="s">
        <v>521</v>
      </c>
      <c r="E618" s="145" t="s">
        <v>522</v>
      </c>
      <c r="F618" s="238">
        <v>5319</v>
      </c>
      <c r="G618" s="234">
        <v>39388</v>
      </c>
      <c r="H618" s="236">
        <v>39386</v>
      </c>
      <c r="I618" s="145" t="s">
        <v>524</v>
      </c>
      <c r="J618" s="237">
        <v>500</v>
      </c>
      <c r="K618" s="12">
        <v>100</v>
      </c>
      <c r="L618" s="111">
        <v>600</v>
      </c>
      <c r="M618" s="192">
        <v>425</v>
      </c>
      <c r="N618" s="31"/>
      <c r="O618" s="111">
        <f t="shared" si="160"/>
        <v>425</v>
      </c>
      <c r="P618" s="31">
        <f t="shared" si="157"/>
        <v>276.25</v>
      </c>
      <c r="Q618" s="31">
        <f t="shared" si="158"/>
        <v>0</v>
      </c>
      <c r="R618" s="111">
        <f t="shared" si="159"/>
        <v>276.25</v>
      </c>
      <c r="S618" s="351" t="s">
        <v>694</v>
      </c>
      <c r="T618" s="352"/>
    </row>
    <row r="619" spans="1:20" s="91" customFormat="1" ht="24" customHeight="1">
      <c r="A619" s="85" t="s">
        <v>617</v>
      </c>
      <c r="B619" s="173"/>
      <c r="C619" s="87" t="s">
        <v>40</v>
      </c>
      <c r="D619" s="147" t="s">
        <v>521</v>
      </c>
      <c r="E619" s="145" t="s">
        <v>522</v>
      </c>
      <c r="F619" s="238">
        <v>5706</v>
      </c>
      <c r="G619" s="234">
        <v>39417</v>
      </c>
      <c r="H619" s="236">
        <v>39416</v>
      </c>
      <c r="I619" s="145" t="s">
        <v>524</v>
      </c>
      <c r="J619" s="237">
        <v>500</v>
      </c>
      <c r="K619" s="12">
        <v>100</v>
      </c>
      <c r="L619" s="111">
        <v>600</v>
      </c>
      <c r="M619" s="192">
        <v>425</v>
      </c>
      <c r="N619" s="31"/>
      <c r="O619" s="111">
        <f t="shared" si="160"/>
        <v>425</v>
      </c>
      <c r="P619" s="31">
        <f t="shared" si="157"/>
        <v>276.25</v>
      </c>
      <c r="Q619" s="31">
        <f t="shared" si="158"/>
        <v>0</v>
      </c>
      <c r="R619" s="111">
        <f t="shared" si="159"/>
        <v>276.25</v>
      </c>
      <c r="S619" s="351" t="s">
        <v>694</v>
      </c>
      <c r="T619" s="352"/>
    </row>
    <row r="620" spans="1:20" s="91" customFormat="1" ht="24" customHeight="1">
      <c r="A620" s="85" t="s">
        <v>617</v>
      </c>
      <c r="B620" s="173"/>
      <c r="C620" s="87" t="s">
        <v>40</v>
      </c>
      <c r="D620" s="147" t="s">
        <v>521</v>
      </c>
      <c r="E620" s="145" t="s">
        <v>522</v>
      </c>
      <c r="F620" s="238">
        <v>6265</v>
      </c>
      <c r="G620" s="234">
        <v>39447</v>
      </c>
      <c r="H620" s="236">
        <v>39444</v>
      </c>
      <c r="I620" s="145" t="s">
        <v>524</v>
      </c>
      <c r="J620" s="237">
        <v>500</v>
      </c>
      <c r="K620" s="12">
        <v>100</v>
      </c>
      <c r="L620" s="111">
        <v>600</v>
      </c>
      <c r="M620" s="192">
        <v>425</v>
      </c>
      <c r="N620" s="31"/>
      <c r="O620" s="111">
        <f t="shared" si="160"/>
        <v>425</v>
      </c>
      <c r="P620" s="31">
        <f t="shared" si="157"/>
        <v>276.25</v>
      </c>
      <c r="Q620" s="31">
        <f t="shared" si="158"/>
        <v>0</v>
      </c>
      <c r="R620" s="111">
        <f t="shared" si="159"/>
        <v>276.25</v>
      </c>
      <c r="S620" s="351" t="s">
        <v>694</v>
      </c>
      <c r="T620" s="352"/>
    </row>
    <row r="621" spans="1:20" s="91" customFormat="1" ht="24" customHeight="1">
      <c r="A621" s="85" t="s">
        <v>617</v>
      </c>
      <c r="B621" s="173"/>
      <c r="C621" s="87" t="s">
        <v>40</v>
      </c>
      <c r="D621" s="147" t="s">
        <v>177</v>
      </c>
      <c r="E621" s="145" t="s">
        <v>531</v>
      </c>
      <c r="F621" s="238" t="s">
        <v>632</v>
      </c>
      <c r="G621" s="234">
        <v>39329</v>
      </c>
      <c r="H621" s="236">
        <v>39331</v>
      </c>
      <c r="I621" s="145" t="s">
        <v>179</v>
      </c>
      <c r="J621" s="237">
        <v>320</v>
      </c>
      <c r="K621" s="12"/>
      <c r="L621" s="111">
        <v>320</v>
      </c>
      <c r="M621" s="192">
        <v>272</v>
      </c>
      <c r="N621" s="31"/>
      <c r="O621" s="111">
        <f>+N621+M621</f>
        <v>272</v>
      </c>
      <c r="P621" s="31">
        <f aca="true" t="shared" si="161" ref="P621:Q624">+M621*0.65</f>
        <v>176.8</v>
      </c>
      <c r="Q621" s="31">
        <f t="shared" si="161"/>
        <v>0</v>
      </c>
      <c r="R621" s="111">
        <f>+Q621+P621</f>
        <v>176.8</v>
      </c>
      <c r="S621" s="261"/>
      <c r="T621" s="262"/>
    </row>
    <row r="622" spans="1:20" s="91" customFormat="1" ht="24" customHeight="1">
      <c r="A622" s="85" t="s">
        <v>617</v>
      </c>
      <c r="B622" s="173"/>
      <c r="C622" s="87" t="s">
        <v>40</v>
      </c>
      <c r="D622" s="147" t="s">
        <v>177</v>
      </c>
      <c r="E622" s="145" t="s">
        <v>531</v>
      </c>
      <c r="F622" s="238" t="s">
        <v>633</v>
      </c>
      <c r="G622" s="234">
        <v>39359</v>
      </c>
      <c r="H622" s="236">
        <v>39359</v>
      </c>
      <c r="I622" s="145" t="s">
        <v>179</v>
      </c>
      <c r="J622" s="237">
        <v>160</v>
      </c>
      <c r="K622" s="12"/>
      <c r="L622" s="111">
        <v>160</v>
      </c>
      <c r="M622" s="192">
        <v>136</v>
      </c>
      <c r="N622" s="31"/>
      <c r="O622" s="111">
        <f>+N622+M622</f>
        <v>136</v>
      </c>
      <c r="P622" s="31">
        <f t="shared" si="161"/>
        <v>88.4</v>
      </c>
      <c r="Q622" s="31">
        <f t="shared" si="161"/>
        <v>0</v>
      </c>
      <c r="R622" s="111">
        <f>+Q622+P622</f>
        <v>88.4</v>
      </c>
      <c r="S622" s="261"/>
      <c r="T622" s="262"/>
    </row>
    <row r="623" spans="1:20" s="91" customFormat="1" ht="24" customHeight="1">
      <c r="A623" s="85" t="s">
        <v>617</v>
      </c>
      <c r="B623" s="173"/>
      <c r="C623" s="87" t="s">
        <v>40</v>
      </c>
      <c r="D623" s="147" t="s">
        <v>177</v>
      </c>
      <c r="E623" s="145" t="s">
        <v>531</v>
      </c>
      <c r="F623" s="238" t="s">
        <v>634</v>
      </c>
      <c r="G623" s="234">
        <v>39393</v>
      </c>
      <c r="H623" s="236">
        <v>39394</v>
      </c>
      <c r="I623" s="145" t="s">
        <v>179</v>
      </c>
      <c r="J623" s="237">
        <v>571</v>
      </c>
      <c r="K623" s="12"/>
      <c r="L623" s="111">
        <v>571</v>
      </c>
      <c r="M623" s="192">
        <v>485.35</v>
      </c>
      <c r="N623" s="31"/>
      <c r="O623" s="111">
        <f>+N623+M623</f>
        <v>485.35</v>
      </c>
      <c r="P623" s="31">
        <f t="shared" si="161"/>
        <v>315.4775</v>
      </c>
      <c r="Q623" s="31">
        <f t="shared" si="161"/>
        <v>0</v>
      </c>
      <c r="R623" s="111">
        <f>+Q623+P623</f>
        <v>315.4775</v>
      </c>
      <c r="S623" s="261"/>
      <c r="T623" s="262"/>
    </row>
    <row r="624" spans="1:20" s="91" customFormat="1" ht="24" customHeight="1">
      <c r="A624" s="85" t="s">
        <v>617</v>
      </c>
      <c r="B624" s="173"/>
      <c r="C624" s="87" t="s">
        <v>40</v>
      </c>
      <c r="D624" s="147" t="s">
        <v>177</v>
      </c>
      <c r="E624" s="145" t="s">
        <v>531</v>
      </c>
      <c r="F624" s="238" t="s">
        <v>635</v>
      </c>
      <c r="G624" s="234">
        <v>39419</v>
      </c>
      <c r="H624" s="236">
        <v>39421</v>
      </c>
      <c r="I624" s="145" t="s">
        <v>179</v>
      </c>
      <c r="J624" s="237">
        <v>571</v>
      </c>
      <c r="K624" s="12"/>
      <c r="L624" s="111">
        <v>571</v>
      </c>
      <c r="M624" s="192">
        <v>485.35</v>
      </c>
      <c r="N624" s="31"/>
      <c r="O624" s="111">
        <f>+N624+M624</f>
        <v>485.35</v>
      </c>
      <c r="P624" s="31">
        <f t="shared" si="161"/>
        <v>315.4775</v>
      </c>
      <c r="Q624" s="31">
        <f t="shared" si="161"/>
        <v>0</v>
      </c>
      <c r="R624" s="111">
        <f>+Q624+P624</f>
        <v>315.4775</v>
      </c>
      <c r="S624" s="261"/>
      <c r="T624" s="262"/>
    </row>
    <row r="625" spans="1:20" s="91" customFormat="1" ht="24" customHeight="1">
      <c r="A625" s="85" t="s">
        <v>617</v>
      </c>
      <c r="B625" s="173"/>
      <c r="C625" s="87" t="s">
        <v>40</v>
      </c>
      <c r="D625" s="147" t="s">
        <v>543</v>
      </c>
      <c r="E625" s="145" t="s">
        <v>203</v>
      </c>
      <c r="F625" s="238" t="s">
        <v>632</v>
      </c>
      <c r="G625" s="234" t="s">
        <v>636</v>
      </c>
      <c r="H625" s="236">
        <v>39325</v>
      </c>
      <c r="I625" s="145" t="s">
        <v>179</v>
      </c>
      <c r="J625" s="237">
        <v>3627</v>
      </c>
      <c r="K625" s="12"/>
      <c r="L625" s="111">
        <v>3627</v>
      </c>
      <c r="M625" s="192">
        <v>3082.95</v>
      </c>
      <c r="N625" s="31"/>
      <c r="O625" s="111">
        <f aca="true" t="shared" si="162" ref="O625:O638">+N625+M625</f>
        <v>3082.95</v>
      </c>
      <c r="P625" s="31">
        <f aca="true" t="shared" si="163" ref="P625:P638">+M625*0.65</f>
        <v>2003.9175</v>
      </c>
      <c r="Q625" s="31">
        <f aca="true" t="shared" si="164" ref="Q625:Q638">+N625*0.65</f>
        <v>0</v>
      </c>
      <c r="R625" s="111">
        <f aca="true" t="shared" si="165" ref="R625:R638">+Q625+P625</f>
        <v>2003.9175</v>
      </c>
      <c r="S625" s="261"/>
      <c r="T625" s="262"/>
    </row>
    <row r="626" spans="1:20" s="91" customFormat="1" ht="24" customHeight="1">
      <c r="A626" s="85" t="s">
        <v>617</v>
      </c>
      <c r="B626" s="173"/>
      <c r="C626" s="87" t="s">
        <v>40</v>
      </c>
      <c r="D626" s="147" t="s">
        <v>543</v>
      </c>
      <c r="E626" s="145" t="s">
        <v>203</v>
      </c>
      <c r="F626" s="238" t="s">
        <v>633</v>
      </c>
      <c r="G626" s="234" t="s">
        <v>637</v>
      </c>
      <c r="H626" s="236" t="s">
        <v>637</v>
      </c>
      <c r="I626" s="145" t="s">
        <v>179</v>
      </c>
      <c r="J626" s="237">
        <v>3627</v>
      </c>
      <c r="K626" s="12"/>
      <c r="L626" s="111">
        <v>3627</v>
      </c>
      <c r="M626" s="192">
        <v>3082.95</v>
      </c>
      <c r="N626" s="31"/>
      <c r="O626" s="111">
        <f t="shared" si="162"/>
        <v>3082.95</v>
      </c>
      <c r="P626" s="31">
        <f t="shared" si="163"/>
        <v>2003.9175</v>
      </c>
      <c r="Q626" s="31">
        <f t="shared" si="164"/>
        <v>0</v>
      </c>
      <c r="R626" s="111">
        <f t="shared" si="165"/>
        <v>2003.9175</v>
      </c>
      <c r="S626" s="261"/>
      <c r="T626" s="262"/>
    </row>
    <row r="627" spans="1:20" s="91" customFormat="1" ht="24" customHeight="1">
      <c r="A627" s="85" t="s">
        <v>617</v>
      </c>
      <c r="B627" s="173"/>
      <c r="C627" s="87" t="s">
        <v>40</v>
      </c>
      <c r="D627" s="147" t="s">
        <v>543</v>
      </c>
      <c r="E627" s="145" t="s">
        <v>203</v>
      </c>
      <c r="F627" s="238" t="s">
        <v>638</v>
      </c>
      <c r="G627" s="234" t="s">
        <v>639</v>
      </c>
      <c r="H627" s="236" t="s">
        <v>639</v>
      </c>
      <c r="I627" s="145" t="s">
        <v>179</v>
      </c>
      <c r="J627" s="237">
        <v>3627</v>
      </c>
      <c r="K627" s="12"/>
      <c r="L627" s="111">
        <v>3627</v>
      </c>
      <c r="M627" s="192">
        <v>3082.95</v>
      </c>
      <c r="N627" s="31"/>
      <c r="O627" s="111">
        <f t="shared" si="162"/>
        <v>3082.95</v>
      </c>
      <c r="P627" s="31">
        <f t="shared" si="163"/>
        <v>2003.9175</v>
      </c>
      <c r="Q627" s="31">
        <f t="shared" si="164"/>
        <v>0</v>
      </c>
      <c r="R627" s="111">
        <f t="shared" si="165"/>
        <v>2003.9175</v>
      </c>
      <c r="S627" s="261"/>
      <c r="T627" s="262"/>
    </row>
    <row r="628" spans="1:20" s="91" customFormat="1" ht="24" customHeight="1">
      <c r="A628" s="85" t="s">
        <v>617</v>
      </c>
      <c r="B628" s="173"/>
      <c r="C628" s="87" t="s">
        <v>40</v>
      </c>
      <c r="D628" s="147" t="s">
        <v>543</v>
      </c>
      <c r="E628" s="145" t="s">
        <v>203</v>
      </c>
      <c r="F628" s="238" t="s">
        <v>635</v>
      </c>
      <c r="G628" s="234" t="s">
        <v>640</v>
      </c>
      <c r="H628" s="236" t="s">
        <v>640</v>
      </c>
      <c r="I628" s="145" t="s">
        <v>179</v>
      </c>
      <c r="J628" s="237">
        <v>3627</v>
      </c>
      <c r="K628" s="12"/>
      <c r="L628" s="111">
        <v>3627</v>
      </c>
      <c r="M628" s="192">
        <v>3082.95</v>
      </c>
      <c r="N628" s="31"/>
      <c r="O628" s="111">
        <f t="shared" si="162"/>
        <v>3082.95</v>
      </c>
      <c r="P628" s="31">
        <f t="shared" si="163"/>
        <v>2003.9175</v>
      </c>
      <c r="Q628" s="31">
        <f t="shared" si="164"/>
        <v>0</v>
      </c>
      <c r="R628" s="111">
        <f t="shared" si="165"/>
        <v>2003.9175</v>
      </c>
      <c r="S628" s="261"/>
      <c r="T628" s="262"/>
    </row>
    <row r="629" spans="1:20" s="91" customFormat="1" ht="24" customHeight="1">
      <c r="A629" s="85" t="s">
        <v>617</v>
      </c>
      <c r="B629" s="173"/>
      <c r="C629" s="87" t="s">
        <v>40</v>
      </c>
      <c r="D629" s="147" t="s">
        <v>552</v>
      </c>
      <c r="E629" s="145" t="s">
        <v>161</v>
      </c>
      <c r="F629" s="238" t="s">
        <v>641</v>
      </c>
      <c r="G629" s="234">
        <v>39311</v>
      </c>
      <c r="H629" s="236">
        <v>39331</v>
      </c>
      <c r="I629" s="145" t="s">
        <v>162</v>
      </c>
      <c r="J629" s="237">
        <v>987.57</v>
      </c>
      <c r="K629" s="12">
        <v>166.43</v>
      </c>
      <c r="L629" s="111">
        <v>1154</v>
      </c>
      <c r="M629" s="192">
        <v>839.4345</v>
      </c>
      <c r="N629" s="31"/>
      <c r="O629" s="111">
        <f t="shared" si="162"/>
        <v>839.4345</v>
      </c>
      <c r="P629" s="31">
        <f t="shared" si="163"/>
        <v>545.632425</v>
      </c>
      <c r="Q629" s="31">
        <f t="shared" si="164"/>
        <v>0</v>
      </c>
      <c r="R629" s="111">
        <f t="shared" si="165"/>
        <v>545.632425</v>
      </c>
      <c r="S629" s="351" t="s">
        <v>694</v>
      </c>
      <c r="T629" s="352"/>
    </row>
    <row r="630" spans="1:20" s="91" customFormat="1" ht="24" customHeight="1">
      <c r="A630" s="85" t="s">
        <v>617</v>
      </c>
      <c r="B630" s="173"/>
      <c r="C630" s="87" t="s">
        <v>40</v>
      </c>
      <c r="D630" s="147" t="s">
        <v>552</v>
      </c>
      <c r="E630" s="145" t="s">
        <v>161</v>
      </c>
      <c r="F630" s="238" t="s">
        <v>642</v>
      </c>
      <c r="G630" s="234">
        <v>39372</v>
      </c>
      <c r="H630" s="236">
        <v>39392</v>
      </c>
      <c r="I630" s="145" t="s">
        <v>162</v>
      </c>
      <c r="J630" s="237">
        <v>927.36</v>
      </c>
      <c r="K630" s="12">
        <v>153.64</v>
      </c>
      <c r="L630" s="111">
        <v>1081</v>
      </c>
      <c r="M630" s="192">
        <v>788.2560000000001</v>
      </c>
      <c r="N630" s="31"/>
      <c r="O630" s="111">
        <f t="shared" si="162"/>
        <v>788.2560000000001</v>
      </c>
      <c r="P630" s="31">
        <f t="shared" si="163"/>
        <v>512.3664000000001</v>
      </c>
      <c r="Q630" s="31">
        <f t="shared" si="164"/>
        <v>0</v>
      </c>
      <c r="R630" s="111">
        <f t="shared" si="165"/>
        <v>512.3664000000001</v>
      </c>
      <c r="S630" s="351" t="s">
        <v>694</v>
      </c>
      <c r="T630" s="352"/>
    </row>
    <row r="631" spans="1:20" s="91" customFormat="1" ht="24" customHeight="1">
      <c r="A631" s="85" t="s">
        <v>617</v>
      </c>
      <c r="B631" s="173"/>
      <c r="C631" s="87" t="s">
        <v>40</v>
      </c>
      <c r="D631" s="147" t="s">
        <v>557</v>
      </c>
      <c r="E631" s="145" t="s">
        <v>183</v>
      </c>
      <c r="F631" s="238" t="s">
        <v>643</v>
      </c>
      <c r="G631" s="234">
        <v>39328</v>
      </c>
      <c r="H631" s="236">
        <v>39349</v>
      </c>
      <c r="I631" s="145" t="s">
        <v>162</v>
      </c>
      <c r="J631" s="237">
        <v>215.85</v>
      </c>
      <c r="K631" s="12">
        <v>43.17</v>
      </c>
      <c r="L631" s="111">
        <v>259.02</v>
      </c>
      <c r="M631" s="192">
        <v>183.4725</v>
      </c>
      <c r="N631" s="31"/>
      <c r="O631" s="111">
        <f t="shared" si="162"/>
        <v>183.4725</v>
      </c>
      <c r="P631" s="31">
        <f t="shared" si="163"/>
        <v>119.257125</v>
      </c>
      <c r="Q631" s="31">
        <f t="shared" si="164"/>
        <v>0</v>
      </c>
      <c r="R631" s="111">
        <f t="shared" si="165"/>
        <v>119.257125</v>
      </c>
      <c r="S631" s="351" t="s">
        <v>694</v>
      </c>
      <c r="T631" s="352"/>
    </row>
    <row r="632" spans="1:20" s="91" customFormat="1" ht="24" customHeight="1">
      <c r="A632" s="85" t="s">
        <v>617</v>
      </c>
      <c r="B632" s="173"/>
      <c r="C632" s="87" t="s">
        <v>40</v>
      </c>
      <c r="D632" s="147" t="s">
        <v>557</v>
      </c>
      <c r="E632" s="145" t="s">
        <v>183</v>
      </c>
      <c r="F632" s="238" t="s">
        <v>644</v>
      </c>
      <c r="G632" s="234" t="s">
        <v>645</v>
      </c>
      <c r="H632" s="236">
        <v>39409</v>
      </c>
      <c r="I632" s="145" t="s">
        <v>162</v>
      </c>
      <c r="J632" s="237">
        <v>175.6</v>
      </c>
      <c r="K632" s="12">
        <v>35.12</v>
      </c>
      <c r="L632" s="111">
        <v>210.72</v>
      </c>
      <c r="M632" s="192">
        <v>149.26</v>
      </c>
      <c r="N632" s="31"/>
      <c r="O632" s="111">
        <f t="shared" si="162"/>
        <v>149.26</v>
      </c>
      <c r="P632" s="31">
        <f t="shared" si="163"/>
        <v>97.01899999999999</v>
      </c>
      <c r="Q632" s="31">
        <f t="shared" si="164"/>
        <v>0</v>
      </c>
      <c r="R632" s="111">
        <f t="shared" si="165"/>
        <v>97.01899999999999</v>
      </c>
      <c r="S632" s="351" t="s">
        <v>694</v>
      </c>
      <c r="T632" s="352"/>
    </row>
    <row r="633" spans="1:20" s="91" customFormat="1" ht="24" customHeight="1">
      <c r="A633" s="85" t="s">
        <v>617</v>
      </c>
      <c r="B633" s="173"/>
      <c r="C633" s="87" t="s">
        <v>40</v>
      </c>
      <c r="D633" s="147" t="s">
        <v>560</v>
      </c>
      <c r="E633" s="145" t="s">
        <v>561</v>
      </c>
      <c r="F633" s="238" t="s">
        <v>646</v>
      </c>
      <c r="G633" s="234">
        <v>39360</v>
      </c>
      <c r="H633" s="236">
        <v>39399</v>
      </c>
      <c r="I633" s="145" t="s">
        <v>162</v>
      </c>
      <c r="J633" s="237">
        <v>347.65</v>
      </c>
      <c r="K633" s="12">
        <v>70.35</v>
      </c>
      <c r="L633" s="111">
        <v>418</v>
      </c>
      <c r="M633" s="192">
        <v>295.5025</v>
      </c>
      <c r="N633" s="31"/>
      <c r="O633" s="111">
        <f t="shared" si="162"/>
        <v>295.5025</v>
      </c>
      <c r="P633" s="31">
        <f t="shared" si="163"/>
        <v>192.076625</v>
      </c>
      <c r="Q633" s="31">
        <f t="shared" si="164"/>
        <v>0</v>
      </c>
      <c r="R633" s="111">
        <f t="shared" si="165"/>
        <v>192.076625</v>
      </c>
      <c r="S633" s="351" t="s">
        <v>694</v>
      </c>
      <c r="T633" s="352"/>
    </row>
    <row r="634" spans="1:20" s="91" customFormat="1" ht="24" customHeight="1">
      <c r="A634" s="85" t="s">
        <v>617</v>
      </c>
      <c r="B634" s="173"/>
      <c r="C634" s="87" t="s">
        <v>40</v>
      </c>
      <c r="D634" s="147" t="s">
        <v>560</v>
      </c>
      <c r="E634" s="145" t="s">
        <v>561</v>
      </c>
      <c r="F634" s="238" t="s">
        <v>647</v>
      </c>
      <c r="G634" s="234">
        <v>39360</v>
      </c>
      <c r="H634" s="236">
        <v>39399</v>
      </c>
      <c r="I634" s="145" t="s">
        <v>162</v>
      </c>
      <c r="J634" s="237">
        <v>161.54</v>
      </c>
      <c r="K634" s="12">
        <v>32.96</v>
      </c>
      <c r="L634" s="111">
        <v>194.5</v>
      </c>
      <c r="M634" s="192">
        <v>137.309</v>
      </c>
      <c r="N634" s="31"/>
      <c r="O634" s="111">
        <f t="shared" si="162"/>
        <v>137.309</v>
      </c>
      <c r="P634" s="31">
        <f t="shared" si="163"/>
        <v>89.25085</v>
      </c>
      <c r="Q634" s="31">
        <f t="shared" si="164"/>
        <v>0</v>
      </c>
      <c r="R634" s="111">
        <f t="shared" si="165"/>
        <v>89.25085</v>
      </c>
      <c r="S634" s="351" t="s">
        <v>694</v>
      </c>
      <c r="T634" s="352"/>
    </row>
    <row r="635" spans="1:20" s="91" customFormat="1" ht="24" customHeight="1">
      <c r="A635" s="85" t="s">
        <v>617</v>
      </c>
      <c r="B635" s="173"/>
      <c r="C635" s="87" t="s">
        <v>40</v>
      </c>
      <c r="D635" s="147" t="s">
        <v>560</v>
      </c>
      <c r="E635" s="145" t="s">
        <v>561</v>
      </c>
      <c r="F635" s="238" t="s">
        <v>648</v>
      </c>
      <c r="G635" s="234">
        <v>39360</v>
      </c>
      <c r="H635" s="236">
        <v>39399</v>
      </c>
      <c r="I635" s="145" t="s">
        <v>162</v>
      </c>
      <c r="J635" s="237">
        <v>75.82</v>
      </c>
      <c r="K635" s="12">
        <v>16.18</v>
      </c>
      <c r="L635" s="111">
        <v>92</v>
      </c>
      <c r="M635" s="192">
        <v>64.447</v>
      </c>
      <c r="N635" s="31"/>
      <c r="O635" s="111">
        <f t="shared" si="162"/>
        <v>64.447</v>
      </c>
      <c r="P635" s="31">
        <f t="shared" si="163"/>
        <v>41.890550000000005</v>
      </c>
      <c r="Q635" s="31">
        <f t="shared" si="164"/>
        <v>0</v>
      </c>
      <c r="R635" s="111">
        <f t="shared" si="165"/>
        <v>41.890550000000005</v>
      </c>
      <c r="S635" s="351" t="s">
        <v>694</v>
      </c>
      <c r="T635" s="352"/>
    </row>
    <row r="636" spans="1:20" s="91" customFormat="1" ht="24" customHeight="1">
      <c r="A636" s="85" t="s">
        <v>617</v>
      </c>
      <c r="B636" s="173"/>
      <c r="C636" s="87" t="s">
        <v>40</v>
      </c>
      <c r="D636" s="147" t="s">
        <v>560</v>
      </c>
      <c r="E636" s="145" t="s">
        <v>561</v>
      </c>
      <c r="F636" s="238" t="s">
        <v>649</v>
      </c>
      <c r="G636" s="234" t="s">
        <v>650</v>
      </c>
      <c r="H636" s="236">
        <v>39338</v>
      </c>
      <c r="I636" s="145" t="s">
        <v>162</v>
      </c>
      <c r="J636" s="237">
        <v>156.02</v>
      </c>
      <c r="K636" s="12">
        <v>31.98</v>
      </c>
      <c r="L636" s="111">
        <v>188</v>
      </c>
      <c r="M636" s="192">
        <v>132.61700000000002</v>
      </c>
      <c r="N636" s="31"/>
      <c r="O636" s="111">
        <f t="shared" si="162"/>
        <v>132.61700000000002</v>
      </c>
      <c r="P636" s="31">
        <f t="shared" si="163"/>
        <v>86.20105000000001</v>
      </c>
      <c r="Q636" s="31">
        <f t="shared" si="164"/>
        <v>0</v>
      </c>
      <c r="R636" s="111">
        <f t="shared" si="165"/>
        <v>86.20105000000001</v>
      </c>
      <c r="S636" s="351" t="s">
        <v>694</v>
      </c>
      <c r="T636" s="352"/>
    </row>
    <row r="637" spans="1:20" s="91" customFormat="1" ht="24" customHeight="1">
      <c r="A637" s="85" t="s">
        <v>617</v>
      </c>
      <c r="B637" s="173"/>
      <c r="C637" s="87" t="s">
        <v>40</v>
      </c>
      <c r="D637" s="147" t="s">
        <v>560</v>
      </c>
      <c r="E637" s="145" t="s">
        <v>561</v>
      </c>
      <c r="F637" s="238" t="s">
        <v>651</v>
      </c>
      <c r="G637" s="234" t="s">
        <v>650</v>
      </c>
      <c r="H637" s="236">
        <v>39338</v>
      </c>
      <c r="I637" s="145" t="s">
        <v>162</v>
      </c>
      <c r="J637" s="237">
        <v>78.32</v>
      </c>
      <c r="K637" s="12">
        <v>16.68</v>
      </c>
      <c r="L637" s="111">
        <v>95</v>
      </c>
      <c r="M637" s="192">
        <v>66.572</v>
      </c>
      <c r="N637" s="31"/>
      <c r="O637" s="111">
        <f t="shared" si="162"/>
        <v>66.572</v>
      </c>
      <c r="P637" s="31">
        <f t="shared" si="163"/>
        <v>43.271800000000006</v>
      </c>
      <c r="Q637" s="31">
        <f t="shared" si="164"/>
        <v>0</v>
      </c>
      <c r="R637" s="111">
        <f t="shared" si="165"/>
        <v>43.271800000000006</v>
      </c>
      <c r="S637" s="351" t="s">
        <v>694</v>
      </c>
      <c r="T637" s="352"/>
    </row>
    <row r="638" spans="1:20" s="91" customFormat="1" ht="24" customHeight="1">
      <c r="A638" s="85" t="s">
        <v>617</v>
      </c>
      <c r="B638" s="173"/>
      <c r="C638" s="87" t="s">
        <v>40</v>
      </c>
      <c r="D638" s="147" t="s">
        <v>560</v>
      </c>
      <c r="E638" s="145" t="s">
        <v>561</v>
      </c>
      <c r="F638" s="238" t="s">
        <v>652</v>
      </c>
      <c r="G638" s="234" t="s">
        <v>650</v>
      </c>
      <c r="H638" s="236">
        <v>39338</v>
      </c>
      <c r="I638" s="145" t="s">
        <v>162</v>
      </c>
      <c r="J638" s="237">
        <v>339.07</v>
      </c>
      <c r="K638" s="12">
        <v>68.43</v>
      </c>
      <c r="L638" s="111">
        <v>407.5</v>
      </c>
      <c r="M638" s="192">
        <v>288.2095</v>
      </c>
      <c r="N638" s="31"/>
      <c r="O638" s="111">
        <f t="shared" si="162"/>
        <v>288.2095</v>
      </c>
      <c r="P638" s="31">
        <f t="shared" si="163"/>
        <v>187.336175</v>
      </c>
      <c r="Q638" s="31">
        <f t="shared" si="164"/>
        <v>0</v>
      </c>
      <c r="R638" s="111">
        <f t="shared" si="165"/>
        <v>187.336175</v>
      </c>
      <c r="S638" s="351" t="s">
        <v>694</v>
      </c>
      <c r="T638" s="352"/>
    </row>
    <row r="639" spans="1:20" s="91" customFormat="1" ht="24" customHeight="1">
      <c r="A639" s="85" t="s">
        <v>617</v>
      </c>
      <c r="B639" s="173"/>
      <c r="C639" s="14" t="s">
        <v>41</v>
      </c>
      <c r="D639" s="147" t="s">
        <v>572</v>
      </c>
      <c r="E639" s="145" t="s">
        <v>573</v>
      </c>
      <c r="F639" s="238">
        <v>34</v>
      </c>
      <c r="G639" s="234">
        <v>39324</v>
      </c>
      <c r="H639" s="236">
        <v>39331</v>
      </c>
      <c r="I639" s="145" t="s">
        <v>179</v>
      </c>
      <c r="J639" s="237">
        <v>250</v>
      </c>
      <c r="K639" s="12">
        <v>50</v>
      </c>
      <c r="L639" s="111">
        <v>300</v>
      </c>
      <c r="M639" s="237">
        <v>250</v>
      </c>
      <c r="N639" s="31"/>
      <c r="O639" s="111">
        <f>+N639+M639</f>
        <v>250</v>
      </c>
      <c r="P639" s="31">
        <f>+M639*0.65</f>
        <v>162.5</v>
      </c>
      <c r="Q639" s="31">
        <f>+N639*0.65</f>
        <v>0</v>
      </c>
      <c r="R639" s="111">
        <f>+Q639+P639</f>
        <v>162.5</v>
      </c>
      <c r="S639" s="351" t="s">
        <v>692</v>
      </c>
      <c r="T639" s="352"/>
    </row>
    <row r="640" spans="1:20" s="91" customFormat="1" ht="24" customHeight="1">
      <c r="A640" s="85" t="s">
        <v>617</v>
      </c>
      <c r="B640" s="173"/>
      <c r="C640" s="14" t="s">
        <v>41</v>
      </c>
      <c r="D640" s="147" t="s">
        <v>572</v>
      </c>
      <c r="E640" s="145" t="s">
        <v>573</v>
      </c>
      <c r="F640" s="238">
        <v>35</v>
      </c>
      <c r="G640" s="234">
        <v>39324</v>
      </c>
      <c r="H640" s="236">
        <v>39331</v>
      </c>
      <c r="I640" s="145" t="s">
        <v>179</v>
      </c>
      <c r="J640" s="237">
        <v>250</v>
      </c>
      <c r="K640" s="12">
        <v>50</v>
      </c>
      <c r="L640" s="111">
        <v>300</v>
      </c>
      <c r="M640" s="237">
        <v>250</v>
      </c>
      <c r="N640" s="31"/>
      <c r="O640" s="111">
        <f>+N640+M640</f>
        <v>250</v>
      </c>
      <c r="P640" s="31">
        <f>+M640*0.65</f>
        <v>162.5</v>
      </c>
      <c r="Q640" s="31">
        <f>+N640*0.65</f>
        <v>0</v>
      </c>
      <c r="R640" s="111">
        <f>+Q640+P640</f>
        <v>162.5</v>
      </c>
      <c r="S640" s="351" t="s">
        <v>692</v>
      </c>
      <c r="T640" s="352"/>
    </row>
    <row r="641" spans="1:20" s="91" customFormat="1" ht="24" customHeight="1">
      <c r="A641" s="85" t="s">
        <v>617</v>
      </c>
      <c r="B641" s="173"/>
      <c r="C641" s="14" t="s">
        <v>41</v>
      </c>
      <c r="D641" s="147" t="s">
        <v>572</v>
      </c>
      <c r="E641" s="145" t="s">
        <v>573</v>
      </c>
      <c r="F641" s="238">
        <v>36</v>
      </c>
      <c r="G641" s="234">
        <v>39355</v>
      </c>
      <c r="H641" s="236">
        <v>39373</v>
      </c>
      <c r="I641" s="145" t="s">
        <v>179</v>
      </c>
      <c r="J641" s="237">
        <v>250</v>
      </c>
      <c r="K641" s="12">
        <v>50</v>
      </c>
      <c r="L641" s="111">
        <v>300</v>
      </c>
      <c r="M641" s="237">
        <v>250</v>
      </c>
      <c r="N641" s="31"/>
      <c r="O641" s="111">
        <f>+N641+M641</f>
        <v>250</v>
      </c>
      <c r="P641" s="31">
        <f>+M641*0.65</f>
        <v>162.5</v>
      </c>
      <c r="Q641" s="31">
        <f>+N641*0.65</f>
        <v>0</v>
      </c>
      <c r="R641" s="111">
        <f>+Q641+P641</f>
        <v>162.5</v>
      </c>
      <c r="S641" s="351" t="s">
        <v>692</v>
      </c>
      <c r="T641" s="352"/>
    </row>
    <row r="642" spans="1:20" s="91" customFormat="1" ht="24" customHeight="1">
      <c r="A642" s="85" t="s">
        <v>617</v>
      </c>
      <c r="B642" s="173"/>
      <c r="C642" s="14" t="s">
        <v>41</v>
      </c>
      <c r="D642" s="147" t="s">
        <v>572</v>
      </c>
      <c r="E642" s="145" t="s">
        <v>573</v>
      </c>
      <c r="F642" s="238">
        <v>37</v>
      </c>
      <c r="G642" s="234">
        <v>39385</v>
      </c>
      <c r="H642" s="236">
        <v>39405</v>
      </c>
      <c r="I642" s="145" t="s">
        <v>179</v>
      </c>
      <c r="J642" s="237">
        <v>250</v>
      </c>
      <c r="K642" s="12">
        <v>50</v>
      </c>
      <c r="L642" s="111">
        <v>300</v>
      </c>
      <c r="M642" s="237">
        <v>250</v>
      </c>
      <c r="N642" s="31"/>
      <c r="O642" s="111">
        <f>+N642+M642</f>
        <v>250</v>
      </c>
      <c r="P642" s="31">
        <f>+M642*0.65</f>
        <v>162.5</v>
      </c>
      <c r="Q642" s="31">
        <f>+N642*0.65</f>
        <v>0</v>
      </c>
      <c r="R642" s="111">
        <f>+Q642+P642</f>
        <v>162.5</v>
      </c>
      <c r="S642" s="351" t="s">
        <v>692</v>
      </c>
      <c r="T642" s="352"/>
    </row>
    <row r="643" spans="1:20" s="91" customFormat="1" ht="24" customHeight="1">
      <c r="A643" s="85" t="s">
        <v>617</v>
      </c>
      <c r="B643" s="173"/>
      <c r="C643" s="14" t="s">
        <v>41</v>
      </c>
      <c r="D643" s="147" t="s">
        <v>572</v>
      </c>
      <c r="E643" s="145" t="s">
        <v>573</v>
      </c>
      <c r="F643" s="238">
        <v>38</v>
      </c>
      <c r="G643" s="234">
        <v>39416</v>
      </c>
      <c r="H643" s="236">
        <v>39447</v>
      </c>
      <c r="I643" s="145" t="s">
        <v>179</v>
      </c>
      <c r="J643" s="237">
        <v>250</v>
      </c>
      <c r="K643" s="12">
        <v>50</v>
      </c>
      <c r="L643" s="111">
        <v>300</v>
      </c>
      <c r="M643" s="237">
        <v>250</v>
      </c>
      <c r="N643" s="31"/>
      <c r="O643" s="111">
        <f>+N643+M643</f>
        <v>250</v>
      </c>
      <c r="P643" s="31">
        <f>+M643*0.65</f>
        <v>162.5</v>
      </c>
      <c r="Q643" s="31">
        <f>+N643*0.65</f>
        <v>0</v>
      </c>
      <c r="R643" s="111">
        <f>+Q643+P643</f>
        <v>162.5</v>
      </c>
      <c r="S643" s="351" t="s">
        <v>692</v>
      </c>
      <c r="T643" s="352"/>
    </row>
    <row r="644" spans="1:20" s="91" customFormat="1" ht="24" customHeight="1">
      <c r="A644" s="85" t="s">
        <v>617</v>
      </c>
      <c r="B644" s="173"/>
      <c r="C644" s="67" t="s">
        <v>125</v>
      </c>
      <c r="D644" s="147" t="s">
        <v>656</v>
      </c>
      <c r="E644" s="145" t="s">
        <v>657</v>
      </c>
      <c r="F644" s="238">
        <v>1868</v>
      </c>
      <c r="G644" s="234">
        <v>39171</v>
      </c>
      <c r="H644" s="236">
        <v>39345</v>
      </c>
      <c r="I644" s="145" t="s">
        <v>328</v>
      </c>
      <c r="J644" s="237">
        <v>223</v>
      </c>
      <c r="K644" s="12">
        <v>44.6</v>
      </c>
      <c r="L644" s="111">
        <v>267.6</v>
      </c>
      <c r="M644" s="237">
        <v>223</v>
      </c>
      <c r="N644" s="12">
        <v>44.6</v>
      </c>
      <c r="O644" s="111">
        <f>+N644+M644</f>
        <v>267.6</v>
      </c>
      <c r="P644" s="31">
        <f aca="true" t="shared" si="166" ref="P644:Q646">+M644*0.65</f>
        <v>144.95000000000002</v>
      </c>
      <c r="Q644" s="31">
        <f t="shared" si="166"/>
        <v>28.990000000000002</v>
      </c>
      <c r="R644" s="111">
        <f>+Q644+P644</f>
        <v>173.94000000000003</v>
      </c>
      <c r="S644" s="261"/>
      <c r="T644" s="262"/>
    </row>
    <row r="645" spans="1:20" s="91" customFormat="1" ht="24" customHeight="1">
      <c r="A645" s="85" t="s">
        <v>617</v>
      </c>
      <c r="B645" s="173"/>
      <c r="C645" s="67" t="s">
        <v>125</v>
      </c>
      <c r="D645" s="147" t="s">
        <v>658</v>
      </c>
      <c r="E645" s="145" t="s">
        <v>657</v>
      </c>
      <c r="F645" s="238">
        <v>1868</v>
      </c>
      <c r="G645" s="234">
        <v>39171</v>
      </c>
      <c r="H645" s="236">
        <v>39345</v>
      </c>
      <c r="I645" s="145" t="s">
        <v>328</v>
      </c>
      <c r="J645" s="237">
        <v>231</v>
      </c>
      <c r="K645" s="12">
        <v>46.2</v>
      </c>
      <c r="L645" s="111">
        <v>277.2</v>
      </c>
      <c r="M645" s="237">
        <v>231</v>
      </c>
      <c r="N645" s="12">
        <v>46.2</v>
      </c>
      <c r="O645" s="111">
        <f>+N645+M645</f>
        <v>277.2</v>
      </c>
      <c r="P645" s="31">
        <f t="shared" si="166"/>
        <v>150.15</v>
      </c>
      <c r="Q645" s="31">
        <f t="shared" si="166"/>
        <v>30.03</v>
      </c>
      <c r="R645" s="111">
        <f>+Q645+P645</f>
        <v>180.18</v>
      </c>
      <c r="S645" s="261"/>
      <c r="T645" s="262"/>
    </row>
    <row r="646" spans="1:20" s="91" customFormat="1" ht="24" customHeight="1">
      <c r="A646" s="85" t="s">
        <v>617</v>
      </c>
      <c r="B646" s="173"/>
      <c r="C646" s="67" t="s">
        <v>125</v>
      </c>
      <c r="D646" s="147" t="s">
        <v>659</v>
      </c>
      <c r="E646" s="145" t="s">
        <v>660</v>
      </c>
      <c r="F646" s="238" t="s">
        <v>661</v>
      </c>
      <c r="G646" s="234">
        <v>39279</v>
      </c>
      <c r="H646" s="236">
        <v>39377</v>
      </c>
      <c r="I646" s="145" t="s">
        <v>328</v>
      </c>
      <c r="J646" s="237">
        <v>541.67</v>
      </c>
      <c r="K646" s="12">
        <v>108.334</v>
      </c>
      <c r="L646" s="111">
        <v>650.0039999999999</v>
      </c>
      <c r="M646" s="237">
        <v>541.67</v>
      </c>
      <c r="N646" s="12">
        <v>108.334</v>
      </c>
      <c r="O646" s="111">
        <f>+N646+M646</f>
        <v>650.0039999999999</v>
      </c>
      <c r="P646" s="31">
        <f t="shared" si="166"/>
        <v>352.08549999999997</v>
      </c>
      <c r="Q646" s="31">
        <f t="shared" si="166"/>
        <v>70.4171</v>
      </c>
      <c r="R646" s="111">
        <f>+Q646+P646</f>
        <v>422.5026</v>
      </c>
      <c r="S646" s="261"/>
      <c r="T646" s="262"/>
    </row>
    <row r="647" spans="1:20" s="91" customFormat="1" ht="11.25">
      <c r="A647" s="85" t="s">
        <v>703</v>
      </c>
      <c r="B647" s="173"/>
      <c r="C647" s="87" t="s">
        <v>40</v>
      </c>
      <c r="D647" s="147" t="s">
        <v>521</v>
      </c>
      <c r="E647" s="145" t="s">
        <v>522</v>
      </c>
      <c r="F647" s="238">
        <v>107</v>
      </c>
      <c r="G647" s="234">
        <v>39479</v>
      </c>
      <c r="H647" s="236">
        <v>39478</v>
      </c>
      <c r="I647" s="145" t="s">
        <v>524</v>
      </c>
      <c r="J647" s="237">
        <v>500</v>
      </c>
      <c r="K647" s="12">
        <v>100</v>
      </c>
      <c r="L647" s="111">
        <v>600</v>
      </c>
      <c r="M647" s="237">
        <v>425</v>
      </c>
      <c r="N647" s="12"/>
      <c r="O647" s="111">
        <f>+N647+M647</f>
        <v>425</v>
      </c>
      <c r="P647" s="31">
        <f>+M647*0.65</f>
        <v>276.25</v>
      </c>
      <c r="Q647" s="31">
        <f>+N647*0.65</f>
        <v>0</v>
      </c>
      <c r="R647" s="111">
        <f>+Q647+P647</f>
        <v>276.25</v>
      </c>
      <c r="S647" s="347" t="s">
        <v>704</v>
      </c>
      <c r="T647" s="348"/>
    </row>
    <row r="648" spans="1:20" s="91" customFormat="1" ht="11.25">
      <c r="A648" s="85" t="s">
        <v>703</v>
      </c>
      <c r="B648" s="173"/>
      <c r="C648" s="87" t="s">
        <v>40</v>
      </c>
      <c r="D648" s="147" t="s">
        <v>521</v>
      </c>
      <c r="E648" s="145" t="s">
        <v>522</v>
      </c>
      <c r="F648" s="238">
        <v>880</v>
      </c>
      <c r="G648" s="234">
        <v>39508</v>
      </c>
      <c r="H648" s="236">
        <v>39507</v>
      </c>
      <c r="I648" s="145" t="s">
        <v>524</v>
      </c>
      <c r="J648" s="237">
        <v>500</v>
      </c>
      <c r="K648" s="12">
        <v>100</v>
      </c>
      <c r="L648" s="111">
        <v>600</v>
      </c>
      <c r="M648" s="237">
        <v>425</v>
      </c>
      <c r="N648" s="12"/>
      <c r="O648" s="111">
        <f aca="true" t="shared" si="167" ref="O648:O668">+N648+M648</f>
        <v>425</v>
      </c>
      <c r="P648" s="31">
        <f aca="true" t="shared" si="168" ref="P648:P668">+M648*0.65</f>
        <v>276.25</v>
      </c>
      <c r="Q648" s="31">
        <f aca="true" t="shared" si="169" ref="Q648:Q668">+N648*0.65</f>
        <v>0</v>
      </c>
      <c r="R648" s="111">
        <f aca="true" t="shared" si="170" ref="R648:R668">+Q648+P648</f>
        <v>276.25</v>
      </c>
      <c r="S648" s="347" t="s">
        <v>704</v>
      </c>
      <c r="T648" s="348"/>
    </row>
    <row r="649" spans="1:20" s="91" customFormat="1" ht="11.25">
      <c r="A649" s="85" t="s">
        <v>703</v>
      </c>
      <c r="B649" s="173"/>
      <c r="C649" s="87" t="s">
        <v>40</v>
      </c>
      <c r="D649" s="147" t="s">
        <v>521</v>
      </c>
      <c r="E649" s="145" t="s">
        <v>522</v>
      </c>
      <c r="F649" s="238">
        <v>1507</v>
      </c>
      <c r="G649" s="234">
        <v>39539</v>
      </c>
      <c r="H649" s="236">
        <v>39538</v>
      </c>
      <c r="I649" s="145" t="s">
        <v>524</v>
      </c>
      <c r="J649" s="237">
        <v>500</v>
      </c>
      <c r="K649" s="12">
        <v>100</v>
      </c>
      <c r="L649" s="111">
        <v>600</v>
      </c>
      <c r="M649" s="237">
        <v>425</v>
      </c>
      <c r="N649" s="12"/>
      <c r="O649" s="111">
        <f t="shared" si="167"/>
        <v>425</v>
      </c>
      <c r="P649" s="31">
        <f t="shared" si="168"/>
        <v>276.25</v>
      </c>
      <c r="Q649" s="31">
        <f t="shared" si="169"/>
        <v>0</v>
      </c>
      <c r="R649" s="111">
        <f t="shared" si="170"/>
        <v>276.25</v>
      </c>
      <c r="S649" s="347" t="s">
        <v>704</v>
      </c>
      <c r="T649" s="348"/>
    </row>
    <row r="650" spans="1:20" s="91" customFormat="1" ht="11.25">
      <c r="A650" s="85" t="s">
        <v>703</v>
      </c>
      <c r="B650" s="173"/>
      <c r="C650" s="87" t="s">
        <v>40</v>
      </c>
      <c r="D650" s="147" t="s">
        <v>521</v>
      </c>
      <c r="E650" s="145" t="s">
        <v>522</v>
      </c>
      <c r="F650" s="238">
        <v>2124</v>
      </c>
      <c r="G650" s="234">
        <v>39570</v>
      </c>
      <c r="H650" s="236">
        <v>39568</v>
      </c>
      <c r="I650" s="145" t="s">
        <v>524</v>
      </c>
      <c r="J650" s="237">
        <v>500</v>
      </c>
      <c r="K650" s="12">
        <v>100</v>
      </c>
      <c r="L650" s="111">
        <v>600</v>
      </c>
      <c r="M650" s="237">
        <v>425</v>
      </c>
      <c r="N650" s="12"/>
      <c r="O650" s="111">
        <f t="shared" si="167"/>
        <v>425</v>
      </c>
      <c r="P650" s="31">
        <f t="shared" si="168"/>
        <v>276.25</v>
      </c>
      <c r="Q650" s="31">
        <f t="shared" si="169"/>
        <v>0</v>
      </c>
      <c r="R650" s="111">
        <f t="shared" si="170"/>
        <v>276.25</v>
      </c>
      <c r="S650" s="347" t="s">
        <v>704</v>
      </c>
      <c r="T650" s="348"/>
    </row>
    <row r="651" spans="1:20" s="91" customFormat="1" ht="11.25">
      <c r="A651" s="85" t="s">
        <v>703</v>
      </c>
      <c r="B651" s="173"/>
      <c r="C651" s="87" t="s">
        <v>40</v>
      </c>
      <c r="D651" s="147" t="s">
        <v>177</v>
      </c>
      <c r="E651" s="145" t="s">
        <v>531</v>
      </c>
      <c r="F651" s="238">
        <v>39448</v>
      </c>
      <c r="G651" s="234">
        <v>39452</v>
      </c>
      <c r="H651" s="236">
        <v>39452</v>
      </c>
      <c r="I651" s="145" t="s">
        <v>179</v>
      </c>
      <c r="J651" s="237">
        <v>517</v>
      </c>
      <c r="K651" s="12"/>
      <c r="L651" s="111">
        <v>571</v>
      </c>
      <c r="M651" s="237">
        <v>485.35</v>
      </c>
      <c r="N651" s="12"/>
      <c r="O651" s="111">
        <f t="shared" si="167"/>
        <v>485.35</v>
      </c>
      <c r="P651" s="31">
        <f t="shared" si="168"/>
        <v>315.4775</v>
      </c>
      <c r="Q651" s="31">
        <f t="shared" si="169"/>
        <v>0</v>
      </c>
      <c r="R651" s="111">
        <f t="shared" si="170"/>
        <v>315.4775</v>
      </c>
      <c r="S651" s="347" t="s">
        <v>704</v>
      </c>
      <c r="T651" s="348"/>
    </row>
    <row r="652" spans="1:20" s="91" customFormat="1" ht="11.25">
      <c r="A652" s="85" t="s">
        <v>703</v>
      </c>
      <c r="B652" s="173"/>
      <c r="C652" s="87" t="s">
        <v>40</v>
      </c>
      <c r="D652" s="147" t="s">
        <v>177</v>
      </c>
      <c r="E652" s="145" t="s">
        <v>531</v>
      </c>
      <c r="F652" s="238">
        <v>39479</v>
      </c>
      <c r="G652" s="234">
        <v>39483</v>
      </c>
      <c r="H652" s="236">
        <v>39485</v>
      </c>
      <c r="I652" s="145" t="s">
        <v>179</v>
      </c>
      <c r="J652" s="237">
        <v>517</v>
      </c>
      <c r="K652" s="12"/>
      <c r="L652" s="111">
        <v>571</v>
      </c>
      <c r="M652" s="237">
        <v>485.35</v>
      </c>
      <c r="N652" s="12"/>
      <c r="O652" s="111">
        <f t="shared" si="167"/>
        <v>485.35</v>
      </c>
      <c r="P652" s="31">
        <f t="shared" si="168"/>
        <v>315.4775</v>
      </c>
      <c r="Q652" s="31">
        <f t="shared" si="169"/>
        <v>0</v>
      </c>
      <c r="R652" s="111">
        <f t="shared" si="170"/>
        <v>315.4775</v>
      </c>
      <c r="S652" s="347" t="s">
        <v>704</v>
      </c>
      <c r="T652" s="348"/>
    </row>
    <row r="653" spans="1:20" s="91" customFormat="1" ht="11.25">
      <c r="A653" s="85" t="s">
        <v>703</v>
      </c>
      <c r="B653" s="173"/>
      <c r="C653" s="87" t="s">
        <v>40</v>
      </c>
      <c r="D653" s="147" t="s">
        <v>177</v>
      </c>
      <c r="E653" s="145" t="s">
        <v>531</v>
      </c>
      <c r="F653" s="238">
        <v>39508</v>
      </c>
      <c r="G653" s="234">
        <v>39510</v>
      </c>
      <c r="H653" s="236">
        <v>39510</v>
      </c>
      <c r="I653" s="145" t="s">
        <v>179</v>
      </c>
      <c r="J653" s="237">
        <v>571</v>
      </c>
      <c r="K653" s="12"/>
      <c r="L653" s="111">
        <v>571</v>
      </c>
      <c r="M653" s="237">
        <v>485.35</v>
      </c>
      <c r="N653" s="12"/>
      <c r="O653" s="111">
        <f t="shared" si="167"/>
        <v>485.35</v>
      </c>
      <c r="P653" s="31">
        <f t="shared" si="168"/>
        <v>315.4775</v>
      </c>
      <c r="Q653" s="31">
        <f t="shared" si="169"/>
        <v>0</v>
      </c>
      <c r="R653" s="111">
        <f t="shared" si="170"/>
        <v>315.4775</v>
      </c>
      <c r="S653" s="347" t="s">
        <v>704</v>
      </c>
      <c r="T653" s="348"/>
    </row>
    <row r="654" spans="1:20" s="91" customFormat="1" ht="11.25">
      <c r="A654" s="85" t="s">
        <v>703</v>
      </c>
      <c r="B654" s="173"/>
      <c r="C654" s="87" t="s">
        <v>40</v>
      </c>
      <c r="D654" s="147" t="s">
        <v>177</v>
      </c>
      <c r="E654" s="145" t="s">
        <v>531</v>
      </c>
      <c r="F654" s="238">
        <v>39539</v>
      </c>
      <c r="G654" s="234">
        <v>39545</v>
      </c>
      <c r="H654" s="236">
        <v>39545</v>
      </c>
      <c r="I654" s="145" t="s">
        <v>179</v>
      </c>
      <c r="J654" s="237">
        <v>571</v>
      </c>
      <c r="K654" s="12"/>
      <c r="L654" s="111">
        <v>571</v>
      </c>
      <c r="M654" s="237">
        <v>485.35</v>
      </c>
      <c r="N654" s="12"/>
      <c r="O654" s="111">
        <f t="shared" si="167"/>
        <v>485.35</v>
      </c>
      <c r="P654" s="31">
        <f t="shared" si="168"/>
        <v>315.4775</v>
      </c>
      <c r="Q654" s="31">
        <f t="shared" si="169"/>
        <v>0</v>
      </c>
      <c r="R654" s="111">
        <f t="shared" si="170"/>
        <v>315.4775</v>
      </c>
      <c r="S654" s="347" t="s">
        <v>704</v>
      </c>
      <c r="T654" s="348"/>
    </row>
    <row r="655" spans="1:20" s="91" customFormat="1" ht="11.25">
      <c r="A655" s="85" t="s">
        <v>703</v>
      </c>
      <c r="B655" s="173"/>
      <c r="C655" s="87" t="s">
        <v>40</v>
      </c>
      <c r="D655" s="147" t="s">
        <v>543</v>
      </c>
      <c r="E655" s="145" t="s">
        <v>203</v>
      </c>
      <c r="F655" s="238">
        <v>39448</v>
      </c>
      <c r="G655" s="234">
        <v>39448</v>
      </c>
      <c r="H655" s="236">
        <v>39444</v>
      </c>
      <c r="I655" s="145" t="s">
        <v>179</v>
      </c>
      <c r="J655" s="237">
        <v>3627</v>
      </c>
      <c r="K655" s="12"/>
      <c r="L655" s="111">
        <v>3627</v>
      </c>
      <c r="M655" s="237">
        <v>3082.95</v>
      </c>
      <c r="N655" s="12"/>
      <c r="O655" s="111">
        <f t="shared" si="167"/>
        <v>3082.95</v>
      </c>
      <c r="P655" s="31">
        <f t="shared" si="168"/>
        <v>2003.9175</v>
      </c>
      <c r="Q655" s="31">
        <f t="shared" si="169"/>
        <v>0</v>
      </c>
      <c r="R655" s="111">
        <f t="shared" si="170"/>
        <v>2003.9175</v>
      </c>
      <c r="S655" s="347" t="s">
        <v>704</v>
      </c>
      <c r="T655" s="348"/>
    </row>
    <row r="656" spans="1:20" s="91" customFormat="1" ht="11.25">
      <c r="A656" s="85" t="s">
        <v>703</v>
      </c>
      <c r="B656" s="173"/>
      <c r="C656" s="87" t="s">
        <v>40</v>
      </c>
      <c r="D656" s="147" t="s">
        <v>543</v>
      </c>
      <c r="E656" s="145" t="s">
        <v>203</v>
      </c>
      <c r="F656" s="238">
        <v>39479</v>
      </c>
      <c r="G656" s="234">
        <v>39479</v>
      </c>
      <c r="H656" s="236">
        <v>39478</v>
      </c>
      <c r="I656" s="145" t="s">
        <v>179</v>
      </c>
      <c r="J656" s="237">
        <v>3627</v>
      </c>
      <c r="K656" s="12"/>
      <c r="L656" s="111">
        <v>3627</v>
      </c>
      <c r="M656" s="237">
        <v>3082.95</v>
      </c>
      <c r="N656" s="12"/>
      <c r="O656" s="111">
        <f t="shared" si="167"/>
        <v>3082.95</v>
      </c>
      <c r="P656" s="31">
        <f t="shared" si="168"/>
        <v>2003.9175</v>
      </c>
      <c r="Q656" s="31">
        <f t="shared" si="169"/>
        <v>0</v>
      </c>
      <c r="R656" s="111">
        <f t="shared" si="170"/>
        <v>2003.9175</v>
      </c>
      <c r="S656" s="347" t="s">
        <v>704</v>
      </c>
      <c r="T656" s="348"/>
    </row>
    <row r="657" spans="1:20" s="91" customFormat="1" ht="11.25">
      <c r="A657" s="85" t="s">
        <v>703</v>
      </c>
      <c r="B657" s="173"/>
      <c r="C657" s="87" t="s">
        <v>40</v>
      </c>
      <c r="D657" s="147" t="s">
        <v>543</v>
      </c>
      <c r="E657" s="145" t="s">
        <v>203</v>
      </c>
      <c r="F657" s="238">
        <v>39508</v>
      </c>
      <c r="G657" s="234">
        <v>39508</v>
      </c>
      <c r="H657" s="236">
        <v>39507</v>
      </c>
      <c r="I657" s="145" t="s">
        <v>179</v>
      </c>
      <c r="J657" s="237">
        <v>3627</v>
      </c>
      <c r="K657" s="12"/>
      <c r="L657" s="111">
        <v>3627</v>
      </c>
      <c r="M657" s="237">
        <v>3082.95</v>
      </c>
      <c r="N657" s="12"/>
      <c r="O657" s="111">
        <f t="shared" si="167"/>
        <v>3082.95</v>
      </c>
      <c r="P657" s="31">
        <f t="shared" si="168"/>
        <v>2003.9175</v>
      </c>
      <c r="Q657" s="31">
        <f t="shared" si="169"/>
        <v>0</v>
      </c>
      <c r="R657" s="111">
        <f t="shared" si="170"/>
        <v>2003.9175</v>
      </c>
      <c r="S657" s="347" t="s">
        <v>704</v>
      </c>
      <c r="T657" s="348"/>
    </row>
    <row r="658" spans="1:20" s="91" customFormat="1" ht="11.25">
      <c r="A658" s="85" t="s">
        <v>703</v>
      </c>
      <c r="B658" s="173"/>
      <c r="C658" s="87" t="s">
        <v>40</v>
      </c>
      <c r="D658" s="147" t="s">
        <v>543</v>
      </c>
      <c r="E658" s="145" t="s">
        <v>203</v>
      </c>
      <c r="F658" s="238">
        <v>39539</v>
      </c>
      <c r="G658" s="234">
        <v>39539</v>
      </c>
      <c r="H658" s="236">
        <v>39539</v>
      </c>
      <c r="I658" s="145" t="s">
        <v>179</v>
      </c>
      <c r="J658" s="237">
        <v>3627</v>
      </c>
      <c r="K658" s="12"/>
      <c r="L658" s="111">
        <v>3627</v>
      </c>
      <c r="M658" s="237">
        <v>3082.95</v>
      </c>
      <c r="N658" s="12"/>
      <c r="O658" s="111">
        <f t="shared" si="167"/>
        <v>3082.95</v>
      </c>
      <c r="P658" s="31">
        <f t="shared" si="168"/>
        <v>2003.9175</v>
      </c>
      <c r="Q658" s="31">
        <f t="shared" si="169"/>
        <v>0</v>
      </c>
      <c r="R658" s="111">
        <f t="shared" si="170"/>
        <v>2003.9175</v>
      </c>
      <c r="S658" s="347" t="s">
        <v>704</v>
      </c>
      <c r="T658" s="348"/>
    </row>
    <row r="659" spans="1:20" s="91" customFormat="1" ht="11.25">
      <c r="A659" s="85" t="s">
        <v>703</v>
      </c>
      <c r="B659" s="173"/>
      <c r="C659" s="87" t="s">
        <v>40</v>
      </c>
      <c r="D659" s="147" t="s">
        <v>552</v>
      </c>
      <c r="E659" s="145" t="s">
        <v>161</v>
      </c>
      <c r="F659" s="238">
        <v>8055490689</v>
      </c>
      <c r="G659" s="234">
        <v>39431</v>
      </c>
      <c r="H659" s="236">
        <v>39451</v>
      </c>
      <c r="I659" s="145" t="s">
        <v>162</v>
      </c>
      <c r="J659" s="237">
        <v>270.31</v>
      </c>
      <c r="K659" s="12">
        <v>54.06</v>
      </c>
      <c r="L659" s="111">
        <v>498</v>
      </c>
      <c r="M659" s="237">
        <v>229.76349999999994</v>
      </c>
      <c r="N659" s="12"/>
      <c r="O659" s="111">
        <f t="shared" si="167"/>
        <v>229.76349999999994</v>
      </c>
      <c r="P659" s="31">
        <f t="shared" si="168"/>
        <v>149.34627499999996</v>
      </c>
      <c r="Q659" s="31">
        <f t="shared" si="169"/>
        <v>0</v>
      </c>
      <c r="R659" s="111">
        <f t="shared" si="170"/>
        <v>149.34627499999996</v>
      </c>
      <c r="S659" s="347" t="s">
        <v>704</v>
      </c>
      <c r="T659" s="348"/>
    </row>
    <row r="660" spans="1:20" s="91" customFormat="1" ht="11.25">
      <c r="A660" s="85" t="s">
        <v>703</v>
      </c>
      <c r="B660" s="173"/>
      <c r="C660" s="87" t="s">
        <v>40</v>
      </c>
      <c r="D660" s="147" t="s">
        <v>552</v>
      </c>
      <c r="E660" s="145" t="s">
        <v>161</v>
      </c>
      <c r="F660" s="238">
        <v>8056075012</v>
      </c>
      <c r="G660" s="234">
        <v>39492</v>
      </c>
      <c r="H660" s="236">
        <v>39512</v>
      </c>
      <c r="I660" s="145" t="s">
        <v>162</v>
      </c>
      <c r="J660" s="237">
        <v>1103.27</v>
      </c>
      <c r="K660" s="12">
        <v>220.66</v>
      </c>
      <c r="L660" s="111">
        <v>1492</v>
      </c>
      <c r="M660" s="237">
        <v>937.7795</v>
      </c>
      <c r="N660" s="12"/>
      <c r="O660" s="111">
        <f t="shared" si="167"/>
        <v>937.7795</v>
      </c>
      <c r="P660" s="31">
        <f t="shared" si="168"/>
        <v>609.556675</v>
      </c>
      <c r="Q660" s="31">
        <f t="shared" si="169"/>
        <v>0</v>
      </c>
      <c r="R660" s="111">
        <f t="shared" si="170"/>
        <v>609.556675</v>
      </c>
      <c r="S660" s="347" t="s">
        <v>704</v>
      </c>
      <c r="T660" s="348"/>
    </row>
    <row r="661" spans="1:20" s="91" customFormat="1" ht="11.25">
      <c r="A661" s="85" t="s">
        <v>703</v>
      </c>
      <c r="B661" s="173"/>
      <c r="C661" s="87" t="s">
        <v>40</v>
      </c>
      <c r="D661" s="147" t="s">
        <v>557</v>
      </c>
      <c r="E661" s="145" t="s">
        <v>183</v>
      </c>
      <c r="F661" s="238" t="s">
        <v>717</v>
      </c>
      <c r="G661" s="234">
        <v>39451</v>
      </c>
      <c r="H661" s="236">
        <v>39471</v>
      </c>
      <c r="I661" s="145" t="s">
        <v>162</v>
      </c>
      <c r="J661" s="237">
        <v>168.13</v>
      </c>
      <c r="K661" s="12">
        <v>33.63</v>
      </c>
      <c r="L661" s="111">
        <v>201.76</v>
      </c>
      <c r="M661" s="237">
        <v>142.91049999999998</v>
      </c>
      <c r="N661" s="12"/>
      <c r="O661" s="111">
        <f t="shared" si="167"/>
        <v>142.91049999999998</v>
      </c>
      <c r="P661" s="31">
        <f t="shared" si="168"/>
        <v>92.891825</v>
      </c>
      <c r="Q661" s="31">
        <f t="shared" si="169"/>
        <v>0</v>
      </c>
      <c r="R661" s="111">
        <f t="shared" si="170"/>
        <v>92.891825</v>
      </c>
      <c r="S661" s="347" t="s">
        <v>704</v>
      </c>
      <c r="T661" s="348"/>
    </row>
    <row r="662" spans="1:20" s="91" customFormat="1" ht="11.25">
      <c r="A662" s="85" t="s">
        <v>703</v>
      </c>
      <c r="B662" s="173"/>
      <c r="C662" s="87" t="s">
        <v>40</v>
      </c>
      <c r="D662" s="147" t="s">
        <v>557</v>
      </c>
      <c r="E662" s="145" t="s">
        <v>183</v>
      </c>
      <c r="F662" s="238" t="s">
        <v>718</v>
      </c>
      <c r="G662" s="234">
        <v>39515</v>
      </c>
      <c r="H662" s="236">
        <v>39538</v>
      </c>
      <c r="I662" s="145" t="s">
        <v>162</v>
      </c>
      <c r="J662" s="237">
        <v>203.23</v>
      </c>
      <c r="K662" s="12">
        <v>40.65</v>
      </c>
      <c r="L662" s="111">
        <v>243.88</v>
      </c>
      <c r="M662" s="237">
        <v>172.7455</v>
      </c>
      <c r="N662" s="12"/>
      <c r="O662" s="111">
        <f t="shared" si="167"/>
        <v>172.7455</v>
      </c>
      <c r="P662" s="31">
        <f t="shared" si="168"/>
        <v>112.284575</v>
      </c>
      <c r="Q662" s="31">
        <f t="shared" si="169"/>
        <v>0</v>
      </c>
      <c r="R662" s="111">
        <f t="shared" si="170"/>
        <v>112.284575</v>
      </c>
      <c r="S662" s="347" t="s">
        <v>704</v>
      </c>
      <c r="T662" s="348"/>
    </row>
    <row r="663" spans="1:20" s="91" customFormat="1" ht="11.25">
      <c r="A663" s="85" t="s">
        <v>703</v>
      </c>
      <c r="B663" s="173"/>
      <c r="C663" s="87" t="s">
        <v>40</v>
      </c>
      <c r="D663" s="147" t="s">
        <v>560</v>
      </c>
      <c r="E663" s="145" t="s">
        <v>561</v>
      </c>
      <c r="F663" s="238" t="s">
        <v>719</v>
      </c>
      <c r="G663" s="234">
        <v>39422</v>
      </c>
      <c r="H663" s="236">
        <v>39461</v>
      </c>
      <c r="I663" s="145" t="s">
        <v>162</v>
      </c>
      <c r="J663" s="237">
        <v>401.05</v>
      </c>
      <c r="K663" s="12">
        <v>80.21</v>
      </c>
      <c r="L663" s="111">
        <v>481.5</v>
      </c>
      <c r="M663" s="237">
        <v>340.8925</v>
      </c>
      <c r="N663" s="12"/>
      <c r="O663" s="111">
        <f t="shared" si="167"/>
        <v>340.8925</v>
      </c>
      <c r="P663" s="31">
        <f t="shared" si="168"/>
        <v>221.580125</v>
      </c>
      <c r="Q663" s="31">
        <f t="shared" si="169"/>
        <v>0</v>
      </c>
      <c r="R663" s="111">
        <f t="shared" si="170"/>
        <v>221.580125</v>
      </c>
      <c r="S663" s="347" t="s">
        <v>704</v>
      </c>
      <c r="T663" s="348"/>
    </row>
    <row r="664" spans="1:20" s="91" customFormat="1" ht="11.25">
      <c r="A664" s="85" t="s">
        <v>703</v>
      </c>
      <c r="B664" s="173"/>
      <c r="C664" s="87" t="s">
        <v>40</v>
      </c>
      <c r="D664" s="147" t="s">
        <v>560</v>
      </c>
      <c r="E664" s="145" t="s">
        <v>561</v>
      </c>
      <c r="F664" s="238" t="s">
        <v>720</v>
      </c>
      <c r="G664" s="234">
        <v>39422</v>
      </c>
      <c r="H664" s="236">
        <v>39461</v>
      </c>
      <c r="I664" s="145" t="s">
        <v>162</v>
      </c>
      <c r="J664" s="237">
        <v>197.57</v>
      </c>
      <c r="K664" s="12">
        <v>39.52</v>
      </c>
      <c r="L664" s="111">
        <v>237</v>
      </c>
      <c r="M664" s="237">
        <v>167.9345</v>
      </c>
      <c r="N664" s="12"/>
      <c r="O664" s="111">
        <f t="shared" si="167"/>
        <v>167.9345</v>
      </c>
      <c r="P664" s="31">
        <f t="shared" si="168"/>
        <v>109.15742500000002</v>
      </c>
      <c r="Q664" s="31">
        <f t="shared" si="169"/>
        <v>0</v>
      </c>
      <c r="R664" s="111">
        <f t="shared" si="170"/>
        <v>109.15742500000002</v>
      </c>
      <c r="S664" s="347" t="s">
        <v>704</v>
      </c>
      <c r="T664" s="348"/>
    </row>
    <row r="665" spans="1:20" s="91" customFormat="1" ht="11.25">
      <c r="A665" s="85" t="s">
        <v>703</v>
      </c>
      <c r="B665" s="173"/>
      <c r="C665" s="87" t="s">
        <v>40</v>
      </c>
      <c r="D665" s="147" t="s">
        <v>560</v>
      </c>
      <c r="E665" s="145" t="s">
        <v>561</v>
      </c>
      <c r="F665" s="238" t="s">
        <v>721</v>
      </c>
      <c r="G665" s="234">
        <v>39422</v>
      </c>
      <c r="H665" s="236">
        <v>39461</v>
      </c>
      <c r="I665" s="145" t="s">
        <v>162</v>
      </c>
      <c r="J665" s="237">
        <v>80.45</v>
      </c>
      <c r="K665" s="12">
        <v>16.09</v>
      </c>
      <c r="L665" s="111">
        <v>96.5</v>
      </c>
      <c r="M665" s="237">
        <v>68.3825</v>
      </c>
      <c r="N665" s="12"/>
      <c r="O665" s="111">
        <f t="shared" si="167"/>
        <v>68.3825</v>
      </c>
      <c r="P665" s="31">
        <f t="shared" si="168"/>
        <v>44.448625</v>
      </c>
      <c r="Q665" s="31">
        <f t="shared" si="169"/>
        <v>0</v>
      </c>
      <c r="R665" s="111">
        <f t="shared" si="170"/>
        <v>44.448625</v>
      </c>
      <c r="S665" s="347" t="s">
        <v>704</v>
      </c>
      <c r="T665" s="348"/>
    </row>
    <row r="666" spans="1:20" s="91" customFormat="1" ht="11.25">
      <c r="A666" s="85" t="s">
        <v>703</v>
      </c>
      <c r="B666" s="173"/>
      <c r="C666" s="87" t="s">
        <v>40</v>
      </c>
      <c r="D666" s="147" t="s">
        <v>560</v>
      </c>
      <c r="E666" s="145" t="s">
        <v>561</v>
      </c>
      <c r="F666" s="238" t="s">
        <v>722</v>
      </c>
      <c r="G666" s="234">
        <v>39484</v>
      </c>
      <c r="H666" s="236">
        <v>39520</v>
      </c>
      <c r="I666" s="145" t="s">
        <v>162</v>
      </c>
      <c r="J666" s="237">
        <v>420.24</v>
      </c>
      <c r="K666" s="12">
        <v>84.05</v>
      </c>
      <c r="L666" s="111">
        <v>504</v>
      </c>
      <c r="M666" s="237">
        <v>357.204</v>
      </c>
      <c r="N666" s="12"/>
      <c r="O666" s="111">
        <f t="shared" si="167"/>
        <v>357.204</v>
      </c>
      <c r="P666" s="31">
        <f t="shared" si="168"/>
        <v>232.1826</v>
      </c>
      <c r="Q666" s="31">
        <f t="shared" si="169"/>
        <v>0</v>
      </c>
      <c r="R666" s="111">
        <f t="shared" si="170"/>
        <v>232.1826</v>
      </c>
      <c r="S666" s="347" t="s">
        <v>704</v>
      </c>
      <c r="T666" s="348"/>
    </row>
    <row r="667" spans="1:20" s="91" customFormat="1" ht="11.25">
      <c r="A667" s="85" t="s">
        <v>703</v>
      </c>
      <c r="B667" s="173"/>
      <c r="C667" s="87" t="s">
        <v>40</v>
      </c>
      <c r="D667" s="147" t="s">
        <v>560</v>
      </c>
      <c r="E667" s="145" t="s">
        <v>561</v>
      </c>
      <c r="F667" s="238" t="s">
        <v>723</v>
      </c>
      <c r="G667" s="234">
        <v>39484</v>
      </c>
      <c r="H667" s="236">
        <v>39520</v>
      </c>
      <c r="I667" s="145" t="s">
        <v>162</v>
      </c>
      <c r="J667" s="237">
        <v>217.08</v>
      </c>
      <c r="K667" s="12">
        <v>43.42</v>
      </c>
      <c r="L667" s="111">
        <v>260.5</v>
      </c>
      <c r="M667" s="237">
        <v>184.518</v>
      </c>
      <c r="N667" s="12"/>
      <c r="O667" s="111">
        <f t="shared" si="167"/>
        <v>184.518</v>
      </c>
      <c r="P667" s="31">
        <f t="shared" si="168"/>
        <v>119.9367</v>
      </c>
      <c r="Q667" s="31">
        <f t="shared" si="169"/>
        <v>0</v>
      </c>
      <c r="R667" s="111">
        <f t="shared" si="170"/>
        <v>119.9367</v>
      </c>
      <c r="S667" s="347" t="s">
        <v>704</v>
      </c>
      <c r="T667" s="348"/>
    </row>
    <row r="668" spans="1:20" s="91" customFormat="1" ht="11.25">
      <c r="A668" s="85" t="s">
        <v>703</v>
      </c>
      <c r="B668" s="173"/>
      <c r="C668" s="87" t="s">
        <v>40</v>
      </c>
      <c r="D668" s="147" t="s">
        <v>560</v>
      </c>
      <c r="E668" s="145" t="s">
        <v>561</v>
      </c>
      <c r="F668" s="238" t="s">
        <v>724</v>
      </c>
      <c r="G668" s="234">
        <v>39484</v>
      </c>
      <c r="H668" s="236">
        <v>39520</v>
      </c>
      <c r="I668" s="145" t="s">
        <v>162</v>
      </c>
      <c r="J668" s="237">
        <v>101.04</v>
      </c>
      <c r="K668" s="12">
        <v>20.21</v>
      </c>
      <c r="L668" s="111">
        <v>121.5</v>
      </c>
      <c r="M668" s="237">
        <v>85.884</v>
      </c>
      <c r="N668" s="12"/>
      <c r="O668" s="111">
        <f t="shared" si="167"/>
        <v>85.884</v>
      </c>
      <c r="P668" s="31">
        <f t="shared" si="168"/>
        <v>55.824600000000004</v>
      </c>
      <c r="Q668" s="31">
        <f t="shared" si="169"/>
        <v>0</v>
      </c>
      <c r="R668" s="111">
        <f t="shared" si="170"/>
        <v>55.824600000000004</v>
      </c>
      <c r="S668" s="347" t="s">
        <v>704</v>
      </c>
      <c r="T668" s="348"/>
    </row>
    <row r="669" spans="1:20" s="91" customFormat="1" ht="22.5">
      <c r="A669" s="85" t="s">
        <v>703</v>
      </c>
      <c r="B669" s="173"/>
      <c r="C669" s="14" t="s">
        <v>41</v>
      </c>
      <c r="D669" s="147" t="s">
        <v>572</v>
      </c>
      <c r="E669" s="145" t="s">
        <v>573</v>
      </c>
      <c r="F669" s="238">
        <v>42</v>
      </c>
      <c r="G669" s="234">
        <v>39444</v>
      </c>
      <c r="H669" s="236">
        <v>39541</v>
      </c>
      <c r="I669" s="145" t="s">
        <v>179</v>
      </c>
      <c r="J669" s="237">
        <v>250</v>
      </c>
      <c r="K669" s="12">
        <v>50</v>
      </c>
      <c r="L669" s="111">
        <v>300</v>
      </c>
      <c r="M669" s="237">
        <v>250</v>
      </c>
      <c r="N669" s="12"/>
      <c r="O669" s="111">
        <f>+N669+M669</f>
        <v>250</v>
      </c>
      <c r="P669" s="31">
        <f>+M669*0.65</f>
        <v>162.5</v>
      </c>
      <c r="Q669" s="31">
        <f>+N669*0.65</f>
        <v>0</v>
      </c>
      <c r="R669" s="111">
        <f>+Q669+P669</f>
        <v>162.5</v>
      </c>
      <c r="S669" s="347" t="s">
        <v>704</v>
      </c>
      <c r="T669" s="348"/>
    </row>
    <row r="670" spans="1:20" s="91" customFormat="1" ht="22.5">
      <c r="A670" s="85" t="s">
        <v>703</v>
      </c>
      <c r="B670" s="173"/>
      <c r="C670" s="14" t="s">
        <v>41</v>
      </c>
      <c r="D670" s="147" t="s">
        <v>572</v>
      </c>
      <c r="E670" s="145" t="s">
        <v>573</v>
      </c>
      <c r="F670" s="238">
        <v>2</v>
      </c>
      <c r="G670" s="234">
        <v>39467</v>
      </c>
      <c r="H670" s="236">
        <v>39595</v>
      </c>
      <c r="I670" s="145" t="s">
        <v>179</v>
      </c>
      <c r="J670" s="237">
        <v>250</v>
      </c>
      <c r="K670" s="12">
        <v>50</v>
      </c>
      <c r="L670" s="111">
        <v>300</v>
      </c>
      <c r="M670" s="237">
        <v>250</v>
      </c>
      <c r="N670" s="12"/>
      <c r="O670" s="111">
        <f aca="true" t="shared" si="171" ref="O670:O676">+N670+M670</f>
        <v>250</v>
      </c>
      <c r="P670" s="31">
        <f aca="true" t="shared" si="172" ref="P670:P676">+M670*0.65</f>
        <v>162.5</v>
      </c>
      <c r="Q670" s="31">
        <f aca="true" t="shared" si="173" ref="Q670:Q676">+N670*0.65</f>
        <v>0</v>
      </c>
      <c r="R670" s="111">
        <f aca="true" t="shared" si="174" ref="R670:R676">+Q670+P670</f>
        <v>162.5</v>
      </c>
      <c r="S670" s="347" t="s">
        <v>704</v>
      </c>
      <c r="T670" s="348"/>
    </row>
    <row r="671" spans="1:20" s="91" customFormat="1" ht="22.5">
      <c r="A671" s="85" t="s">
        <v>703</v>
      </c>
      <c r="B671" s="173"/>
      <c r="C671" s="14" t="s">
        <v>41</v>
      </c>
      <c r="D671" s="147" t="s">
        <v>572</v>
      </c>
      <c r="E671" s="145" t="s">
        <v>573</v>
      </c>
      <c r="F671" s="238">
        <v>1</v>
      </c>
      <c r="G671" s="234">
        <v>39467</v>
      </c>
      <c r="H671" s="236">
        <v>39577</v>
      </c>
      <c r="I671" s="145" t="s">
        <v>179</v>
      </c>
      <c r="J671" s="237">
        <v>250</v>
      </c>
      <c r="K671" s="12">
        <v>50</v>
      </c>
      <c r="L671" s="111">
        <v>300</v>
      </c>
      <c r="M671" s="237">
        <v>250</v>
      </c>
      <c r="N671" s="12"/>
      <c r="O671" s="111">
        <f t="shared" si="171"/>
        <v>250</v>
      </c>
      <c r="P671" s="31">
        <f t="shared" si="172"/>
        <v>162.5</v>
      </c>
      <c r="Q671" s="31">
        <f t="shared" si="173"/>
        <v>0</v>
      </c>
      <c r="R671" s="111">
        <f t="shared" si="174"/>
        <v>162.5</v>
      </c>
      <c r="S671" s="347" t="s">
        <v>704</v>
      </c>
      <c r="T671" s="348"/>
    </row>
    <row r="672" spans="1:20" s="91" customFormat="1" ht="22.5">
      <c r="A672" s="85" t="s">
        <v>703</v>
      </c>
      <c r="B672" s="173"/>
      <c r="C672" s="14" t="s">
        <v>41</v>
      </c>
      <c r="D672" s="147" t="s">
        <v>572</v>
      </c>
      <c r="E672" s="145" t="s">
        <v>573</v>
      </c>
      <c r="F672" s="238">
        <v>41</v>
      </c>
      <c r="G672" s="234">
        <v>39444</v>
      </c>
      <c r="H672" s="236">
        <v>39541</v>
      </c>
      <c r="I672" s="145" t="s">
        <v>179</v>
      </c>
      <c r="J672" s="237">
        <v>250</v>
      </c>
      <c r="K672" s="12">
        <v>50</v>
      </c>
      <c r="L672" s="111">
        <v>300</v>
      </c>
      <c r="M672" s="237">
        <v>250</v>
      </c>
      <c r="N672" s="12"/>
      <c r="O672" s="111">
        <f t="shared" si="171"/>
        <v>250</v>
      </c>
      <c r="P672" s="31">
        <f t="shared" si="172"/>
        <v>162.5</v>
      </c>
      <c r="Q672" s="31">
        <f t="shared" si="173"/>
        <v>0</v>
      </c>
      <c r="R672" s="111">
        <f t="shared" si="174"/>
        <v>162.5</v>
      </c>
      <c r="S672" s="347" t="s">
        <v>704</v>
      </c>
      <c r="T672" s="348"/>
    </row>
    <row r="673" spans="1:20" s="91" customFormat="1" ht="22.5">
      <c r="A673" s="85" t="s">
        <v>703</v>
      </c>
      <c r="B673" s="173"/>
      <c r="C673" s="14" t="s">
        <v>41</v>
      </c>
      <c r="D673" s="147" t="s">
        <v>572</v>
      </c>
      <c r="E673" s="145" t="s">
        <v>573</v>
      </c>
      <c r="F673" s="238">
        <v>38</v>
      </c>
      <c r="G673" s="234">
        <v>39416</v>
      </c>
      <c r="H673" s="236">
        <v>39447</v>
      </c>
      <c r="I673" s="145" t="s">
        <v>179</v>
      </c>
      <c r="J673" s="237">
        <v>250</v>
      </c>
      <c r="K673" s="12">
        <v>50</v>
      </c>
      <c r="L673" s="111">
        <v>300</v>
      </c>
      <c r="M673" s="237">
        <v>250</v>
      </c>
      <c r="N673" s="12"/>
      <c r="O673" s="111">
        <f t="shared" si="171"/>
        <v>250</v>
      </c>
      <c r="P673" s="31">
        <f t="shared" si="172"/>
        <v>162.5</v>
      </c>
      <c r="Q673" s="31">
        <f t="shared" si="173"/>
        <v>0</v>
      </c>
      <c r="R673" s="111">
        <f t="shared" si="174"/>
        <v>162.5</v>
      </c>
      <c r="S673" s="347" t="s">
        <v>704</v>
      </c>
      <c r="T673" s="348"/>
    </row>
    <row r="674" spans="1:20" s="91" customFormat="1" ht="22.5">
      <c r="A674" s="85" t="s">
        <v>703</v>
      </c>
      <c r="B674" s="173"/>
      <c r="C674" s="14" t="s">
        <v>41</v>
      </c>
      <c r="D674" s="147" t="s">
        <v>725</v>
      </c>
      <c r="E674" s="145" t="s">
        <v>347</v>
      </c>
      <c r="F674" s="238"/>
      <c r="G674" s="234"/>
      <c r="H674" s="236"/>
      <c r="I674" s="145"/>
      <c r="J674" s="237">
        <v>586.59</v>
      </c>
      <c r="K674" s="12">
        <v>37.3</v>
      </c>
      <c r="L674" s="111">
        <v>623.89</v>
      </c>
      <c r="M674" s="237">
        <v>607.23</v>
      </c>
      <c r="N674" s="12"/>
      <c r="O674" s="111">
        <f t="shared" si="171"/>
        <v>607.23</v>
      </c>
      <c r="P674" s="31">
        <f t="shared" si="172"/>
        <v>394.6995</v>
      </c>
      <c r="Q674" s="31">
        <f t="shared" si="173"/>
        <v>0</v>
      </c>
      <c r="R674" s="111">
        <f t="shared" si="174"/>
        <v>394.6995</v>
      </c>
      <c r="S674" s="347" t="s">
        <v>704</v>
      </c>
      <c r="T674" s="348"/>
    </row>
    <row r="675" spans="1:20" s="91" customFormat="1" ht="22.5">
      <c r="A675" s="85" t="s">
        <v>703</v>
      </c>
      <c r="B675" s="173"/>
      <c r="C675" s="14" t="s">
        <v>41</v>
      </c>
      <c r="D675" s="147" t="s">
        <v>726</v>
      </c>
      <c r="E675" s="145" t="s">
        <v>347</v>
      </c>
      <c r="F675" s="238"/>
      <c r="G675" s="234"/>
      <c r="H675" s="236"/>
      <c r="I675" s="145"/>
      <c r="J675" s="237">
        <v>793.92</v>
      </c>
      <c r="K675" s="12">
        <v>97.28</v>
      </c>
      <c r="L675" s="111">
        <v>891.2</v>
      </c>
      <c r="M675" s="237">
        <v>874.05</v>
      </c>
      <c r="N675" s="12"/>
      <c r="O675" s="111">
        <f t="shared" si="171"/>
        <v>874.05</v>
      </c>
      <c r="P675" s="31">
        <f t="shared" si="172"/>
        <v>568.1324999999999</v>
      </c>
      <c r="Q675" s="31">
        <f t="shared" si="173"/>
        <v>0</v>
      </c>
      <c r="R675" s="111">
        <f t="shared" si="174"/>
        <v>568.1324999999999</v>
      </c>
      <c r="S675" s="347" t="s">
        <v>704</v>
      </c>
      <c r="T675" s="348"/>
    </row>
    <row r="676" spans="1:20" s="91" customFormat="1" ht="22.5">
      <c r="A676" s="85" t="s">
        <v>703</v>
      </c>
      <c r="B676" s="173"/>
      <c r="C676" s="14" t="s">
        <v>41</v>
      </c>
      <c r="D676" s="147" t="s">
        <v>727</v>
      </c>
      <c r="E676" s="145" t="s">
        <v>347</v>
      </c>
      <c r="F676" s="238"/>
      <c r="G676" s="234"/>
      <c r="H676" s="236"/>
      <c r="I676" s="145"/>
      <c r="J676" s="237">
        <v>254.6</v>
      </c>
      <c r="K676" s="12"/>
      <c r="L676" s="111">
        <v>254.6</v>
      </c>
      <c r="M676" s="237">
        <v>254.6</v>
      </c>
      <c r="N676" s="12"/>
      <c r="O676" s="111">
        <f t="shared" si="171"/>
        <v>254.6</v>
      </c>
      <c r="P676" s="31">
        <f t="shared" si="172"/>
        <v>165.49</v>
      </c>
      <c r="Q676" s="31">
        <f t="shared" si="173"/>
        <v>0</v>
      </c>
      <c r="R676" s="111">
        <f t="shared" si="174"/>
        <v>165.49</v>
      </c>
      <c r="S676" s="347" t="s">
        <v>704</v>
      </c>
      <c r="T676" s="348"/>
    </row>
    <row r="677" spans="1:20" s="91" customFormat="1" ht="11.25">
      <c r="A677" s="58" t="s">
        <v>703</v>
      </c>
      <c r="B677" s="8"/>
      <c r="C677" s="67" t="s">
        <v>42</v>
      </c>
      <c r="D677" s="147" t="s">
        <v>739</v>
      </c>
      <c r="E677" s="145" t="s">
        <v>740</v>
      </c>
      <c r="F677" s="238">
        <v>1042</v>
      </c>
      <c r="G677" s="234">
        <v>38699</v>
      </c>
      <c r="H677" s="236">
        <v>38708</v>
      </c>
      <c r="I677" s="145" t="s">
        <v>328</v>
      </c>
      <c r="J677" s="237">
        <v>575</v>
      </c>
      <c r="K677" s="12">
        <v>115</v>
      </c>
      <c r="L677" s="111">
        <v>690</v>
      </c>
      <c r="M677" s="237">
        <v>575</v>
      </c>
      <c r="N677" s="12">
        <v>115</v>
      </c>
      <c r="O677" s="111">
        <f aca="true" t="shared" si="175" ref="O677:O711">+N677+M677</f>
        <v>690</v>
      </c>
      <c r="P677" s="31">
        <f aca="true" t="shared" si="176" ref="P677:P711">+M677*0.65</f>
        <v>373.75</v>
      </c>
      <c r="Q677" s="31">
        <f aca="true" t="shared" si="177" ref="Q677:Q711">+N677*0.65</f>
        <v>74.75</v>
      </c>
      <c r="R677" s="111">
        <f aca="true" t="shared" si="178" ref="R677:R711">+Q677+P677</f>
        <v>448.5</v>
      </c>
      <c r="S677" s="329"/>
      <c r="T677" s="330"/>
    </row>
    <row r="678" spans="1:20" s="91" customFormat="1" ht="22.5">
      <c r="A678" s="58" t="s">
        <v>703</v>
      </c>
      <c r="B678" s="8"/>
      <c r="C678" s="67" t="s">
        <v>42</v>
      </c>
      <c r="D678" s="147" t="s">
        <v>741</v>
      </c>
      <c r="E678" s="145" t="s">
        <v>740</v>
      </c>
      <c r="F678" s="238">
        <v>18</v>
      </c>
      <c r="G678" s="234">
        <v>38736</v>
      </c>
      <c r="H678" s="236">
        <v>38748</v>
      </c>
      <c r="I678" s="145" t="s">
        <v>328</v>
      </c>
      <c r="J678" s="237">
        <v>250</v>
      </c>
      <c r="K678" s="12">
        <v>50</v>
      </c>
      <c r="L678" s="111">
        <v>300</v>
      </c>
      <c r="M678" s="237">
        <v>250</v>
      </c>
      <c r="N678" s="12">
        <v>50</v>
      </c>
      <c r="O678" s="111">
        <f t="shared" si="175"/>
        <v>300</v>
      </c>
      <c r="P678" s="31">
        <f t="shared" si="176"/>
        <v>162.5</v>
      </c>
      <c r="Q678" s="31">
        <f t="shared" si="177"/>
        <v>32.5</v>
      </c>
      <c r="R678" s="111">
        <f t="shared" si="178"/>
        <v>195</v>
      </c>
      <c r="S678" s="329"/>
      <c r="T678" s="330"/>
    </row>
    <row r="679" spans="1:20" s="91" customFormat="1" ht="11.25">
      <c r="A679" s="58" t="s">
        <v>703</v>
      </c>
      <c r="B679" s="8"/>
      <c r="C679" s="67" t="s">
        <v>42</v>
      </c>
      <c r="D679" s="147" t="s">
        <v>742</v>
      </c>
      <c r="E679" s="145" t="s">
        <v>740</v>
      </c>
      <c r="F679" s="238">
        <v>405</v>
      </c>
      <c r="G679" s="234">
        <v>39230</v>
      </c>
      <c r="H679" s="236">
        <v>39251</v>
      </c>
      <c r="I679" s="145" t="s">
        <v>328</v>
      </c>
      <c r="J679" s="237">
        <v>950</v>
      </c>
      <c r="K679" s="12">
        <v>190</v>
      </c>
      <c r="L679" s="111">
        <v>1140</v>
      </c>
      <c r="M679" s="237">
        <v>950</v>
      </c>
      <c r="N679" s="12">
        <v>190</v>
      </c>
      <c r="O679" s="111">
        <f t="shared" si="175"/>
        <v>1140</v>
      </c>
      <c r="P679" s="31">
        <f t="shared" si="176"/>
        <v>617.5</v>
      </c>
      <c r="Q679" s="31">
        <f t="shared" si="177"/>
        <v>123.5</v>
      </c>
      <c r="R679" s="111">
        <f t="shared" si="178"/>
        <v>741</v>
      </c>
      <c r="S679" s="329"/>
      <c r="T679" s="330"/>
    </row>
    <row r="680" spans="1:20" s="91" customFormat="1" ht="11.25">
      <c r="A680" s="58" t="s">
        <v>703</v>
      </c>
      <c r="B680" s="8"/>
      <c r="C680" s="67" t="s">
        <v>42</v>
      </c>
      <c r="D680" s="147" t="s">
        <v>743</v>
      </c>
      <c r="E680" s="145" t="s">
        <v>740</v>
      </c>
      <c r="F680" s="238">
        <v>635</v>
      </c>
      <c r="G680" s="234">
        <v>39322</v>
      </c>
      <c r="H680" s="236">
        <v>39349</v>
      </c>
      <c r="I680" s="145" t="s">
        <v>328</v>
      </c>
      <c r="J680" s="237">
        <v>200</v>
      </c>
      <c r="K680" s="12">
        <v>40</v>
      </c>
      <c r="L680" s="111">
        <v>240</v>
      </c>
      <c r="M680" s="237">
        <v>200</v>
      </c>
      <c r="N680" s="12">
        <v>40</v>
      </c>
      <c r="O680" s="111">
        <f t="shared" si="175"/>
        <v>240</v>
      </c>
      <c r="P680" s="31">
        <f t="shared" si="176"/>
        <v>130</v>
      </c>
      <c r="Q680" s="31">
        <f t="shared" si="177"/>
        <v>26</v>
      </c>
      <c r="R680" s="111">
        <f t="shared" si="178"/>
        <v>156</v>
      </c>
      <c r="S680" s="329"/>
      <c r="T680" s="330"/>
    </row>
    <row r="681" spans="1:20" s="91" customFormat="1" ht="11.25">
      <c r="A681" s="58" t="s">
        <v>703</v>
      </c>
      <c r="B681" s="8"/>
      <c r="C681" s="67" t="s">
        <v>42</v>
      </c>
      <c r="D681" s="147" t="s">
        <v>744</v>
      </c>
      <c r="E681" s="145" t="s">
        <v>740</v>
      </c>
      <c r="F681" s="238">
        <v>562</v>
      </c>
      <c r="G681" s="234">
        <v>39282</v>
      </c>
      <c r="H681" s="236">
        <v>39349</v>
      </c>
      <c r="I681" s="145" t="s">
        <v>328</v>
      </c>
      <c r="J681" s="237">
        <v>750</v>
      </c>
      <c r="K681" s="12">
        <v>150</v>
      </c>
      <c r="L681" s="111">
        <v>900</v>
      </c>
      <c r="M681" s="237">
        <v>750</v>
      </c>
      <c r="N681" s="12">
        <v>150</v>
      </c>
      <c r="O681" s="111">
        <f t="shared" si="175"/>
        <v>900</v>
      </c>
      <c r="P681" s="31">
        <f t="shared" si="176"/>
        <v>487.5</v>
      </c>
      <c r="Q681" s="31">
        <f t="shared" si="177"/>
        <v>97.5</v>
      </c>
      <c r="R681" s="111">
        <f t="shared" si="178"/>
        <v>585</v>
      </c>
      <c r="S681" s="329"/>
      <c r="T681" s="330"/>
    </row>
    <row r="682" spans="1:20" s="91" customFormat="1" ht="11.25">
      <c r="A682" s="58" t="s">
        <v>703</v>
      </c>
      <c r="B682" s="8"/>
      <c r="C682" s="67" t="s">
        <v>42</v>
      </c>
      <c r="D682" s="147" t="s">
        <v>745</v>
      </c>
      <c r="E682" s="145" t="s">
        <v>740</v>
      </c>
      <c r="F682" s="238">
        <v>871</v>
      </c>
      <c r="G682" s="234">
        <v>39406</v>
      </c>
      <c r="H682" s="236">
        <v>39416</v>
      </c>
      <c r="I682" s="145" t="s">
        <v>328</v>
      </c>
      <c r="J682" s="237">
        <v>650</v>
      </c>
      <c r="K682" s="12">
        <v>130</v>
      </c>
      <c r="L682" s="111">
        <v>780</v>
      </c>
      <c r="M682" s="237">
        <v>650</v>
      </c>
      <c r="N682" s="12">
        <v>130</v>
      </c>
      <c r="O682" s="111">
        <f t="shared" si="175"/>
        <v>780</v>
      </c>
      <c r="P682" s="31">
        <f t="shared" si="176"/>
        <v>422.5</v>
      </c>
      <c r="Q682" s="31">
        <f t="shared" si="177"/>
        <v>84.5</v>
      </c>
      <c r="R682" s="111">
        <f t="shared" si="178"/>
        <v>507</v>
      </c>
      <c r="S682" s="329"/>
      <c r="T682" s="330"/>
    </row>
    <row r="683" spans="1:20" s="91" customFormat="1" ht="11.25">
      <c r="A683" s="58" t="s">
        <v>703</v>
      </c>
      <c r="B683" s="8"/>
      <c r="C683" s="67" t="s">
        <v>42</v>
      </c>
      <c r="D683" s="147" t="s">
        <v>746</v>
      </c>
      <c r="E683" s="145" t="s">
        <v>740</v>
      </c>
      <c r="F683" s="238">
        <v>217</v>
      </c>
      <c r="G683" s="234">
        <v>39525</v>
      </c>
      <c r="H683" s="236">
        <v>39594</v>
      </c>
      <c r="I683" s="145" t="s">
        <v>328</v>
      </c>
      <c r="J683" s="237">
        <v>750</v>
      </c>
      <c r="K683" s="12">
        <v>150</v>
      </c>
      <c r="L683" s="111">
        <v>900</v>
      </c>
      <c r="M683" s="237">
        <v>750</v>
      </c>
      <c r="N683" s="12">
        <v>150</v>
      </c>
      <c r="O683" s="111">
        <f t="shared" si="175"/>
        <v>900</v>
      </c>
      <c r="P683" s="31">
        <f t="shared" si="176"/>
        <v>487.5</v>
      </c>
      <c r="Q683" s="31">
        <f t="shared" si="177"/>
        <v>97.5</v>
      </c>
      <c r="R683" s="111">
        <f t="shared" si="178"/>
        <v>585</v>
      </c>
      <c r="S683" s="329"/>
      <c r="T683" s="330"/>
    </row>
    <row r="684" spans="1:20" s="91" customFormat="1" ht="11.25">
      <c r="A684" s="58" t="s">
        <v>703</v>
      </c>
      <c r="B684" s="8"/>
      <c r="C684" s="67" t="s">
        <v>42</v>
      </c>
      <c r="D684" s="147" t="s">
        <v>747</v>
      </c>
      <c r="E684" s="145" t="s">
        <v>740</v>
      </c>
      <c r="F684" s="238">
        <v>57</v>
      </c>
      <c r="G684" s="234">
        <v>39476</v>
      </c>
      <c r="H684" s="236">
        <v>39521</v>
      </c>
      <c r="I684" s="145" t="s">
        <v>328</v>
      </c>
      <c r="J684" s="237">
        <v>850</v>
      </c>
      <c r="K684" s="12">
        <v>170</v>
      </c>
      <c r="L684" s="111">
        <v>1020</v>
      </c>
      <c r="M684" s="237">
        <v>850</v>
      </c>
      <c r="N684" s="12">
        <v>170</v>
      </c>
      <c r="O684" s="111">
        <f t="shared" si="175"/>
        <v>1020</v>
      </c>
      <c r="P684" s="31">
        <f t="shared" si="176"/>
        <v>552.5</v>
      </c>
      <c r="Q684" s="31">
        <f t="shared" si="177"/>
        <v>110.5</v>
      </c>
      <c r="R684" s="111">
        <f t="shared" si="178"/>
        <v>663</v>
      </c>
      <c r="S684" s="329"/>
      <c r="T684" s="330"/>
    </row>
    <row r="685" spans="1:20" s="91" customFormat="1" ht="22.5">
      <c r="A685" s="58" t="s">
        <v>703</v>
      </c>
      <c r="B685" s="8"/>
      <c r="C685" s="67" t="s">
        <v>42</v>
      </c>
      <c r="D685" s="147" t="s">
        <v>748</v>
      </c>
      <c r="E685" s="145" t="s">
        <v>749</v>
      </c>
      <c r="F685" s="238">
        <v>13806</v>
      </c>
      <c r="G685" s="234">
        <v>39507</v>
      </c>
      <c r="H685" s="236">
        <v>39567</v>
      </c>
      <c r="I685" s="145" t="s">
        <v>328</v>
      </c>
      <c r="J685" s="237">
        <v>352.1</v>
      </c>
      <c r="K685" s="12">
        <v>70.42</v>
      </c>
      <c r="L685" s="111">
        <v>422.52</v>
      </c>
      <c r="M685" s="237"/>
      <c r="N685" s="12"/>
      <c r="O685" s="111">
        <f t="shared" si="175"/>
        <v>0</v>
      </c>
      <c r="P685" s="31">
        <f t="shared" si="176"/>
        <v>0</v>
      </c>
      <c r="Q685" s="31">
        <f t="shared" si="177"/>
        <v>0</v>
      </c>
      <c r="R685" s="111">
        <f t="shared" si="178"/>
        <v>0</v>
      </c>
      <c r="S685" s="329"/>
      <c r="T685" s="330"/>
    </row>
    <row r="686" spans="1:20" s="91" customFormat="1" ht="11.25">
      <c r="A686" s="58" t="s">
        <v>703</v>
      </c>
      <c r="B686" s="8"/>
      <c r="C686" s="67" t="s">
        <v>42</v>
      </c>
      <c r="D686" s="147" t="s">
        <v>750</v>
      </c>
      <c r="E686" s="145" t="s">
        <v>751</v>
      </c>
      <c r="F686" s="238">
        <v>82245</v>
      </c>
      <c r="G686" s="234">
        <v>39409</v>
      </c>
      <c r="H686" s="236">
        <v>39803</v>
      </c>
      <c r="I686" s="145" t="s">
        <v>328</v>
      </c>
      <c r="J686" s="237">
        <v>422.4</v>
      </c>
      <c r="K686" s="12">
        <v>84.48</v>
      </c>
      <c r="L686" s="111">
        <v>506.88</v>
      </c>
      <c r="M686" s="237"/>
      <c r="N686" s="12"/>
      <c r="O686" s="111">
        <f t="shared" si="175"/>
        <v>0</v>
      </c>
      <c r="P686" s="31">
        <f t="shared" si="176"/>
        <v>0</v>
      </c>
      <c r="Q686" s="31">
        <f t="shared" si="177"/>
        <v>0</v>
      </c>
      <c r="R686" s="111">
        <f t="shared" si="178"/>
        <v>0</v>
      </c>
      <c r="S686" s="329"/>
      <c r="T686" s="330"/>
    </row>
    <row r="687" spans="1:20" s="91" customFormat="1" ht="33.75">
      <c r="A687" s="58" t="s">
        <v>703</v>
      </c>
      <c r="B687" s="8"/>
      <c r="C687" s="67" t="s">
        <v>42</v>
      </c>
      <c r="D687" s="147" t="s">
        <v>752</v>
      </c>
      <c r="E687" s="145" t="s">
        <v>749</v>
      </c>
      <c r="F687" s="238">
        <v>58665</v>
      </c>
      <c r="G687" s="234">
        <v>38898</v>
      </c>
      <c r="H687" s="236">
        <v>38912</v>
      </c>
      <c r="I687" s="145" t="s">
        <v>328</v>
      </c>
      <c r="J687" s="237">
        <v>239.48</v>
      </c>
      <c r="K687" s="12">
        <v>47.9</v>
      </c>
      <c r="L687" s="111">
        <v>287.38</v>
      </c>
      <c r="M687" s="237"/>
      <c r="N687" s="12"/>
      <c r="O687" s="111">
        <f t="shared" si="175"/>
        <v>0</v>
      </c>
      <c r="P687" s="31">
        <f t="shared" si="176"/>
        <v>0</v>
      </c>
      <c r="Q687" s="31">
        <f t="shared" si="177"/>
        <v>0</v>
      </c>
      <c r="R687" s="111">
        <f t="shared" si="178"/>
        <v>0</v>
      </c>
      <c r="S687" s="329"/>
      <c r="T687" s="330"/>
    </row>
    <row r="688" spans="1:20" s="91" customFormat="1" ht="11.25">
      <c r="A688" s="58" t="s">
        <v>703</v>
      </c>
      <c r="B688" s="8"/>
      <c r="C688" s="67" t="s">
        <v>42</v>
      </c>
      <c r="D688" s="147" t="s">
        <v>753</v>
      </c>
      <c r="E688" s="145" t="s">
        <v>749</v>
      </c>
      <c r="F688" s="238">
        <v>67779</v>
      </c>
      <c r="G688" s="234">
        <v>38929</v>
      </c>
      <c r="H688" s="236">
        <v>38965</v>
      </c>
      <c r="I688" s="145" t="s">
        <v>328</v>
      </c>
      <c r="J688" s="237">
        <v>542</v>
      </c>
      <c r="K688" s="12">
        <v>108.4</v>
      </c>
      <c r="L688" s="111">
        <v>650.4</v>
      </c>
      <c r="M688" s="237">
        <v>542</v>
      </c>
      <c r="N688" s="12">
        <v>108.4</v>
      </c>
      <c r="O688" s="111">
        <f t="shared" si="175"/>
        <v>650.4</v>
      </c>
      <c r="P688" s="31">
        <f t="shared" si="176"/>
        <v>352.3</v>
      </c>
      <c r="Q688" s="31">
        <f t="shared" si="177"/>
        <v>70.46000000000001</v>
      </c>
      <c r="R688" s="111">
        <f t="shared" si="178"/>
        <v>422.76</v>
      </c>
      <c r="S688" s="329"/>
      <c r="T688" s="330"/>
    </row>
    <row r="689" spans="1:20" s="91" customFormat="1" ht="11.25">
      <c r="A689" s="58" t="s">
        <v>703</v>
      </c>
      <c r="B689" s="8"/>
      <c r="C689" s="67" t="s">
        <v>42</v>
      </c>
      <c r="D689" s="147" t="s">
        <v>754</v>
      </c>
      <c r="E689" s="145" t="s">
        <v>749</v>
      </c>
      <c r="F689" s="238">
        <v>7307</v>
      </c>
      <c r="G689" s="234">
        <v>39113</v>
      </c>
      <c r="H689" s="236">
        <v>39175</v>
      </c>
      <c r="I689" s="145" t="s">
        <v>755</v>
      </c>
      <c r="J689" s="237">
        <v>1074.7</v>
      </c>
      <c r="K689" s="12">
        <v>214.94</v>
      </c>
      <c r="L689" s="111">
        <v>1289.64</v>
      </c>
      <c r="M689" s="237">
        <v>1074.7</v>
      </c>
      <c r="N689" s="12">
        <v>214.94</v>
      </c>
      <c r="O689" s="111">
        <f t="shared" si="175"/>
        <v>1289.64</v>
      </c>
      <c r="P689" s="31">
        <f t="shared" si="176"/>
        <v>698.5550000000001</v>
      </c>
      <c r="Q689" s="31">
        <f t="shared" si="177"/>
        <v>139.711</v>
      </c>
      <c r="R689" s="111">
        <f t="shared" si="178"/>
        <v>838.2660000000001</v>
      </c>
      <c r="S689" s="329"/>
      <c r="T689" s="330"/>
    </row>
    <row r="690" spans="1:20" s="91" customFormat="1" ht="11.25">
      <c r="A690" s="58" t="s">
        <v>703</v>
      </c>
      <c r="B690" s="8"/>
      <c r="C690" s="67" t="s">
        <v>42</v>
      </c>
      <c r="D690" s="147" t="s">
        <v>341</v>
      </c>
      <c r="E690" s="145" t="s">
        <v>756</v>
      </c>
      <c r="F690" s="238">
        <v>88</v>
      </c>
      <c r="G690" s="234">
        <v>39113</v>
      </c>
      <c r="H690" s="236">
        <v>39189</v>
      </c>
      <c r="I690" s="145" t="s">
        <v>328</v>
      </c>
      <c r="J690" s="237">
        <v>782.09</v>
      </c>
      <c r="K690" s="12">
        <v>156.42</v>
      </c>
      <c r="L690" s="111">
        <v>2769.61</v>
      </c>
      <c r="M690" s="237">
        <v>782.09</v>
      </c>
      <c r="N690" s="12">
        <v>156.42</v>
      </c>
      <c r="O690" s="111">
        <f t="shared" si="175"/>
        <v>938.51</v>
      </c>
      <c r="P690" s="31">
        <f t="shared" si="176"/>
        <v>508.35850000000005</v>
      </c>
      <c r="Q690" s="31">
        <f t="shared" si="177"/>
        <v>101.673</v>
      </c>
      <c r="R690" s="111">
        <f t="shared" si="178"/>
        <v>610.0315</v>
      </c>
      <c r="S690" s="329"/>
      <c r="T690" s="330"/>
    </row>
    <row r="691" spans="1:20" s="91" customFormat="1" ht="11.25">
      <c r="A691" s="58" t="s">
        <v>703</v>
      </c>
      <c r="B691" s="8"/>
      <c r="C691" s="67" t="s">
        <v>42</v>
      </c>
      <c r="D691" s="147" t="s">
        <v>341</v>
      </c>
      <c r="E691" s="145" t="s">
        <v>756</v>
      </c>
      <c r="F691" s="238">
        <v>189</v>
      </c>
      <c r="G691" s="234">
        <v>39149</v>
      </c>
      <c r="H691" s="236">
        <v>39189</v>
      </c>
      <c r="I691" s="145" t="s">
        <v>328</v>
      </c>
      <c r="J691" s="237">
        <v>138.57</v>
      </c>
      <c r="K691" s="12">
        <v>27.71</v>
      </c>
      <c r="L691" s="111">
        <v>676.33</v>
      </c>
      <c r="M691" s="237">
        <v>138.57</v>
      </c>
      <c r="N691" s="12">
        <v>27.71</v>
      </c>
      <c r="O691" s="111">
        <f t="shared" si="175"/>
        <v>166.28</v>
      </c>
      <c r="P691" s="31">
        <f t="shared" si="176"/>
        <v>90.0705</v>
      </c>
      <c r="Q691" s="31">
        <f t="shared" si="177"/>
        <v>18.0115</v>
      </c>
      <c r="R691" s="111">
        <f t="shared" si="178"/>
        <v>108.082</v>
      </c>
      <c r="S691" s="329"/>
      <c r="T691" s="330"/>
    </row>
    <row r="692" spans="1:20" s="91" customFormat="1" ht="11.25">
      <c r="A692" s="58" t="s">
        <v>703</v>
      </c>
      <c r="B692" s="8"/>
      <c r="C692" s="67" t="s">
        <v>42</v>
      </c>
      <c r="D692" s="147" t="s">
        <v>48</v>
      </c>
      <c r="E692" s="145" t="s">
        <v>749</v>
      </c>
      <c r="F692" s="238">
        <v>25731</v>
      </c>
      <c r="G692" s="234">
        <v>39171</v>
      </c>
      <c r="H692" s="236">
        <v>39196</v>
      </c>
      <c r="I692" s="145" t="s">
        <v>757</v>
      </c>
      <c r="J692" s="237">
        <v>296.98</v>
      </c>
      <c r="K692" s="12">
        <v>59.4</v>
      </c>
      <c r="L692" s="111">
        <v>356.38</v>
      </c>
      <c r="M692" s="237"/>
      <c r="N692" s="12"/>
      <c r="O692" s="111">
        <f t="shared" si="175"/>
        <v>0</v>
      </c>
      <c r="P692" s="31">
        <f t="shared" si="176"/>
        <v>0</v>
      </c>
      <c r="Q692" s="31">
        <f t="shared" si="177"/>
        <v>0</v>
      </c>
      <c r="R692" s="111">
        <f t="shared" si="178"/>
        <v>0</v>
      </c>
      <c r="S692" s="329"/>
      <c r="T692" s="330"/>
    </row>
    <row r="693" spans="1:20" s="91" customFormat="1" ht="11.25">
      <c r="A693" s="58" t="s">
        <v>703</v>
      </c>
      <c r="B693" s="8"/>
      <c r="C693" s="67" t="s">
        <v>42</v>
      </c>
      <c r="D693" s="147" t="s">
        <v>341</v>
      </c>
      <c r="E693" s="145" t="s">
        <v>756</v>
      </c>
      <c r="F693" s="238">
        <v>293</v>
      </c>
      <c r="G693" s="234">
        <v>39172</v>
      </c>
      <c r="H693" s="236">
        <v>39223</v>
      </c>
      <c r="I693" s="145" t="s">
        <v>328</v>
      </c>
      <c r="J693" s="237">
        <v>285.32</v>
      </c>
      <c r="K693" s="12">
        <v>57.06</v>
      </c>
      <c r="L693" s="111">
        <v>787.13</v>
      </c>
      <c r="M693" s="237">
        <v>285.32</v>
      </c>
      <c r="N693" s="12">
        <v>57.06</v>
      </c>
      <c r="O693" s="111">
        <f t="shared" si="175"/>
        <v>342.38</v>
      </c>
      <c r="P693" s="31">
        <f t="shared" si="176"/>
        <v>185.458</v>
      </c>
      <c r="Q693" s="31">
        <f t="shared" si="177"/>
        <v>37.089000000000006</v>
      </c>
      <c r="R693" s="111">
        <f t="shared" si="178"/>
        <v>222.547</v>
      </c>
      <c r="S693" s="329"/>
      <c r="T693" s="330"/>
    </row>
    <row r="694" spans="1:20" s="91" customFormat="1" ht="11.25">
      <c r="A694" s="58" t="s">
        <v>703</v>
      </c>
      <c r="B694" s="8"/>
      <c r="C694" s="67" t="s">
        <v>42</v>
      </c>
      <c r="D694" s="147" t="s">
        <v>341</v>
      </c>
      <c r="E694" s="145" t="s">
        <v>756</v>
      </c>
      <c r="F694" s="238">
        <v>379</v>
      </c>
      <c r="G694" s="234">
        <v>39202</v>
      </c>
      <c r="H694" s="236">
        <v>39223</v>
      </c>
      <c r="I694" s="145" t="s">
        <v>328</v>
      </c>
      <c r="J694" s="237">
        <v>120.51</v>
      </c>
      <c r="K694" s="12">
        <v>24.1</v>
      </c>
      <c r="L694" s="111">
        <v>366.51</v>
      </c>
      <c r="M694" s="237">
        <v>120.51</v>
      </c>
      <c r="N694" s="12">
        <v>24.1</v>
      </c>
      <c r="O694" s="111">
        <f t="shared" si="175"/>
        <v>144.61</v>
      </c>
      <c r="P694" s="31">
        <f t="shared" si="176"/>
        <v>78.3315</v>
      </c>
      <c r="Q694" s="31">
        <f t="shared" si="177"/>
        <v>15.665000000000001</v>
      </c>
      <c r="R694" s="111">
        <f t="shared" si="178"/>
        <v>93.99650000000001</v>
      </c>
      <c r="S694" s="329"/>
      <c r="T694" s="330"/>
    </row>
    <row r="695" spans="1:20" s="91" customFormat="1" ht="11.25">
      <c r="A695" s="58" t="s">
        <v>703</v>
      </c>
      <c r="B695" s="8"/>
      <c r="C695" s="67" t="s">
        <v>42</v>
      </c>
      <c r="D695" s="147" t="s">
        <v>758</v>
      </c>
      <c r="E695" s="145" t="s">
        <v>749</v>
      </c>
      <c r="F695" s="238">
        <v>33596</v>
      </c>
      <c r="G695" s="234">
        <v>39199</v>
      </c>
      <c r="H695" s="236">
        <v>39260</v>
      </c>
      <c r="I695" s="145" t="s">
        <v>328</v>
      </c>
      <c r="J695" s="237">
        <v>622.8</v>
      </c>
      <c r="K695" s="12">
        <v>124.56</v>
      </c>
      <c r="L695" s="111">
        <v>747.36</v>
      </c>
      <c r="M695" s="237">
        <v>622.8</v>
      </c>
      <c r="N695" s="12">
        <v>124.56</v>
      </c>
      <c r="O695" s="111">
        <f t="shared" si="175"/>
        <v>747.3599999999999</v>
      </c>
      <c r="P695" s="31">
        <f t="shared" si="176"/>
        <v>404.82</v>
      </c>
      <c r="Q695" s="31">
        <f t="shared" si="177"/>
        <v>80.964</v>
      </c>
      <c r="R695" s="111">
        <f t="shared" si="178"/>
        <v>485.784</v>
      </c>
      <c r="S695" s="329"/>
      <c r="T695" s="330"/>
    </row>
    <row r="696" spans="1:20" s="91" customFormat="1" ht="11.25">
      <c r="A696" s="58" t="s">
        <v>703</v>
      </c>
      <c r="B696" s="8"/>
      <c r="C696" s="67" t="s">
        <v>42</v>
      </c>
      <c r="D696" s="147" t="s">
        <v>754</v>
      </c>
      <c r="E696" s="145" t="s">
        <v>751</v>
      </c>
      <c r="F696" s="238">
        <v>9923</v>
      </c>
      <c r="G696" s="234">
        <v>39486</v>
      </c>
      <c r="H696" s="236">
        <v>39535</v>
      </c>
      <c r="I696" s="145" t="s">
        <v>328</v>
      </c>
      <c r="J696" s="237">
        <v>260.7</v>
      </c>
      <c r="K696" s="12">
        <v>52.14</v>
      </c>
      <c r="L696" s="111">
        <v>312.84</v>
      </c>
      <c r="M696" s="237"/>
      <c r="N696" s="12"/>
      <c r="O696" s="111">
        <f t="shared" si="175"/>
        <v>0</v>
      </c>
      <c r="P696" s="31">
        <f t="shared" si="176"/>
        <v>0</v>
      </c>
      <c r="Q696" s="31">
        <f t="shared" si="177"/>
        <v>0</v>
      </c>
      <c r="R696" s="111">
        <f t="shared" si="178"/>
        <v>0</v>
      </c>
      <c r="S696" s="329"/>
      <c r="T696" s="330"/>
    </row>
    <row r="697" spans="1:20" s="91" customFormat="1" ht="11.25">
      <c r="A697" s="58" t="s">
        <v>703</v>
      </c>
      <c r="B697" s="8"/>
      <c r="C697" s="67" t="s">
        <v>42</v>
      </c>
      <c r="D697" s="147" t="s">
        <v>48</v>
      </c>
      <c r="E697" s="145" t="s">
        <v>759</v>
      </c>
      <c r="F697" s="238">
        <v>118</v>
      </c>
      <c r="G697" s="234">
        <v>39245</v>
      </c>
      <c r="H697" s="236">
        <v>39325</v>
      </c>
      <c r="I697" s="145" t="s">
        <v>328</v>
      </c>
      <c r="J697" s="237">
        <v>475</v>
      </c>
      <c r="K697" s="12">
        <v>95</v>
      </c>
      <c r="L697" s="111">
        <v>570</v>
      </c>
      <c r="M697" s="237">
        <v>475</v>
      </c>
      <c r="N697" s="12">
        <v>95</v>
      </c>
      <c r="O697" s="111">
        <f t="shared" si="175"/>
        <v>570</v>
      </c>
      <c r="P697" s="31">
        <f t="shared" si="176"/>
        <v>308.75</v>
      </c>
      <c r="Q697" s="31">
        <f t="shared" si="177"/>
        <v>61.75</v>
      </c>
      <c r="R697" s="111">
        <f t="shared" si="178"/>
        <v>370.5</v>
      </c>
      <c r="S697" s="329"/>
      <c r="T697" s="330"/>
    </row>
    <row r="698" spans="1:20" s="91" customFormat="1" ht="11.25">
      <c r="A698" s="58" t="s">
        <v>703</v>
      </c>
      <c r="B698" s="8"/>
      <c r="C698" s="67" t="s">
        <v>42</v>
      </c>
      <c r="D698" s="147" t="s">
        <v>48</v>
      </c>
      <c r="E698" s="145" t="s">
        <v>749</v>
      </c>
      <c r="F698" s="238">
        <v>49522</v>
      </c>
      <c r="G698" s="234">
        <v>39262</v>
      </c>
      <c r="H698" s="236">
        <v>39325</v>
      </c>
      <c r="I698" s="145" t="s">
        <v>328</v>
      </c>
      <c r="J698" s="237">
        <v>537.3</v>
      </c>
      <c r="K698" s="12">
        <v>107.46</v>
      </c>
      <c r="L698" s="111">
        <v>644.76</v>
      </c>
      <c r="M698" s="237">
        <v>537.3</v>
      </c>
      <c r="N698" s="12">
        <v>107.46</v>
      </c>
      <c r="O698" s="111">
        <f t="shared" si="175"/>
        <v>644.76</v>
      </c>
      <c r="P698" s="31">
        <f t="shared" si="176"/>
        <v>349.245</v>
      </c>
      <c r="Q698" s="31">
        <f t="shared" si="177"/>
        <v>69.849</v>
      </c>
      <c r="R698" s="111">
        <f t="shared" si="178"/>
        <v>419.094</v>
      </c>
      <c r="S698" s="329"/>
      <c r="T698" s="330"/>
    </row>
    <row r="699" spans="1:20" s="91" customFormat="1" ht="11.25">
      <c r="A699" s="58" t="s">
        <v>703</v>
      </c>
      <c r="B699" s="8"/>
      <c r="C699" s="67" t="s">
        <v>42</v>
      </c>
      <c r="D699" s="147" t="s">
        <v>48</v>
      </c>
      <c r="E699" s="145" t="s">
        <v>749</v>
      </c>
      <c r="F699" s="238">
        <v>56735</v>
      </c>
      <c r="G699" s="234">
        <v>39294</v>
      </c>
      <c r="H699" s="236">
        <v>39355</v>
      </c>
      <c r="I699" s="145" t="s">
        <v>328</v>
      </c>
      <c r="J699" s="237">
        <v>583</v>
      </c>
      <c r="K699" s="12">
        <v>116.6</v>
      </c>
      <c r="L699" s="111">
        <v>699.6</v>
      </c>
      <c r="M699" s="237">
        <v>583</v>
      </c>
      <c r="N699" s="12">
        <v>116.6</v>
      </c>
      <c r="O699" s="111">
        <f t="shared" si="175"/>
        <v>699.6</v>
      </c>
      <c r="P699" s="31">
        <f t="shared" si="176"/>
        <v>378.95</v>
      </c>
      <c r="Q699" s="31">
        <f t="shared" si="177"/>
        <v>75.78999999999999</v>
      </c>
      <c r="R699" s="111">
        <f t="shared" si="178"/>
        <v>454.74</v>
      </c>
      <c r="S699" s="329"/>
      <c r="T699" s="330"/>
    </row>
    <row r="700" spans="1:20" s="91" customFormat="1" ht="11.25">
      <c r="A700" s="58" t="s">
        <v>703</v>
      </c>
      <c r="B700" s="8"/>
      <c r="C700" s="67" t="s">
        <v>42</v>
      </c>
      <c r="D700" s="147" t="s">
        <v>341</v>
      </c>
      <c r="E700" s="145" t="s">
        <v>756</v>
      </c>
      <c r="F700" s="238">
        <v>695</v>
      </c>
      <c r="G700" s="234">
        <v>39294</v>
      </c>
      <c r="H700" s="236">
        <v>39325</v>
      </c>
      <c r="I700" s="145" t="s">
        <v>328</v>
      </c>
      <c r="J700" s="237">
        <v>83.64</v>
      </c>
      <c r="K700" s="12">
        <v>16.73</v>
      </c>
      <c r="L700" s="111">
        <v>410.47</v>
      </c>
      <c r="M700" s="237"/>
      <c r="N700" s="12"/>
      <c r="O700" s="111">
        <f t="shared" si="175"/>
        <v>0</v>
      </c>
      <c r="P700" s="31">
        <f t="shared" si="176"/>
        <v>0</v>
      </c>
      <c r="Q700" s="31">
        <f t="shared" si="177"/>
        <v>0</v>
      </c>
      <c r="R700" s="111">
        <f t="shared" si="178"/>
        <v>0</v>
      </c>
      <c r="S700" s="329"/>
      <c r="T700" s="330"/>
    </row>
    <row r="701" spans="1:20" s="91" customFormat="1" ht="11.25">
      <c r="A701" s="58" t="s">
        <v>703</v>
      </c>
      <c r="B701" s="8"/>
      <c r="C701" s="67" t="s">
        <v>42</v>
      </c>
      <c r="D701" s="147" t="s">
        <v>48</v>
      </c>
      <c r="E701" s="145" t="s">
        <v>760</v>
      </c>
      <c r="F701" s="238" t="s">
        <v>761</v>
      </c>
      <c r="G701" s="234">
        <v>39413</v>
      </c>
      <c r="H701" s="236">
        <v>39469</v>
      </c>
      <c r="I701" s="145" t="s">
        <v>328</v>
      </c>
      <c r="J701" s="237">
        <v>341.41</v>
      </c>
      <c r="K701" s="12">
        <v>68.28</v>
      </c>
      <c r="L701" s="111">
        <v>409.69</v>
      </c>
      <c r="M701" s="237"/>
      <c r="N701" s="12"/>
      <c r="O701" s="111">
        <f t="shared" si="175"/>
        <v>0</v>
      </c>
      <c r="P701" s="31">
        <f t="shared" si="176"/>
        <v>0</v>
      </c>
      <c r="Q701" s="31">
        <f t="shared" si="177"/>
        <v>0</v>
      </c>
      <c r="R701" s="111">
        <f t="shared" si="178"/>
        <v>0</v>
      </c>
      <c r="S701" s="329"/>
      <c r="T701" s="330"/>
    </row>
    <row r="702" spans="1:20" s="91" customFormat="1" ht="11.25">
      <c r="A702" s="58" t="s">
        <v>703</v>
      </c>
      <c r="B702" s="8"/>
      <c r="C702" s="67" t="s">
        <v>42</v>
      </c>
      <c r="D702" s="147" t="s">
        <v>48</v>
      </c>
      <c r="E702" s="145" t="s">
        <v>760</v>
      </c>
      <c r="F702" s="238" t="s">
        <v>762</v>
      </c>
      <c r="G702" s="234">
        <v>39427</v>
      </c>
      <c r="H702" s="236">
        <v>39469</v>
      </c>
      <c r="I702" s="145" t="s">
        <v>328</v>
      </c>
      <c r="J702" s="237">
        <v>6.4</v>
      </c>
      <c r="K702" s="12">
        <v>1.28</v>
      </c>
      <c r="L702" s="111">
        <v>7.68</v>
      </c>
      <c r="M702" s="237"/>
      <c r="N702" s="12"/>
      <c r="O702" s="111">
        <f t="shared" si="175"/>
        <v>0</v>
      </c>
      <c r="P702" s="31">
        <f t="shared" si="176"/>
        <v>0</v>
      </c>
      <c r="Q702" s="31">
        <f t="shared" si="177"/>
        <v>0</v>
      </c>
      <c r="R702" s="111">
        <f t="shared" si="178"/>
        <v>0</v>
      </c>
      <c r="S702" s="329"/>
      <c r="T702" s="330"/>
    </row>
    <row r="703" spans="1:20" s="91" customFormat="1" ht="11.25">
      <c r="A703" s="58" t="s">
        <v>703</v>
      </c>
      <c r="B703" s="8"/>
      <c r="C703" s="67" t="s">
        <v>42</v>
      </c>
      <c r="D703" s="147" t="s">
        <v>48</v>
      </c>
      <c r="E703" s="145" t="s">
        <v>749</v>
      </c>
      <c r="F703" s="238">
        <v>61207</v>
      </c>
      <c r="G703" s="234">
        <v>39325</v>
      </c>
      <c r="H703" s="236">
        <v>39379</v>
      </c>
      <c r="I703" s="145" t="s">
        <v>328</v>
      </c>
      <c r="J703" s="237">
        <v>320.44</v>
      </c>
      <c r="K703" s="12">
        <v>64.09</v>
      </c>
      <c r="L703" s="111">
        <v>384.53</v>
      </c>
      <c r="M703" s="237"/>
      <c r="N703" s="12"/>
      <c r="O703" s="111">
        <f t="shared" si="175"/>
        <v>0</v>
      </c>
      <c r="P703" s="31">
        <f t="shared" si="176"/>
        <v>0</v>
      </c>
      <c r="Q703" s="31">
        <f t="shared" si="177"/>
        <v>0</v>
      </c>
      <c r="R703" s="111">
        <f t="shared" si="178"/>
        <v>0</v>
      </c>
      <c r="S703" s="329"/>
      <c r="T703" s="330"/>
    </row>
    <row r="704" spans="1:20" s="91" customFormat="1" ht="11.25">
      <c r="A704" s="58" t="s">
        <v>703</v>
      </c>
      <c r="B704" s="8"/>
      <c r="C704" s="67" t="s">
        <v>42</v>
      </c>
      <c r="D704" s="147" t="s">
        <v>48</v>
      </c>
      <c r="E704" s="145" t="s">
        <v>749</v>
      </c>
      <c r="F704" s="238">
        <v>67418</v>
      </c>
      <c r="G704" s="234">
        <v>39353</v>
      </c>
      <c r="H704" s="236">
        <v>39399</v>
      </c>
      <c r="I704" s="145" t="s">
        <v>328</v>
      </c>
      <c r="J704" s="237">
        <v>610</v>
      </c>
      <c r="K704" s="12">
        <v>122</v>
      </c>
      <c r="L704" s="111">
        <v>732</v>
      </c>
      <c r="M704" s="237">
        <v>610</v>
      </c>
      <c r="N704" s="12">
        <v>122</v>
      </c>
      <c r="O704" s="111">
        <f t="shared" si="175"/>
        <v>732</v>
      </c>
      <c r="P704" s="31">
        <f t="shared" si="176"/>
        <v>396.5</v>
      </c>
      <c r="Q704" s="31">
        <f t="shared" si="177"/>
        <v>79.3</v>
      </c>
      <c r="R704" s="111">
        <f t="shared" si="178"/>
        <v>475.8</v>
      </c>
      <c r="S704" s="329"/>
      <c r="T704" s="330"/>
    </row>
    <row r="705" spans="1:20" s="91" customFormat="1" ht="11.25">
      <c r="A705" s="58" t="s">
        <v>703</v>
      </c>
      <c r="B705" s="8"/>
      <c r="C705" s="67" t="s">
        <v>42</v>
      </c>
      <c r="D705" s="147" t="s">
        <v>341</v>
      </c>
      <c r="E705" s="145" t="s">
        <v>756</v>
      </c>
      <c r="F705" s="238">
        <v>945</v>
      </c>
      <c r="G705" s="234">
        <v>39386</v>
      </c>
      <c r="H705" s="236">
        <v>39412</v>
      </c>
      <c r="I705" s="145" t="s">
        <v>328</v>
      </c>
      <c r="J705" s="237">
        <v>85.33</v>
      </c>
      <c r="K705" s="12">
        <v>17.07</v>
      </c>
      <c r="L705" s="111">
        <f>+K705+J705</f>
        <v>102.4</v>
      </c>
      <c r="M705" s="237">
        <v>85.33</v>
      </c>
      <c r="N705" s="12">
        <v>17.07</v>
      </c>
      <c r="O705" s="111">
        <f t="shared" si="175"/>
        <v>102.4</v>
      </c>
      <c r="P705" s="31">
        <f t="shared" si="176"/>
        <v>55.4645</v>
      </c>
      <c r="Q705" s="31">
        <f t="shared" si="177"/>
        <v>11.095500000000001</v>
      </c>
      <c r="R705" s="111">
        <f t="shared" si="178"/>
        <v>66.56</v>
      </c>
      <c r="S705" s="329"/>
      <c r="T705" s="330"/>
    </row>
    <row r="706" spans="1:20" s="91" customFormat="1" ht="11.25">
      <c r="A706" s="58" t="s">
        <v>703</v>
      </c>
      <c r="B706" s="8"/>
      <c r="C706" s="67" t="s">
        <v>42</v>
      </c>
      <c r="D706" s="147" t="s">
        <v>341</v>
      </c>
      <c r="E706" s="145" t="s">
        <v>756</v>
      </c>
      <c r="F706" s="238">
        <v>168</v>
      </c>
      <c r="G706" s="234">
        <v>39752</v>
      </c>
      <c r="H706" s="236">
        <v>39512</v>
      </c>
      <c r="I706" s="145" t="s">
        <v>328</v>
      </c>
      <c r="J706" s="237">
        <v>277.14</v>
      </c>
      <c r="K706" s="12">
        <v>55.43</v>
      </c>
      <c r="L706" s="111">
        <v>2212.57</v>
      </c>
      <c r="M706" s="237">
        <v>277.14</v>
      </c>
      <c r="N706" s="12">
        <v>55.43</v>
      </c>
      <c r="O706" s="111">
        <f t="shared" si="175"/>
        <v>332.57</v>
      </c>
      <c r="P706" s="31">
        <f t="shared" si="176"/>
        <v>180.141</v>
      </c>
      <c r="Q706" s="31">
        <f t="shared" si="177"/>
        <v>36.0295</v>
      </c>
      <c r="R706" s="111">
        <f t="shared" si="178"/>
        <v>216.1705</v>
      </c>
      <c r="S706" s="329"/>
      <c r="T706" s="330"/>
    </row>
    <row r="707" spans="1:20" s="91" customFormat="1" ht="11.25">
      <c r="A707" s="58" t="s">
        <v>703</v>
      </c>
      <c r="B707" s="8"/>
      <c r="C707" s="67" t="s">
        <v>42</v>
      </c>
      <c r="D707" s="147" t="s">
        <v>341</v>
      </c>
      <c r="E707" s="145" t="s">
        <v>756</v>
      </c>
      <c r="F707" s="238">
        <v>215</v>
      </c>
      <c r="G707" s="234">
        <v>39478</v>
      </c>
      <c r="H707" s="236">
        <v>39512</v>
      </c>
      <c r="I707" s="145" t="s">
        <v>328</v>
      </c>
      <c r="J707" s="237">
        <v>119.79</v>
      </c>
      <c r="K707" s="12">
        <v>23.96</v>
      </c>
      <c r="L707" s="111">
        <v>167.3</v>
      </c>
      <c r="M707" s="237">
        <v>119.79</v>
      </c>
      <c r="N707" s="12">
        <v>23.96</v>
      </c>
      <c r="O707" s="111">
        <f t="shared" si="175"/>
        <v>143.75</v>
      </c>
      <c r="P707" s="31">
        <f t="shared" si="176"/>
        <v>77.8635</v>
      </c>
      <c r="Q707" s="31">
        <f t="shared" si="177"/>
        <v>15.574000000000002</v>
      </c>
      <c r="R707" s="111">
        <f t="shared" si="178"/>
        <v>93.4375</v>
      </c>
      <c r="S707" s="329"/>
      <c r="T707" s="330"/>
    </row>
    <row r="708" spans="1:20" s="91" customFormat="1" ht="22.5">
      <c r="A708" s="58" t="s">
        <v>703</v>
      </c>
      <c r="B708" s="8"/>
      <c r="C708" s="67" t="s">
        <v>42</v>
      </c>
      <c r="D708" s="147" t="s">
        <v>763</v>
      </c>
      <c r="E708" s="145" t="s">
        <v>740</v>
      </c>
      <c r="F708" s="238">
        <v>49</v>
      </c>
      <c r="G708" s="234">
        <v>39112</v>
      </c>
      <c r="H708" s="236">
        <v>39119</v>
      </c>
      <c r="I708" s="145" t="s">
        <v>764</v>
      </c>
      <c r="J708" s="237">
        <v>250</v>
      </c>
      <c r="K708" s="12">
        <v>50</v>
      </c>
      <c r="L708" s="111">
        <v>300</v>
      </c>
      <c r="M708" s="237"/>
      <c r="N708" s="12"/>
      <c r="O708" s="111">
        <f t="shared" si="175"/>
        <v>0</v>
      </c>
      <c r="P708" s="31">
        <f t="shared" si="176"/>
        <v>0</v>
      </c>
      <c r="Q708" s="31">
        <f t="shared" si="177"/>
        <v>0</v>
      </c>
      <c r="R708" s="111">
        <f t="shared" si="178"/>
        <v>0</v>
      </c>
      <c r="S708" s="329"/>
      <c r="T708" s="330"/>
    </row>
    <row r="709" spans="1:20" s="91" customFormat="1" ht="11.25">
      <c r="A709" s="58" t="s">
        <v>703</v>
      </c>
      <c r="B709" s="8"/>
      <c r="C709" s="67" t="s">
        <v>42</v>
      </c>
      <c r="D709" s="147" t="s">
        <v>765</v>
      </c>
      <c r="E709" s="145" t="s">
        <v>740</v>
      </c>
      <c r="F709" s="238">
        <v>478</v>
      </c>
      <c r="G709" s="234">
        <v>39259</v>
      </c>
      <c r="H709" s="236">
        <v>39282</v>
      </c>
      <c r="I709" s="145" t="s">
        <v>328</v>
      </c>
      <c r="J709" s="237">
        <v>350</v>
      </c>
      <c r="K709" s="12">
        <v>70</v>
      </c>
      <c r="L709" s="111">
        <v>420</v>
      </c>
      <c r="M709" s="237"/>
      <c r="N709" s="12"/>
      <c r="O709" s="111">
        <f t="shared" si="175"/>
        <v>0</v>
      </c>
      <c r="P709" s="31">
        <f t="shared" si="176"/>
        <v>0</v>
      </c>
      <c r="Q709" s="31">
        <f t="shared" si="177"/>
        <v>0</v>
      </c>
      <c r="R709" s="111">
        <f t="shared" si="178"/>
        <v>0</v>
      </c>
      <c r="S709" s="329"/>
      <c r="T709" s="330"/>
    </row>
    <row r="710" spans="1:20" s="91" customFormat="1" ht="11.25">
      <c r="A710" s="58" t="s">
        <v>703</v>
      </c>
      <c r="B710" s="8"/>
      <c r="C710" s="67" t="s">
        <v>42</v>
      </c>
      <c r="D710" s="147" t="s">
        <v>341</v>
      </c>
      <c r="E710" s="145" t="s">
        <v>756</v>
      </c>
      <c r="F710" s="238">
        <v>18</v>
      </c>
      <c r="G710" s="234">
        <v>39093</v>
      </c>
      <c r="H710" s="236">
        <v>39112</v>
      </c>
      <c r="I710" s="145" t="s">
        <v>328</v>
      </c>
      <c r="J710" s="237">
        <v>63.87</v>
      </c>
      <c r="K710" s="12">
        <v>12.77</v>
      </c>
      <c r="L710" s="111">
        <v>662.44</v>
      </c>
      <c r="M710" s="237">
        <v>63.87</v>
      </c>
      <c r="N710" s="12">
        <v>12.77</v>
      </c>
      <c r="O710" s="111">
        <f t="shared" si="175"/>
        <v>76.64</v>
      </c>
      <c r="P710" s="31">
        <f t="shared" si="176"/>
        <v>41.5155</v>
      </c>
      <c r="Q710" s="31">
        <f t="shared" si="177"/>
        <v>8.3005</v>
      </c>
      <c r="R710" s="111">
        <f t="shared" si="178"/>
        <v>49.816</v>
      </c>
      <c r="S710" s="329"/>
      <c r="T710" s="330"/>
    </row>
    <row r="711" spans="1:20" s="91" customFormat="1" ht="11.25">
      <c r="A711" s="58" t="s">
        <v>703</v>
      </c>
      <c r="B711" s="8"/>
      <c r="C711" s="67" t="s">
        <v>42</v>
      </c>
      <c r="D711" s="147" t="s">
        <v>341</v>
      </c>
      <c r="E711" s="145" t="s">
        <v>756</v>
      </c>
      <c r="F711" s="238">
        <v>32</v>
      </c>
      <c r="G711" s="234">
        <v>39456</v>
      </c>
      <c r="H711" s="236">
        <v>39469</v>
      </c>
      <c r="I711" s="145" t="s">
        <v>328</v>
      </c>
      <c r="J711" s="237">
        <v>245.44</v>
      </c>
      <c r="K711" s="12">
        <v>49.09</v>
      </c>
      <c r="L711" s="111">
        <v>850.33</v>
      </c>
      <c r="M711" s="237">
        <v>245.44</v>
      </c>
      <c r="N711" s="12">
        <v>49.09</v>
      </c>
      <c r="O711" s="111">
        <f t="shared" si="175"/>
        <v>294.53</v>
      </c>
      <c r="P711" s="31">
        <f t="shared" si="176"/>
        <v>159.536</v>
      </c>
      <c r="Q711" s="31">
        <f t="shared" si="177"/>
        <v>31.908500000000004</v>
      </c>
      <c r="R711" s="111">
        <f t="shared" si="178"/>
        <v>191.4445</v>
      </c>
      <c r="S711" s="329"/>
      <c r="T711" s="330"/>
    </row>
    <row r="712" spans="1:20" ht="11.25">
      <c r="A712" s="58"/>
      <c r="B712" s="8"/>
      <c r="C712" s="67"/>
      <c r="D712" s="14"/>
      <c r="E712" s="9"/>
      <c r="F712" s="80"/>
      <c r="G712" s="15"/>
      <c r="H712" s="15"/>
      <c r="I712" s="15"/>
      <c r="J712" s="62"/>
      <c r="K712" s="12"/>
      <c r="L712" s="111"/>
      <c r="M712" s="31"/>
      <c r="N712" s="31"/>
      <c r="O712" s="111"/>
      <c r="P712" s="12"/>
      <c r="Q712" s="12"/>
      <c r="R712" s="111"/>
      <c r="S712" s="385"/>
      <c r="T712" s="386"/>
    </row>
    <row r="713" ht="11.25">
      <c r="J713" s="65"/>
    </row>
  </sheetData>
  <autoFilter ref="A13:T712"/>
  <mergeCells count="342">
    <mergeCell ref="S581:T581"/>
    <mergeCell ref="S574:T574"/>
    <mergeCell ref="S575:T575"/>
    <mergeCell ref="S550:T550"/>
    <mergeCell ref="S566:T566"/>
    <mergeCell ref="S573:T573"/>
    <mergeCell ref="S269:T269"/>
    <mergeCell ref="S270:T270"/>
    <mergeCell ref="S564:T564"/>
    <mergeCell ref="S565:T565"/>
    <mergeCell ref="S543:T543"/>
    <mergeCell ref="S400:T400"/>
    <mergeCell ref="S409:T409"/>
    <mergeCell ref="S453:T453"/>
    <mergeCell ref="S431:T431"/>
    <mergeCell ref="S429:T429"/>
    <mergeCell ref="S123:T123"/>
    <mergeCell ref="S196:T196"/>
    <mergeCell ref="S300:T300"/>
    <mergeCell ref="S563:T563"/>
    <mergeCell ref="S195:T195"/>
    <mergeCell ref="S193:T193"/>
    <mergeCell ref="S192:T192"/>
    <mergeCell ref="S296:T299"/>
    <mergeCell ref="S288:T288"/>
    <mergeCell ref="S236:T236"/>
    <mergeCell ref="S121:T121"/>
    <mergeCell ref="S122:T122"/>
    <mergeCell ref="S111:T111"/>
    <mergeCell ref="S535:T542"/>
    <mergeCell ref="S114:T114"/>
    <mergeCell ref="S491:T491"/>
    <mergeCell ref="S499:T499"/>
    <mergeCell ref="S500:T500"/>
    <mergeCell ref="S484:T484"/>
    <mergeCell ref="S485:T485"/>
    <mergeCell ref="S115:T115"/>
    <mergeCell ref="S116:T116"/>
    <mergeCell ref="S117:T117"/>
    <mergeCell ref="S118:T118"/>
    <mergeCell ref="S119:T119"/>
    <mergeCell ref="S120:T120"/>
    <mergeCell ref="S502:T502"/>
    <mergeCell ref="S503:T503"/>
    <mergeCell ref="S490:T490"/>
    <mergeCell ref="S478:T478"/>
    <mergeCell ref="S479:T479"/>
    <mergeCell ref="S480:T480"/>
    <mergeCell ref="S481:T481"/>
    <mergeCell ref="S399:T399"/>
    <mergeCell ref="S110:T110"/>
    <mergeCell ref="S194:T194"/>
    <mergeCell ref="S27:T27"/>
    <mergeCell ref="S501:T501"/>
    <mergeCell ref="S486:T486"/>
    <mergeCell ref="S487:T487"/>
    <mergeCell ref="S488:T488"/>
    <mergeCell ref="S489:T489"/>
    <mergeCell ref="S482:T482"/>
    <mergeCell ref="S483:T483"/>
    <mergeCell ref="S432:T432"/>
    <mergeCell ref="S433:T433"/>
    <mergeCell ref="S423:T423"/>
    <mergeCell ref="S424:T424"/>
    <mergeCell ref="S454:T454"/>
    <mergeCell ref="S455:T455"/>
    <mergeCell ref="S410:T410"/>
    <mergeCell ref="F2:G2"/>
    <mergeCell ref="F3:G3"/>
    <mergeCell ref="F4:G4"/>
    <mergeCell ref="F5:G5"/>
    <mergeCell ref="S346:T346"/>
    <mergeCell ref="S373:T373"/>
    <mergeCell ref="S374:T374"/>
    <mergeCell ref="S359:T359"/>
    <mergeCell ref="S360:T360"/>
    <mergeCell ref="S353:T353"/>
    <mergeCell ref="S354:T354"/>
    <mergeCell ref="S355:T355"/>
    <mergeCell ref="S356:T356"/>
    <mergeCell ref="S357:T357"/>
    <mergeCell ref="S358:T358"/>
    <mergeCell ref="S349:T349"/>
    <mergeCell ref="S350:T350"/>
    <mergeCell ref="S351:T351"/>
    <mergeCell ref="S352:T352"/>
    <mergeCell ref="S712:T712"/>
    <mergeCell ref="S324:T324"/>
    <mergeCell ref="S325:T325"/>
    <mergeCell ref="S326:T326"/>
    <mergeCell ref="S327:T327"/>
    <mergeCell ref="S332:T332"/>
    <mergeCell ref="S329:T329"/>
    <mergeCell ref="S330:T330"/>
    <mergeCell ref="S347:T347"/>
    <mergeCell ref="S348:T348"/>
    <mergeCell ref="S39:T39"/>
    <mergeCell ref="S40:T40"/>
    <mergeCell ref="S233:T233"/>
    <mergeCell ref="S234:T234"/>
    <mergeCell ref="S217:T217"/>
    <mergeCell ref="S41:T41"/>
    <mergeCell ref="S56:T56"/>
    <mergeCell ref="S184:T184"/>
    <mergeCell ref="S55:T55"/>
    <mergeCell ref="S42:T42"/>
    <mergeCell ref="A14:L14"/>
    <mergeCell ref="S218:T218"/>
    <mergeCell ref="A204:B215"/>
    <mergeCell ref="C204:K204"/>
    <mergeCell ref="S28:T28"/>
    <mergeCell ref="S29:T29"/>
    <mergeCell ref="S30:T30"/>
    <mergeCell ref="S31:T31"/>
    <mergeCell ref="S37:T37"/>
    <mergeCell ref="S38:T38"/>
    <mergeCell ref="S32:T32"/>
    <mergeCell ref="S183:T183"/>
    <mergeCell ref="A1:T1"/>
    <mergeCell ref="A15:B26"/>
    <mergeCell ref="A171:B182"/>
    <mergeCell ref="C171:K171"/>
    <mergeCell ref="C182:K182"/>
    <mergeCell ref="S33:T33"/>
    <mergeCell ref="S34:T34"/>
    <mergeCell ref="S36:T36"/>
    <mergeCell ref="S35:T35"/>
    <mergeCell ref="A305:B316"/>
    <mergeCell ref="C305:K305"/>
    <mergeCell ref="C316:K316"/>
    <mergeCell ref="C215:K215"/>
    <mergeCell ref="A275:B286"/>
    <mergeCell ref="C275:K275"/>
    <mergeCell ref="C286:K286"/>
    <mergeCell ref="A256:B267"/>
    <mergeCell ref="C256:K256"/>
    <mergeCell ref="A274:L274"/>
    <mergeCell ref="A304:L304"/>
    <mergeCell ref="A170:L170"/>
    <mergeCell ref="A203:L203"/>
    <mergeCell ref="A220:L220"/>
    <mergeCell ref="A255:L255"/>
    <mergeCell ref="C232:K232"/>
    <mergeCell ref="C221:K221"/>
    <mergeCell ref="A221:B232"/>
    <mergeCell ref="I291:I292"/>
    <mergeCell ref="S43:T43"/>
    <mergeCell ref="S44:T44"/>
    <mergeCell ref="S45:T45"/>
    <mergeCell ref="S336:T33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46:T46"/>
    <mergeCell ref="S47:T47"/>
    <mergeCell ref="S48:T48"/>
    <mergeCell ref="C67:D67"/>
    <mergeCell ref="S67:T67"/>
    <mergeCell ref="S49:T49"/>
    <mergeCell ref="S334:T334"/>
    <mergeCell ref="S50:T50"/>
    <mergeCell ref="S51:T51"/>
    <mergeCell ref="S52:T52"/>
    <mergeCell ref="S53:T53"/>
    <mergeCell ref="S54:T54"/>
    <mergeCell ref="S66:T66"/>
    <mergeCell ref="S253:T253"/>
    <mergeCell ref="S268:T268"/>
    <mergeCell ref="S235:T235"/>
    <mergeCell ref="S322:T322"/>
    <mergeCell ref="S289:T289"/>
    <mergeCell ref="S317:T317"/>
    <mergeCell ref="S319:T319"/>
    <mergeCell ref="S320:T320"/>
    <mergeCell ref="S295:T295"/>
    <mergeCell ref="S290:T290"/>
    <mergeCell ref="S337:T337"/>
    <mergeCell ref="S287:T287"/>
    <mergeCell ref="S318:T318"/>
    <mergeCell ref="S272:T272"/>
    <mergeCell ref="S291:T291"/>
    <mergeCell ref="S292:T292"/>
    <mergeCell ref="S293:T293"/>
    <mergeCell ref="S333:T333"/>
    <mergeCell ref="S101:T101"/>
    <mergeCell ref="S102:T102"/>
    <mergeCell ref="C382:D382"/>
    <mergeCell ref="S382:T382"/>
    <mergeCell ref="S368:T368"/>
    <mergeCell ref="S369:T372"/>
    <mergeCell ref="S375:T375"/>
    <mergeCell ref="S376:T376"/>
    <mergeCell ref="S216:T216"/>
    <mergeCell ref="S321:T321"/>
    <mergeCell ref="S323:T323"/>
    <mergeCell ref="S328:T328"/>
    <mergeCell ref="S68:T68"/>
    <mergeCell ref="S80:T80"/>
    <mergeCell ref="S83:T83"/>
    <mergeCell ref="S168:T168"/>
    <mergeCell ref="S69:T69"/>
    <mergeCell ref="S98:T98"/>
    <mergeCell ref="S99:T99"/>
    <mergeCell ref="S100:T100"/>
    <mergeCell ref="S345:T345"/>
    <mergeCell ref="S339:T339"/>
    <mergeCell ref="H293:H294"/>
    <mergeCell ref="I293:I294"/>
    <mergeCell ref="S294:T294"/>
    <mergeCell ref="S342:T342"/>
    <mergeCell ref="S340:T340"/>
    <mergeCell ref="S341:T341"/>
    <mergeCell ref="S338:T338"/>
    <mergeCell ref="S331:T331"/>
    <mergeCell ref="S185:T185"/>
    <mergeCell ref="S186:T186"/>
    <mergeCell ref="S187:T187"/>
    <mergeCell ref="S384:T384"/>
    <mergeCell ref="S383:T383"/>
    <mergeCell ref="S361:T361"/>
    <mergeCell ref="S362:T367"/>
    <mergeCell ref="S377:T381"/>
    <mergeCell ref="S343:T343"/>
    <mergeCell ref="S344:T344"/>
    <mergeCell ref="S103:T103"/>
    <mergeCell ref="S104:T104"/>
    <mergeCell ref="S105:T105"/>
    <mergeCell ref="S106:T106"/>
    <mergeCell ref="S107:T107"/>
    <mergeCell ref="S108:T108"/>
    <mergeCell ref="S109:T109"/>
    <mergeCell ref="S398:T398"/>
    <mergeCell ref="S394:T394"/>
    <mergeCell ref="S395:T395"/>
    <mergeCell ref="S396:T396"/>
    <mergeCell ref="S397:T397"/>
    <mergeCell ref="S390:T390"/>
    <mergeCell ref="S391:T391"/>
    <mergeCell ref="S392:T392"/>
    <mergeCell ref="S393:T393"/>
    <mergeCell ref="S385:T385"/>
    <mergeCell ref="S386:T386"/>
    <mergeCell ref="S388:T388"/>
    <mergeCell ref="S389:T389"/>
    <mergeCell ref="S387:T387"/>
    <mergeCell ref="S135:T135"/>
    <mergeCell ref="S137:T137"/>
    <mergeCell ref="S139:T139"/>
    <mergeCell ref="S141:T141"/>
    <mergeCell ref="S603:T603"/>
    <mergeCell ref="S597:T597"/>
    <mergeCell ref="S598:T598"/>
    <mergeCell ref="S599:T599"/>
    <mergeCell ref="S600:T600"/>
    <mergeCell ref="S601:T601"/>
    <mergeCell ref="S602:T602"/>
    <mergeCell ref="S595:T595"/>
    <mergeCell ref="S596:T596"/>
    <mergeCell ref="S156:T156"/>
    <mergeCell ref="S143:T143"/>
    <mergeCell ref="S145:T145"/>
    <mergeCell ref="S477:T477"/>
    <mergeCell ref="S188:T188"/>
    <mergeCell ref="S189:T189"/>
    <mergeCell ref="S190:T190"/>
    <mergeCell ref="S191:T191"/>
    <mergeCell ref="S584:T584"/>
    <mergeCell ref="S585:T585"/>
    <mergeCell ref="S593:T593"/>
    <mergeCell ref="S594:T594"/>
    <mergeCell ref="S136:T136"/>
    <mergeCell ref="S138:T138"/>
    <mergeCell ref="S140:T140"/>
    <mergeCell ref="S142:T142"/>
    <mergeCell ref="S629:T629"/>
    <mergeCell ref="S630:T630"/>
    <mergeCell ref="S149:T149"/>
    <mergeCell ref="S152:T152"/>
    <mergeCell ref="S150:T150"/>
    <mergeCell ref="S151:T151"/>
    <mergeCell ref="S604:T604"/>
    <mergeCell ref="S605:T605"/>
    <mergeCell ref="S582:T582"/>
    <mergeCell ref="S583:T583"/>
    <mergeCell ref="S642:T642"/>
    <mergeCell ref="S643:T643"/>
    <mergeCell ref="S157:T157"/>
    <mergeCell ref="S144:T144"/>
    <mergeCell ref="S146:T146"/>
    <mergeCell ref="S639:T639"/>
    <mergeCell ref="S617:T617"/>
    <mergeCell ref="S618:T618"/>
    <mergeCell ref="S619:T619"/>
    <mergeCell ref="S620:T620"/>
    <mergeCell ref="S633:T633"/>
    <mergeCell ref="S634:T634"/>
    <mergeCell ref="S640:T640"/>
    <mergeCell ref="S641:T641"/>
    <mergeCell ref="S158:T158"/>
    <mergeCell ref="S199:T199"/>
    <mergeCell ref="S647:T647"/>
    <mergeCell ref="S648:T648"/>
    <mergeCell ref="S635:T635"/>
    <mergeCell ref="S636:T636"/>
    <mergeCell ref="S637:T637"/>
    <mergeCell ref="S638:T638"/>
    <mergeCell ref="S631:T631"/>
    <mergeCell ref="S632:T632"/>
    <mergeCell ref="S649:T649"/>
    <mergeCell ref="S650:T650"/>
    <mergeCell ref="S651:T651"/>
    <mergeCell ref="S652:T652"/>
    <mergeCell ref="S653:T653"/>
    <mergeCell ref="S654:T654"/>
    <mergeCell ref="S655:T655"/>
    <mergeCell ref="S656:T656"/>
    <mergeCell ref="S657:T657"/>
    <mergeCell ref="S658:T658"/>
    <mergeCell ref="S659:T659"/>
    <mergeCell ref="S660:T660"/>
    <mergeCell ref="S661:T661"/>
    <mergeCell ref="S662:T662"/>
    <mergeCell ref="S663:T663"/>
    <mergeCell ref="S664:T664"/>
    <mergeCell ref="S665:T665"/>
    <mergeCell ref="S666:T666"/>
    <mergeCell ref="S667:T667"/>
    <mergeCell ref="S668:T668"/>
    <mergeCell ref="S669:T669"/>
    <mergeCell ref="S670:T670"/>
    <mergeCell ref="S671:T671"/>
    <mergeCell ref="S672:T672"/>
    <mergeCell ref="S673:T673"/>
    <mergeCell ref="S674:T674"/>
    <mergeCell ref="S675:T675"/>
    <mergeCell ref="S676:T676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5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D27" sqref="D27"/>
    </sheetView>
  </sheetViews>
  <sheetFormatPr defaultColWidth="9.140625" defaultRowHeight="12.75"/>
  <cols>
    <col min="1" max="1" width="2.140625" style="0" bestFit="1" customWidth="1"/>
    <col min="2" max="2" width="2.140625" style="0" customWidth="1"/>
    <col min="3" max="3" width="9.8515625" style="0" bestFit="1" customWidth="1"/>
    <col min="4" max="4" width="15.57421875" style="0" bestFit="1" customWidth="1"/>
    <col min="5" max="5" width="14.7109375" style="0" bestFit="1" customWidth="1"/>
    <col min="6" max="6" width="10.8515625" style="0" bestFit="1" customWidth="1"/>
  </cols>
  <sheetData>
    <row r="2" spans="1:20" s="91" customFormat="1" ht="22.5">
      <c r="A2" s="85" t="s">
        <v>361</v>
      </c>
      <c r="B2" s="173"/>
      <c r="C2" s="87" t="s">
        <v>40</v>
      </c>
      <c r="D2" s="233" t="s">
        <v>48</v>
      </c>
      <c r="E2" s="12" t="s">
        <v>375</v>
      </c>
      <c r="F2" s="144" t="s">
        <v>376</v>
      </c>
      <c r="G2" s="234">
        <v>38772</v>
      </c>
      <c r="H2" s="10">
        <v>38772</v>
      </c>
      <c r="I2" s="62" t="s">
        <v>377</v>
      </c>
      <c r="J2" s="12">
        <v>425.3</v>
      </c>
      <c r="K2" s="12">
        <f>+J2*0.2</f>
        <v>85.06</v>
      </c>
      <c r="L2" s="111">
        <f>J2+K2</f>
        <v>510.36</v>
      </c>
      <c r="M2" s="192">
        <v>425.3</v>
      </c>
      <c r="N2" s="31"/>
      <c r="O2" s="111">
        <f>+N2+M2</f>
        <v>425.3</v>
      </c>
      <c r="P2" s="31">
        <f>+M2*0.65</f>
        <v>276.445</v>
      </c>
      <c r="Q2" s="31"/>
      <c r="R2" s="111">
        <f>+Q2+P2</f>
        <v>276.445</v>
      </c>
      <c r="S2" s="357"/>
      <c r="T2" s="358"/>
    </row>
    <row r="3" spans="1:20" s="91" customFormat="1" ht="22.5">
      <c r="A3" s="85" t="s">
        <v>361</v>
      </c>
      <c r="B3" s="173"/>
      <c r="C3" s="87" t="s">
        <v>40</v>
      </c>
      <c r="D3" s="233" t="s">
        <v>48</v>
      </c>
      <c r="E3" s="145" t="s">
        <v>378</v>
      </c>
      <c r="F3" s="235" t="s">
        <v>379</v>
      </c>
      <c r="G3" s="234">
        <v>38747</v>
      </c>
      <c r="H3" s="236">
        <v>38747</v>
      </c>
      <c r="I3" s="148" t="s">
        <v>380</v>
      </c>
      <c r="J3" s="237">
        <v>450</v>
      </c>
      <c r="K3" s="12">
        <f aca="true" t="shared" si="0" ref="K3:K25">+J3*0.2</f>
        <v>90</v>
      </c>
      <c r="L3" s="111">
        <f>J3+K3</f>
        <v>540</v>
      </c>
      <c r="M3" s="192">
        <v>450</v>
      </c>
      <c r="N3" s="31"/>
      <c r="O3" s="111">
        <f>+N3+M3</f>
        <v>450</v>
      </c>
      <c r="P3" s="31">
        <f>+M3*0.65</f>
        <v>292.5</v>
      </c>
      <c r="Q3" s="31"/>
      <c r="R3" s="111">
        <f>+Q3+P3</f>
        <v>292.5</v>
      </c>
      <c r="S3" s="357"/>
      <c r="T3" s="358"/>
    </row>
    <row r="4" spans="1:20" s="91" customFormat="1" ht="22.5">
      <c r="A4" s="85" t="s">
        <v>361</v>
      </c>
      <c r="B4" s="173"/>
      <c r="C4" s="87" t="s">
        <v>40</v>
      </c>
      <c r="D4" s="233" t="s">
        <v>381</v>
      </c>
      <c r="E4" s="145" t="s">
        <v>382</v>
      </c>
      <c r="F4" s="238" t="s">
        <v>383</v>
      </c>
      <c r="G4" s="234">
        <v>38778</v>
      </c>
      <c r="H4" s="236">
        <v>38798</v>
      </c>
      <c r="I4" s="148" t="s">
        <v>384</v>
      </c>
      <c r="J4" s="237">
        <f>+L4-K4</f>
        <v>83</v>
      </c>
      <c r="K4" s="12">
        <v>16.6</v>
      </c>
      <c r="L4" s="111">
        <v>99.6</v>
      </c>
      <c r="M4" s="192">
        <f>+J4*85%</f>
        <v>70.55</v>
      </c>
      <c r="N4" s="192"/>
      <c r="O4" s="111">
        <f>+N4+M4</f>
        <v>70.55</v>
      </c>
      <c r="P4" s="31">
        <f>+M4*0.65</f>
        <v>45.8575</v>
      </c>
      <c r="Q4" s="31"/>
      <c r="R4" s="111">
        <f>+Q4+P4</f>
        <v>45.8575</v>
      </c>
      <c r="S4" s="357"/>
      <c r="T4" s="358"/>
    </row>
    <row r="5" spans="1:20" s="91" customFormat="1" ht="22.5">
      <c r="A5" s="85" t="s">
        <v>361</v>
      </c>
      <c r="B5" s="173"/>
      <c r="C5" s="87" t="s">
        <v>40</v>
      </c>
      <c r="D5" s="233" t="s">
        <v>385</v>
      </c>
      <c r="E5" s="145" t="s">
        <v>386</v>
      </c>
      <c r="F5" s="235" t="s">
        <v>387</v>
      </c>
      <c r="G5" s="234">
        <v>38766</v>
      </c>
      <c r="H5" s="236">
        <v>38786</v>
      </c>
      <c r="I5" s="148" t="s">
        <v>384</v>
      </c>
      <c r="J5" s="237"/>
      <c r="K5" s="12">
        <f t="shared" si="0"/>
        <v>0</v>
      </c>
      <c r="L5" s="111">
        <f>3219*85/100</f>
        <v>2736.15</v>
      </c>
      <c r="M5" s="192">
        <f>+L5/1.2</f>
        <v>2280.125</v>
      </c>
      <c r="N5" s="31"/>
      <c r="O5" s="111">
        <f>+N5+M5</f>
        <v>2280.125</v>
      </c>
      <c r="P5" s="31">
        <f>+M5*0.65</f>
        <v>1482.08125</v>
      </c>
      <c r="Q5" s="31"/>
      <c r="R5" s="111">
        <f>+Q5+P5</f>
        <v>1482.08125</v>
      </c>
      <c r="S5" s="186"/>
      <c r="T5" s="187"/>
    </row>
    <row r="6" spans="1:20" s="91" customFormat="1" ht="22.5">
      <c r="A6" s="85" t="s">
        <v>361</v>
      </c>
      <c r="B6" s="173"/>
      <c r="C6" s="87" t="s">
        <v>40</v>
      </c>
      <c r="D6" s="143" t="s">
        <v>385</v>
      </c>
      <c r="E6" s="145" t="s">
        <v>386</v>
      </c>
      <c r="F6" s="238" t="s">
        <v>388</v>
      </c>
      <c r="G6" s="234">
        <v>38706</v>
      </c>
      <c r="H6" s="236">
        <v>38726</v>
      </c>
      <c r="I6" s="148" t="s">
        <v>384</v>
      </c>
      <c r="J6" s="237"/>
      <c r="K6" s="12">
        <f t="shared" si="0"/>
        <v>0</v>
      </c>
      <c r="L6" s="111">
        <f>3467*85/100</f>
        <v>2946.95</v>
      </c>
      <c r="M6" s="192">
        <f>+L6/1.2</f>
        <v>2455.7916666666665</v>
      </c>
      <c r="N6" s="31"/>
      <c r="O6" s="111">
        <f>+N6+M6</f>
        <v>2455.7916666666665</v>
      </c>
      <c r="P6" s="31">
        <f>+M6*0.65</f>
        <v>1596.2645833333333</v>
      </c>
      <c r="Q6" s="31"/>
      <c r="R6" s="111">
        <f>+Q6+P6</f>
        <v>1596.2645833333333</v>
      </c>
      <c r="S6" s="186"/>
      <c r="T6" s="187"/>
    </row>
    <row r="7" spans="1:20" s="91" customFormat="1" ht="22.5">
      <c r="A7" s="85" t="s">
        <v>361</v>
      </c>
      <c r="B7" s="173"/>
      <c r="C7" s="87" t="s">
        <v>40</v>
      </c>
      <c r="D7" s="143" t="s">
        <v>389</v>
      </c>
      <c r="E7" s="145" t="s">
        <v>390</v>
      </c>
      <c r="F7" s="238" t="s">
        <v>391</v>
      </c>
      <c r="G7" s="234">
        <v>38692</v>
      </c>
      <c r="H7" s="236">
        <v>38730</v>
      </c>
      <c r="I7" s="148" t="s">
        <v>384</v>
      </c>
      <c r="J7" s="237"/>
      <c r="K7" s="12">
        <f t="shared" si="0"/>
        <v>0</v>
      </c>
      <c r="L7" s="111">
        <f>119*85/100</f>
        <v>101.15</v>
      </c>
      <c r="M7" s="192">
        <f aca="true" t="shared" si="1" ref="M7:M16">+L7/1.2</f>
        <v>84.29166666666667</v>
      </c>
      <c r="N7" s="31"/>
      <c r="O7" s="111">
        <f aca="true" t="shared" si="2" ref="O7:O26">+N7+M7</f>
        <v>84.29166666666667</v>
      </c>
      <c r="P7" s="31">
        <f aca="true" t="shared" si="3" ref="P7:P26">+M7*0.65</f>
        <v>54.78958333333334</v>
      </c>
      <c r="Q7" s="31"/>
      <c r="R7" s="111">
        <f aca="true" t="shared" si="4" ref="R7:R26">+Q7+P7</f>
        <v>54.78958333333334</v>
      </c>
      <c r="S7" s="186"/>
      <c r="T7" s="187"/>
    </row>
    <row r="8" spans="1:20" s="91" customFormat="1" ht="22.5">
      <c r="A8" s="85" t="s">
        <v>361</v>
      </c>
      <c r="B8" s="173"/>
      <c r="C8" s="87" t="s">
        <v>40</v>
      </c>
      <c r="D8" s="143" t="s">
        <v>389</v>
      </c>
      <c r="E8" s="145" t="s">
        <v>390</v>
      </c>
      <c r="F8" s="238" t="s">
        <v>392</v>
      </c>
      <c r="G8" s="234">
        <v>38692</v>
      </c>
      <c r="H8" s="236">
        <v>38730</v>
      </c>
      <c r="I8" s="148" t="s">
        <v>384</v>
      </c>
      <c r="J8" s="237"/>
      <c r="K8" s="12">
        <f t="shared" si="0"/>
        <v>0</v>
      </c>
      <c r="L8" s="111">
        <f>606*85/100</f>
        <v>515.1</v>
      </c>
      <c r="M8" s="192">
        <f t="shared" si="1"/>
        <v>429.25000000000006</v>
      </c>
      <c r="N8" s="31"/>
      <c r="O8" s="111">
        <f t="shared" si="2"/>
        <v>429.25000000000006</v>
      </c>
      <c r="P8" s="31">
        <f t="shared" si="3"/>
        <v>279.01250000000005</v>
      </c>
      <c r="Q8" s="31"/>
      <c r="R8" s="111">
        <f t="shared" si="4"/>
        <v>279.01250000000005</v>
      </c>
      <c r="S8" s="186"/>
      <c r="T8" s="187"/>
    </row>
    <row r="9" spans="1:20" s="91" customFormat="1" ht="22.5">
      <c r="A9" s="85" t="s">
        <v>361</v>
      </c>
      <c r="B9" s="173"/>
      <c r="C9" s="87" t="s">
        <v>40</v>
      </c>
      <c r="D9" s="143" t="s">
        <v>393</v>
      </c>
      <c r="E9" s="145" t="s">
        <v>390</v>
      </c>
      <c r="F9" s="238" t="s">
        <v>394</v>
      </c>
      <c r="G9" s="234">
        <v>38754</v>
      </c>
      <c r="H9" s="236">
        <v>38789</v>
      </c>
      <c r="I9" s="148" t="s">
        <v>384</v>
      </c>
      <c r="J9" s="237"/>
      <c r="K9" s="12">
        <v>0</v>
      </c>
      <c r="L9" s="111">
        <f>116*85/100</f>
        <v>98.6</v>
      </c>
      <c r="M9" s="192">
        <f t="shared" si="1"/>
        <v>82.16666666666667</v>
      </c>
      <c r="N9" s="31"/>
      <c r="O9" s="111">
        <f t="shared" si="2"/>
        <v>82.16666666666667</v>
      </c>
      <c r="P9" s="31">
        <f t="shared" si="3"/>
        <v>53.40833333333334</v>
      </c>
      <c r="Q9" s="31"/>
      <c r="R9" s="111">
        <f t="shared" si="4"/>
        <v>53.40833333333334</v>
      </c>
      <c r="S9" s="186"/>
      <c r="T9" s="187"/>
    </row>
    <row r="10" spans="1:20" s="91" customFormat="1" ht="22.5">
      <c r="A10" s="85" t="s">
        <v>361</v>
      </c>
      <c r="B10" s="173"/>
      <c r="C10" s="87" t="s">
        <v>40</v>
      </c>
      <c r="D10" s="143" t="s">
        <v>393</v>
      </c>
      <c r="E10" s="145" t="s">
        <v>390</v>
      </c>
      <c r="F10" s="238" t="s">
        <v>395</v>
      </c>
      <c r="G10" s="234">
        <v>38754</v>
      </c>
      <c r="H10" s="236">
        <v>38789</v>
      </c>
      <c r="I10" s="148" t="s">
        <v>384</v>
      </c>
      <c r="J10" s="237"/>
      <c r="K10" s="12">
        <f t="shared" si="0"/>
        <v>0</v>
      </c>
      <c r="L10" s="111">
        <f>436.5*85/100</f>
        <v>371.025</v>
      </c>
      <c r="M10" s="192">
        <f t="shared" si="1"/>
        <v>309.1875</v>
      </c>
      <c r="N10" s="31"/>
      <c r="O10" s="111">
        <f t="shared" si="2"/>
        <v>309.1875</v>
      </c>
      <c r="P10" s="31">
        <f t="shared" si="3"/>
        <v>200.971875</v>
      </c>
      <c r="Q10" s="31"/>
      <c r="R10" s="111">
        <f t="shared" si="4"/>
        <v>200.971875</v>
      </c>
      <c r="S10" s="186"/>
      <c r="T10" s="187"/>
    </row>
    <row r="11" spans="1:20" s="91" customFormat="1" ht="22.5">
      <c r="A11" s="85" t="s">
        <v>361</v>
      </c>
      <c r="B11" s="173"/>
      <c r="C11" s="87" t="s">
        <v>40</v>
      </c>
      <c r="D11" s="143" t="s">
        <v>393</v>
      </c>
      <c r="E11" s="145" t="s">
        <v>390</v>
      </c>
      <c r="F11" s="238" t="s">
        <v>396</v>
      </c>
      <c r="G11" s="234">
        <v>38754</v>
      </c>
      <c r="H11" s="236">
        <v>38789</v>
      </c>
      <c r="I11" s="148" t="s">
        <v>384</v>
      </c>
      <c r="J11" s="237"/>
      <c r="K11" s="12">
        <f t="shared" si="0"/>
        <v>0</v>
      </c>
      <c r="L11" s="111">
        <f>519.5*85/100</f>
        <v>441.575</v>
      </c>
      <c r="M11" s="192">
        <f t="shared" si="1"/>
        <v>367.9791666666667</v>
      </c>
      <c r="N11" s="31"/>
      <c r="O11" s="111">
        <f t="shared" si="2"/>
        <v>367.9791666666667</v>
      </c>
      <c r="P11" s="31">
        <f t="shared" si="3"/>
        <v>239.18645833333335</v>
      </c>
      <c r="Q11" s="31"/>
      <c r="R11" s="111">
        <f t="shared" si="4"/>
        <v>239.18645833333335</v>
      </c>
      <c r="S11" s="186"/>
      <c r="T11" s="187"/>
    </row>
    <row r="12" spans="1:20" s="91" customFormat="1" ht="22.5">
      <c r="A12" s="85" t="s">
        <v>361</v>
      </c>
      <c r="B12" s="173"/>
      <c r="C12" s="87" t="s">
        <v>40</v>
      </c>
      <c r="D12" s="239" t="s">
        <v>393</v>
      </c>
      <c r="E12" s="240" t="s">
        <v>390</v>
      </c>
      <c r="F12" s="241" t="s">
        <v>397</v>
      </c>
      <c r="G12" s="242">
        <v>38692</v>
      </c>
      <c r="H12" s="243">
        <v>38730</v>
      </c>
      <c r="I12" s="249" t="s">
        <v>398</v>
      </c>
      <c r="J12" s="244"/>
      <c r="K12" s="31">
        <f t="shared" si="0"/>
        <v>0</v>
      </c>
      <c r="L12" s="111">
        <f>278.5*85/100</f>
        <v>236.725</v>
      </c>
      <c r="M12" s="192">
        <f t="shared" si="1"/>
        <v>197.27083333333334</v>
      </c>
      <c r="N12" s="31"/>
      <c r="O12" s="111">
        <f t="shared" si="2"/>
        <v>197.27083333333334</v>
      </c>
      <c r="P12" s="31">
        <f t="shared" si="3"/>
        <v>128.22604166666667</v>
      </c>
      <c r="Q12" s="31"/>
      <c r="R12" s="111">
        <f t="shared" si="4"/>
        <v>128.22604166666667</v>
      </c>
      <c r="S12" s="186"/>
      <c r="T12" s="187"/>
    </row>
    <row r="13" spans="1:20" s="91" customFormat="1" ht="11.25">
      <c r="A13" s="85" t="s">
        <v>361</v>
      </c>
      <c r="B13" s="173"/>
      <c r="C13" s="87" t="s">
        <v>40</v>
      </c>
      <c r="D13" s="233" t="s">
        <v>399</v>
      </c>
      <c r="E13" s="145" t="s">
        <v>400</v>
      </c>
      <c r="F13" s="238" t="s">
        <v>401</v>
      </c>
      <c r="G13" s="234">
        <v>38772</v>
      </c>
      <c r="H13" s="236">
        <v>38772</v>
      </c>
      <c r="I13" s="240" t="s">
        <v>402</v>
      </c>
      <c r="J13" s="237">
        <v>500</v>
      </c>
      <c r="K13" s="12">
        <f t="shared" si="0"/>
        <v>100</v>
      </c>
      <c r="L13" s="111">
        <f>600*85/100</f>
        <v>510</v>
      </c>
      <c r="M13" s="192">
        <f t="shared" si="1"/>
        <v>425</v>
      </c>
      <c r="N13" s="31"/>
      <c r="O13" s="111">
        <f t="shared" si="2"/>
        <v>425</v>
      </c>
      <c r="P13" s="31">
        <f t="shared" si="3"/>
        <v>276.25</v>
      </c>
      <c r="Q13" s="31"/>
      <c r="R13" s="111">
        <f t="shared" si="4"/>
        <v>276.25</v>
      </c>
      <c r="S13" s="186"/>
      <c r="T13" s="187"/>
    </row>
    <row r="14" spans="1:20" s="91" customFormat="1" ht="11.25">
      <c r="A14" s="85" t="s">
        <v>361</v>
      </c>
      <c r="B14" s="173"/>
      <c r="C14" s="87" t="s">
        <v>40</v>
      </c>
      <c r="D14" s="233" t="s">
        <v>399</v>
      </c>
      <c r="E14" s="145" t="s">
        <v>400</v>
      </c>
      <c r="F14" s="235">
        <v>588</v>
      </c>
      <c r="G14" s="234">
        <v>38800</v>
      </c>
      <c r="H14" s="236">
        <v>38800</v>
      </c>
      <c r="I14" s="145" t="s">
        <v>403</v>
      </c>
      <c r="J14" s="237">
        <v>500</v>
      </c>
      <c r="K14" s="12">
        <f t="shared" si="0"/>
        <v>100</v>
      </c>
      <c r="L14" s="111">
        <f>600*85/100</f>
        <v>510</v>
      </c>
      <c r="M14" s="192">
        <f t="shared" si="1"/>
        <v>425</v>
      </c>
      <c r="N14" s="31"/>
      <c r="O14" s="111">
        <f t="shared" si="2"/>
        <v>425</v>
      </c>
      <c r="P14" s="31">
        <f t="shared" si="3"/>
        <v>276.25</v>
      </c>
      <c r="Q14" s="31"/>
      <c r="R14" s="111">
        <f t="shared" si="4"/>
        <v>276.25</v>
      </c>
      <c r="S14" s="186"/>
      <c r="T14" s="187"/>
    </row>
    <row r="15" spans="1:20" s="91" customFormat="1" ht="11.25">
      <c r="A15" s="85" t="s">
        <v>361</v>
      </c>
      <c r="B15" s="173"/>
      <c r="C15" s="87" t="s">
        <v>40</v>
      </c>
      <c r="D15" s="233" t="s">
        <v>399</v>
      </c>
      <c r="E15" s="145" t="s">
        <v>400</v>
      </c>
      <c r="F15" s="235">
        <v>900</v>
      </c>
      <c r="G15" s="234">
        <v>38831</v>
      </c>
      <c r="H15" s="236">
        <v>38831</v>
      </c>
      <c r="I15" s="145" t="s">
        <v>404</v>
      </c>
      <c r="J15" s="237">
        <v>500</v>
      </c>
      <c r="K15" s="12">
        <f t="shared" si="0"/>
        <v>100</v>
      </c>
      <c r="L15" s="111">
        <f>600*85/100</f>
        <v>510</v>
      </c>
      <c r="M15" s="192">
        <f t="shared" si="1"/>
        <v>425</v>
      </c>
      <c r="N15" s="31"/>
      <c r="O15" s="111">
        <f t="shared" si="2"/>
        <v>425</v>
      </c>
      <c r="P15" s="31">
        <f t="shared" si="3"/>
        <v>276.25</v>
      </c>
      <c r="Q15" s="31"/>
      <c r="R15" s="111">
        <f t="shared" si="4"/>
        <v>276.25</v>
      </c>
      <c r="S15" s="186"/>
      <c r="T15" s="187"/>
    </row>
    <row r="16" spans="1:20" s="91" customFormat="1" ht="11.25">
      <c r="A16" s="85" t="s">
        <v>361</v>
      </c>
      <c r="B16" s="173"/>
      <c r="C16" s="87" t="s">
        <v>40</v>
      </c>
      <c r="D16" s="233" t="s">
        <v>399</v>
      </c>
      <c r="E16" s="145" t="s">
        <v>400</v>
      </c>
      <c r="F16" s="235">
        <v>51</v>
      </c>
      <c r="G16" s="234">
        <v>38741</v>
      </c>
      <c r="H16" s="236">
        <v>38741</v>
      </c>
      <c r="I16" s="240" t="s">
        <v>405</v>
      </c>
      <c r="J16" s="237">
        <v>500</v>
      </c>
      <c r="K16" s="12">
        <f t="shared" si="0"/>
        <v>100</v>
      </c>
      <c r="L16" s="111">
        <f>600*85/100</f>
        <v>510</v>
      </c>
      <c r="M16" s="192">
        <f t="shared" si="1"/>
        <v>425</v>
      </c>
      <c r="N16" s="31"/>
      <c r="O16" s="111">
        <f t="shared" si="2"/>
        <v>425</v>
      </c>
      <c r="P16" s="31">
        <f t="shared" si="3"/>
        <v>276.25</v>
      </c>
      <c r="Q16" s="31"/>
      <c r="R16" s="111">
        <f t="shared" si="4"/>
        <v>276.25</v>
      </c>
      <c r="S16" s="186"/>
      <c r="T16" s="187"/>
    </row>
    <row r="17" spans="1:20" s="91" customFormat="1" ht="11.25">
      <c r="A17" s="85" t="s">
        <v>361</v>
      </c>
      <c r="B17" s="173"/>
      <c r="C17" s="87" t="s">
        <v>40</v>
      </c>
      <c r="D17" s="233" t="s">
        <v>406</v>
      </c>
      <c r="E17" s="145" t="s">
        <v>306</v>
      </c>
      <c r="F17" s="245" t="s">
        <v>407</v>
      </c>
      <c r="G17" s="234"/>
      <c r="H17" s="236">
        <v>38811</v>
      </c>
      <c r="I17" s="145" t="s">
        <v>364</v>
      </c>
      <c r="J17" s="237"/>
      <c r="K17" s="12">
        <f t="shared" si="0"/>
        <v>0</v>
      </c>
      <c r="L17" s="111">
        <f>3500*85/100</f>
        <v>2975</v>
      </c>
      <c r="M17" s="192">
        <f>+L17</f>
        <v>2975</v>
      </c>
      <c r="N17" s="31"/>
      <c r="O17" s="111">
        <f t="shared" si="2"/>
        <v>2975</v>
      </c>
      <c r="P17" s="31">
        <f t="shared" si="3"/>
        <v>1933.75</v>
      </c>
      <c r="Q17" s="31"/>
      <c r="R17" s="111">
        <f t="shared" si="4"/>
        <v>1933.75</v>
      </c>
      <c r="S17" s="186"/>
      <c r="T17" s="187"/>
    </row>
    <row r="18" spans="1:20" s="91" customFormat="1" ht="11.25">
      <c r="A18" s="85" t="s">
        <v>361</v>
      </c>
      <c r="B18" s="173"/>
      <c r="C18" s="87" t="s">
        <v>40</v>
      </c>
      <c r="D18" s="233" t="s">
        <v>406</v>
      </c>
      <c r="E18" s="145" t="s">
        <v>306</v>
      </c>
      <c r="F18" s="245" t="s">
        <v>408</v>
      </c>
      <c r="G18" s="234"/>
      <c r="H18" s="236">
        <v>38782</v>
      </c>
      <c r="I18" s="240" t="s">
        <v>364</v>
      </c>
      <c r="J18" s="237"/>
      <c r="K18" s="12">
        <f t="shared" si="0"/>
        <v>0</v>
      </c>
      <c r="L18" s="111">
        <f>3500*85/100</f>
        <v>2975</v>
      </c>
      <c r="M18" s="192">
        <f aca="true" t="shared" si="5" ref="M18:M24">+L18</f>
        <v>2975</v>
      </c>
      <c r="N18" s="31"/>
      <c r="O18" s="111">
        <f t="shared" si="2"/>
        <v>2975</v>
      </c>
      <c r="P18" s="31">
        <f t="shared" si="3"/>
        <v>1933.75</v>
      </c>
      <c r="Q18" s="31"/>
      <c r="R18" s="111">
        <f t="shared" si="4"/>
        <v>1933.75</v>
      </c>
      <c r="S18" s="186"/>
      <c r="T18" s="187"/>
    </row>
    <row r="19" spans="1:20" s="91" customFormat="1" ht="11.25">
      <c r="A19" s="85" t="s">
        <v>361</v>
      </c>
      <c r="B19" s="173"/>
      <c r="C19" s="87" t="s">
        <v>40</v>
      </c>
      <c r="D19" s="233" t="s">
        <v>406</v>
      </c>
      <c r="E19" s="145" t="s">
        <v>306</v>
      </c>
      <c r="F19" s="245" t="s">
        <v>409</v>
      </c>
      <c r="G19" s="234"/>
      <c r="H19" s="236">
        <v>38749</v>
      </c>
      <c r="I19" s="145" t="s">
        <v>364</v>
      </c>
      <c r="J19" s="237"/>
      <c r="K19" s="12">
        <f t="shared" si="0"/>
        <v>0</v>
      </c>
      <c r="L19" s="111">
        <f>3500*85/100</f>
        <v>2975</v>
      </c>
      <c r="M19" s="192">
        <f t="shared" si="5"/>
        <v>2975</v>
      </c>
      <c r="N19" s="31"/>
      <c r="O19" s="111">
        <f t="shared" si="2"/>
        <v>2975</v>
      </c>
      <c r="P19" s="31">
        <f t="shared" si="3"/>
        <v>1933.75</v>
      </c>
      <c r="Q19" s="31"/>
      <c r="R19" s="111">
        <f t="shared" si="4"/>
        <v>1933.75</v>
      </c>
      <c r="S19" s="186"/>
      <c r="T19" s="187"/>
    </row>
    <row r="20" spans="1:20" s="91" customFormat="1" ht="11.25">
      <c r="A20" s="85" t="s">
        <v>361</v>
      </c>
      <c r="B20" s="173"/>
      <c r="C20" s="87" t="s">
        <v>40</v>
      </c>
      <c r="D20" s="233" t="s">
        <v>406</v>
      </c>
      <c r="E20" s="145" t="s">
        <v>306</v>
      </c>
      <c r="F20" s="245" t="s">
        <v>410</v>
      </c>
      <c r="G20" s="234"/>
      <c r="H20" s="236">
        <v>38720</v>
      </c>
      <c r="I20" s="145" t="s">
        <v>364</v>
      </c>
      <c r="J20" s="237"/>
      <c r="K20" s="12">
        <f t="shared" si="0"/>
        <v>0</v>
      </c>
      <c r="L20" s="111">
        <f>3500*85/100</f>
        <v>2975</v>
      </c>
      <c r="M20" s="192">
        <f t="shared" si="5"/>
        <v>2975</v>
      </c>
      <c r="N20" s="31"/>
      <c r="O20" s="111">
        <f t="shared" si="2"/>
        <v>2975</v>
      </c>
      <c r="P20" s="31">
        <f t="shared" si="3"/>
        <v>1933.75</v>
      </c>
      <c r="Q20" s="31"/>
      <c r="R20" s="111">
        <f t="shared" si="4"/>
        <v>1933.75</v>
      </c>
      <c r="S20" s="186"/>
      <c r="T20" s="187"/>
    </row>
    <row r="21" spans="1:20" s="91" customFormat="1" ht="11.25">
      <c r="A21" s="85" t="s">
        <v>361</v>
      </c>
      <c r="B21" s="173"/>
      <c r="C21" s="87" t="s">
        <v>40</v>
      </c>
      <c r="D21" s="233" t="s">
        <v>411</v>
      </c>
      <c r="E21" s="145" t="s">
        <v>412</v>
      </c>
      <c r="F21" s="245" t="s">
        <v>413</v>
      </c>
      <c r="G21" s="234"/>
      <c r="H21" s="236">
        <v>38721</v>
      </c>
      <c r="I21" s="145" t="s">
        <v>364</v>
      </c>
      <c r="J21" s="237"/>
      <c r="K21" s="12">
        <f t="shared" si="0"/>
        <v>0</v>
      </c>
      <c r="L21" s="111">
        <f>550*85/100</f>
        <v>467.5</v>
      </c>
      <c r="M21" s="192">
        <f t="shared" si="5"/>
        <v>467.5</v>
      </c>
      <c r="N21" s="31"/>
      <c r="O21" s="111">
        <f t="shared" si="2"/>
        <v>467.5</v>
      </c>
      <c r="P21" s="31">
        <f t="shared" si="3"/>
        <v>303.875</v>
      </c>
      <c r="Q21" s="31"/>
      <c r="R21" s="111">
        <f t="shared" si="4"/>
        <v>303.875</v>
      </c>
      <c r="S21" s="186"/>
      <c r="T21" s="187"/>
    </row>
    <row r="22" spans="1:20" s="91" customFormat="1" ht="11.25">
      <c r="A22" s="85" t="s">
        <v>361</v>
      </c>
      <c r="B22" s="173"/>
      <c r="C22" s="87" t="s">
        <v>40</v>
      </c>
      <c r="D22" s="233" t="s">
        <v>411</v>
      </c>
      <c r="E22" s="145" t="s">
        <v>412</v>
      </c>
      <c r="F22" s="245" t="s">
        <v>414</v>
      </c>
      <c r="G22" s="234"/>
      <c r="H22" s="236">
        <v>38751</v>
      </c>
      <c r="I22" s="145" t="s">
        <v>364</v>
      </c>
      <c r="J22" s="237"/>
      <c r="K22" s="12">
        <f t="shared" si="0"/>
        <v>0</v>
      </c>
      <c r="L22" s="111">
        <f>550*85/100</f>
        <v>467.5</v>
      </c>
      <c r="M22" s="192">
        <f t="shared" si="5"/>
        <v>467.5</v>
      </c>
      <c r="N22" s="31"/>
      <c r="O22" s="111">
        <f t="shared" si="2"/>
        <v>467.5</v>
      </c>
      <c r="P22" s="31">
        <f t="shared" si="3"/>
        <v>303.875</v>
      </c>
      <c r="Q22" s="31"/>
      <c r="R22" s="111">
        <f t="shared" si="4"/>
        <v>303.875</v>
      </c>
      <c r="S22" s="186"/>
      <c r="T22" s="187"/>
    </row>
    <row r="23" spans="1:20" s="91" customFormat="1" ht="11.25">
      <c r="A23" s="85" t="s">
        <v>361</v>
      </c>
      <c r="B23" s="173"/>
      <c r="C23" s="87" t="s">
        <v>40</v>
      </c>
      <c r="D23" s="233" t="s">
        <v>411</v>
      </c>
      <c r="E23" s="145" t="s">
        <v>412</v>
      </c>
      <c r="F23" s="235" t="s">
        <v>415</v>
      </c>
      <c r="G23" s="234"/>
      <c r="H23" s="236"/>
      <c r="I23" s="240" t="s">
        <v>364</v>
      </c>
      <c r="J23" s="237"/>
      <c r="K23" s="12">
        <f t="shared" si="0"/>
        <v>0</v>
      </c>
      <c r="L23" s="111">
        <f>550*85/100</f>
        <v>467.5</v>
      </c>
      <c r="M23" s="192">
        <f t="shared" si="5"/>
        <v>467.5</v>
      </c>
      <c r="N23" s="31"/>
      <c r="O23" s="111">
        <f t="shared" si="2"/>
        <v>467.5</v>
      </c>
      <c r="P23" s="31">
        <f t="shared" si="3"/>
        <v>303.875</v>
      </c>
      <c r="Q23" s="31"/>
      <c r="R23" s="111">
        <f t="shared" si="4"/>
        <v>303.875</v>
      </c>
      <c r="S23" s="186"/>
      <c r="T23" s="187"/>
    </row>
    <row r="24" spans="1:20" s="91" customFormat="1" ht="11.25">
      <c r="A24" s="85" t="s">
        <v>361</v>
      </c>
      <c r="B24" s="173"/>
      <c r="C24" s="87" t="s">
        <v>40</v>
      </c>
      <c r="D24" s="233" t="s">
        <v>416</v>
      </c>
      <c r="E24" s="145" t="s">
        <v>412</v>
      </c>
      <c r="F24" s="235" t="s">
        <v>417</v>
      </c>
      <c r="G24" s="234"/>
      <c r="H24" s="236"/>
      <c r="I24" s="145" t="s">
        <v>364</v>
      </c>
      <c r="J24" s="237"/>
      <c r="K24" s="12">
        <f t="shared" si="0"/>
        <v>0</v>
      </c>
      <c r="L24" s="111">
        <f>550*85/100</f>
        <v>467.5</v>
      </c>
      <c r="M24" s="192">
        <f t="shared" si="5"/>
        <v>467.5</v>
      </c>
      <c r="N24" s="31"/>
      <c r="O24" s="111">
        <f t="shared" si="2"/>
        <v>467.5</v>
      </c>
      <c r="P24" s="31">
        <f t="shared" si="3"/>
        <v>303.875</v>
      </c>
      <c r="Q24" s="31"/>
      <c r="R24" s="111">
        <f t="shared" si="4"/>
        <v>303.875</v>
      </c>
      <c r="S24" s="186"/>
      <c r="T24" s="187"/>
    </row>
    <row r="25" spans="1:20" s="91" customFormat="1" ht="11.25">
      <c r="A25" s="85" t="s">
        <v>361</v>
      </c>
      <c r="B25" s="173"/>
      <c r="C25" s="87" t="s">
        <v>40</v>
      </c>
      <c r="D25" s="233" t="s">
        <v>381</v>
      </c>
      <c r="E25" s="145" t="s">
        <v>382</v>
      </c>
      <c r="F25" s="238" t="s">
        <v>418</v>
      </c>
      <c r="G25" s="234">
        <v>38743</v>
      </c>
      <c r="H25" s="236">
        <v>38743</v>
      </c>
      <c r="I25" s="145" t="s">
        <v>384</v>
      </c>
      <c r="J25" s="237"/>
      <c r="K25" s="12">
        <f t="shared" si="0"/>
        <v>0</v>
      </c>
      <c r="L25" s="111">
        <f>109.27*85/100</f>
        <v>92.8795</v>
      </c>
      <c r="M25" s="192">
        <f>+L25/1.2</f>
        <v>77.39958333333333</v>
      </c>
      <c r="N25" s="31"/>
      <c r="O25" s="111">
        <f t="shared" si="2"/>
        <v>77.39958333333333</v>
      </c>
      <c r="P25" s="31">
        <f t="shared" si="3"/>
        <v>50.30972916666666</v>
      </c>
      <c r="Q25" s="31"/>
      <c r="R25" s="111">
        <f t="shared" si="4"/>
        <v>50.30972916666666</v>
      </c>
      <c r="S25" s="186"/>
      <c r="T25" s="187"/>
    </row>
    <row r="26" spans="1:20" s="91" customFormat="1" ht="22.5">
      <c r="A26" s="85" t="s">
        <v>361</v>
      </c>
      <c r="B26" s="173"/>
      <c r="C26" s="87" t="s">
        <v>40</v>
      </c>
      <c r="D26" s="147" t="s">
        <v>419</v>
      </c>
      <c r="E26" s="145"/>
      <c r="F26" s="238"/>
      <c r="G26" s="234"/>
      <c r="H26" s="236"/>
      <c r="I26" s="145"/>
      <c r="J26" s="237"/>
      <c r="K26" s="12"/>
      <c r="L26" s="111">
        <f>(219.26)+(1065.21)+(9+10+9.5+8+6+7.5+6+47.3+26.95+170)+(7+12.5+8.4+43.5+9.5+50+10+11+6+10+10)+(37.8+40+9.5+9.5+14.5+15+10+1+78.1+83)+(75.6+35+108+65+230+170+95+113+109+28+35+50)+(29+4+2)+(175+90)+(7+39+6+41+7+67.5+12+60.5+52+37.7)+(9.5+7.5+6+12+46+69.8+96.8)+(19+15+19+51+51+30)+(4.5+9.5+9.5+41+14.5+20.5+14.5+1+11+14.5)+(29+13.5+1.2+4.4+8.25+4.15+16.55+7.4+4.6+1.1+2.25+45+22+35.2+0.8+131.55+10+10+33.8+8+47.16)+(45+45+55+75+55.2+32+32+100+39+2.5+170+100+100+10+65)+(41+45+35+9+11+7+85)+(30+372+131.55)+(163.25+152.25+183.05+95.05)+(90+94+91.8+166)+(340.8)+(186.06+380.54+28.8+138.78+24.52)</f>
        <v>8640.480000000001</v>
      </c>
      <c r="M26" s="192">
        <f>+L26</f>
        <v>8640.480000000001</v>
      </c>
      <c r="N26" s="31"/>
      <c r="O26" s="111">
        <f t="shared" si="2"/>
        <v>8640.480000000001</v>
      </c>
      <c r="P26" s="31">
        <f t="shared" si="3"/>
        <v>5616.312000000001</v>
      </c>
      <c r="Q26" s="31"/>
      <c r="R26" s="111">
        <f t="shared" si="4"/>
        <v>5616.312000000001</v>
      </c>
      <c r="S26" s="355"/>
      <c r="T26" s="356"/>
    </row>
    <row r="28" spans="6:18" ht="12.75">
      <c r="F28" t="s">
        <v>516</v>
      </c>
      <c r="L28" s="255">
        <f>SUM(L2:L27)</f>
        <v>33140.5945</v>
      </c>
      <c r="M28" s="255">
        <f aca="true" t="shared" si="6" ref="M28:R28">SUM(M2:M27)</f>
        <v>31339.792083333334</v>
      </c>
      <c r="N28" s="255">
        <f t="shared" si="6"/>
        <v>0</v>
      </c>
      <c r="O28" s="255">
        <f t="shared" si="6"/>
        <v>31339.792083333334</v>
      </c>
      <c r="P28" s="255">
        <f t="shared" si="6"/>
        <v>20370.86485416667</v>
      </c>
      <c r="Q28" s="255">
        <f t="shared" si="6"/>
        <v>0</v>
      </c>
      <c r="R28" s="255">
        <f t="shared" si="6"/>
        <v>20370.86485416667</v>
      </c>
    </row>
    <row r="32" spans="1:20" s="91" customFormat="1" ht="22.5">
      <c r="A32" s="85" t="s">
        <v>361</v>
      </c>
      <c r="B32" s="173"/>
      <c r="C32" s="87" t="s">
        <v>40</v>
      </c>
      <c r="D32" s="233" t="s">
        <v>48</v>
      </c>
      <c r="E32" s="12" t="s">
        <v>375</v>
      </c>
      <c r="F32" s="144" t="s">
        <v>376</v>
      </c>
      <c r="G32" s="234">
        <v>38772</v>
      </c>
      <c r="H32" s="10">
        <v>38772</v>
      </c>
      <c r="I32" s="62" t="s">
        <v>377</v>
      </c>
      <c r="J32" s="12">
        <v>425.3</v>
      </c>
      <c r="K32" s="12">
        <f>+J32*0.2</f>
        <v>85.06</v>
      </c>
      <c r="L32" s="111">
        <f>J32+K32</f>
        <v>510.36</v>
      </c>
      <c r="M32" s="192">
        <v>425.3</v>
      </c>
      <c r="N32" s="31"/>
      <c r="O32" s="111">
        <f>+N32+M32</f>
        <v>425.3</v>
      </c>
      <c r="P32" s="31">
        <f>+M32*0.65</f>
        <v>276.445</v>
      </c>
      <c r="Q32" s="31"/>
      <c r="R32" s="111">
        <f>+Q32+P32</f>
        <v>276.445</v>
      </c>
      <c r="S32" s="357"/>
      <c r="T32" s="358"/>
    </row>
    <row r="33" spans="1:20" s="91" customFormat="1" ht="22.5">
      <c r="A33" s="85" t="s">
        <v>361</v>
      </c>
      <c r="B33" s="173"/>
      <c r="C33" s="87" t="s">
        <v>40</v>
      </c>
      <c r="D33" s="233" t="s">
        <v>48</v>
      </c>
      <c r="E33" s="145" t="s">
        <v>378</v>
      </c>
      <c r="F33" s="235" t="s">
        <v>379</v>
      </c>
      <c r="G33" s="234">
        <v>38747</v>
      </c>
      <c r="H33" s="236">
        <v>38747</v>
      </c>
      <c r="I33" s="148" t="s">
        <v>380</v>
      </c>
      <c r="J33" s="237">
        <v>450</v>
      </c>
      <c r="K33" s="12">
        <f aca="true" t="shared" si="7" ref="K33:K55">+J33*0.2</f>
        <v>90</v>
      </c>
      <c r="L33" s="111">
        <f>J33+K33</f>
        <v>540</v>
      </c>
      <c r="M33" s="192">
        <v>450</v>
      </c>
      <c r="N33" s="31"/>
      <c r="O33" s="111">
        <f>+N33+M33</f>
        <v>450</v>
      </c>
      <c r="P33" s="31">
        <f>+M33*0.65</f>
        <v>292.5</v>
      </c>
      <c r="Q33" s="31"/>
      <c r="R33" s="111">
        <f>+Q33+P33</f>
        <v>292.5</v>
      </c>
      <c r="S33" s="357"/>
      <c r="T33" s="358"/>
    </row>
    <row r="34" spans="1:20" s="91" customFormat="1" ht="22.5">
      <c r="A34" s="85" t="s">
        <v>361</v>
      </c>
      <c r="B34" s="173"/>
      <c r="C34" s="87" t="s">
        <v>40</v>
      </c>
      <c r="D34" s="233" t="s">
        <v>381</v>
      </c>
      <c r="E34" s="145" t="s">
        <v>382</v>
      </c>
      <c r="F34" s="238" t="s">
        <v>383</v>
      </c>
      <c r="G34" s="234">
        <v>38778</v>
      </c>
      <c r="H34" s="236">
        <v>38798</v>
      </c>
      <c r="I34" s="148" t="s">
        <v>384</v>
      </c>
      <c r="J34" s="237">
        <f>+L34-K34</f>
        <v>83</v>
      </c>
      <c r="K34" s="12">
        <v>16.6</v>
      </c>
      <c r="L34" s="111">
        <v>99.6</v>
      </c>
      <c r="M34" s="192">
        <f>+J34*85%</f>
        <v>70.55</v>
      </c>
      <c r="N34" s="192"/>
      <c r="O34" s="111">
        <f>+N34+M34</f>
        <v>70.55</v>
      </c>
      <c r="P34" s="31">
        <f>+M34*0.65</f>
        <v>45.8575</v>
      </c>
      <c r="Q34" s="31"/>
      <c r="R34" s="111">
        <f>+Q34+P34</f>
        <v>45.8575</v>
      </c>
      <c r="S34" s="357"/>
      <c r="T34" s="358"/>
    </row>
    <row r="35" spans="1:20" s="91" customFormat="1" ht="22.5">
      <c r="A35" s="85" t="s">
        <v>361</v>
      </c>
      <c r="B35" s="173"/>
      <c r="C35" s="87" t="s">
        <v>40</v>
      </c>
      <c r="D35" s="233" t="s">
        <v>385</v>
      </c>
      <c r="E35" s="145" t="s">
        <v>386</v>
      </c>
      <c r="F35" s="235" t="s">
        <v>387</v>
      </c>
      <c r="G35" s="234">
        <v>38766</v>
      </c>
      <c r="H35" s="236">
        <v>38786</v>
      </c>
      <c r="I35" s="148" t="s">
        <v>384</v>
      </c>
      <c r="J35" s="31">
        <f>3219/1.2</f>
        <v>2682.5</v>
      </c>
      <c r="K35" s="12">
        <f>+J35*0.2</f>
        <v>536.5</v>
      </c>
      <c r="L35" s="111">
        <f>3219*85/100</f>
        <v>2736.15</v>
      </c>
      <c r="M35" s="31">
        <f>+J35*0.85</f>
        <v>2280.125</v>
      </c>
      <c r="N35" s="31"/>
      <c r="O35" s="111">
        <f>+N35+M35</f>
        <v>2280.125</v>
      </c>
      <c r="P35" s="31">
        <f>+M35*0.65</f>
        <v>1482.08125</v>
      </c>
      <c r="Q35" s="31"/>
      <c r="R35" s="111">
        <f>+Q35+P35</f>
        <v>1482.08125</v>
      </c>
      <c r="S35" s="186"/>
      <c r="T35" s="187"/>
    </row>
    <row r="36" spans="1:20" s="91" customFormat="1" ht="22.5">
      <c r="A36" s="85" t="s">
        <v>361</v>
      </c>
      <c r="B36" s="173"/>
      <c r="C36" s="87" t="s">
        <v>40</v>
      </c>
      <c r="D36" s="143" t="s">
        <v>385</v>
      </c>
      <c r="E36" s="145" t="s">
        <v>386</v>
      </c>
      <c r="F36" s="238" t="s">
        <v>388</v>
      </c>
      <c r="G36" s="234">
        <v>38706</v>
      </c>
      <c r="H36" s="236">
        <v>38726</v>
      </c>
      <c r="I36" s="148" t="s">
        <v>384</v>
      </c>
      <c r="J36" s="31">
        <f>3467/1.2</f>
        <v>2889.166666666667</v>
      </c>
      <c r="K36" s="12">
        <f>+J36*0.2</f>
        <v>577.8333333333334</v>
      </c>
      <c r="L36" s="111">
        <f>3467*85/100</f>
        <v>2946.95</v>
      </c>
      <c r="M36" s="31">
        <f>+J36*0.85</f>
        <v>2455.791666666667</v>
      </c>
      <c r="N36" s="31"/>
      <c r="O36" s="111">
        <f>+N36+M36</f>
        <v>2455.791666666667</v>
      </c>
      <c r="P36" s="31">
        <f>+M36*0.65</f>
        <v>1596.2645833333336</v>
      </c>
      <c r="Q36" s="31"/>
      <c r="R36" s="111">
        <f>+Q36+P36</f>
        <v>1596.2645833333336</v>
      </c>
      <c r="S36" s="186"/>
      <c r="T36" s="187"/>
    </row>
    <row r="37" spans="1:20" s="91" customFormat="1" ht="22.5">
      <c r="A37" s="85" t="s">
        <v>361</v>
      </c>
      <c r="B37" s="173"/>
      <c r="C37" s="87" t="s">
        <v>40</v>
      </c>
      <c r="D37" s="143" t="s">
        <v>389</v>
      </c>
      <c r="E37" s="145" t="s">
        <v>390</v>
      </c>
      <c r="F37" s="238" t="s">
        <v>391</v>
      </c>
      <c r="G37" s="234">
        <v>38692</v>
      </c>
      <c r="H37" s="236">
        <v>38730</v>
      </c>
      <c r="I37" s="148" t="s">
        <v>384</v>
      </c>
      <c r="J37" s="31"/>
      <c r="K37" s="12">
        <f t="shared" si="7"/>
        <v>0</v>
      </c>
      <c r="L37" s="111">
        <f>119*85/100</f>
        <v>101.15</v>
      </c>
      <c r="M37" s="31">
        <f>119*85/100</f>
        <v>101.15</v>
      </c>
      <c r="N37" s="31"/>
      <c r="O37" s="111">
        <f aca="true" t="shared" si="8" ref="O37:O56">+N37+M37</f>
        <v>101.15</v>
      </c>
      <c r="P37" s="31">
        <f aca="true" t="shared" si="9" ref="P37:P56">+M37*0.65</f>
        <v>65.7475</v>
      </c>
      <c r="Q37" s="31"/>
      <c r="R37" s="111">
        <f aca="true" t="shared" si="10" ref="R37:R56">+Q37+P37</f>
        <v>65.7475</v>
      </c>
      <c r="S37" s="186"/>
      <c r="T37" s="187"/>
    </row>
    <row r="38" spans="1:20" s="91" customFormat="1" ht="22.5">
      <c r="A38" s="85" t="s">
        <v>361</v>
      </c>
      <c r="B38" s="173"/>
      <c r="C38" s="87" t="s">
        <v>40</v>
      </c>
      <c r="D38" s="143" t="s">
        <v>389</v>
      </c>
      <c r="E38" s="145" t="s">
        <v>390</v>
      </c>
      <c r="F38" s="238" t="s">
        <v>392</v>
      </c>
      <c r="G38" s="234">
        <v>38692</v>
      </c>
      <c r="H38" s="236">
        <v>38730</v>
      </c>
      <c r="I38" s="148" t="s">
        <v>384</v>
      </c>
      <c r="J38" s="31"/>
      <c r="K38" s="12">
        <f t="shared" si="7"/>
        <v>0</v>
      </c>
      <c r="L38" s="111">
        <f>606*85/100</f>
        <v>515.1</v>
      </c>
      <c r="M38" s="31">
        <f>606*85/100</f>
        <v>515.1</v>
      </c>
      <c r="N38" s="31"/>
      <c r="O38" s="111">
        <f t="shared" si="8"/>
        <v>515.1</v>
      </c>
      <c r="P38" s="31">
        <f t="shared" si="9"/>
        <v>334.81500000000005</v>
      </c>
      <c r="Q38" s="31"/>
      <c r="R38" s="111">
        <f t="shared" si="10"/>
        <v>334.81500000000005</v>
      </c>
      <c r="S38" s="186"/>
      <c r="T38" s="187"/>
    </row>
    <row r="39" spans="1:20" s="91" customFormat="1" ht="22.5">
      <c r="A39" s="85" t="s">
        <v>361</v>
      </c>
      <c r="B39" s="173"/>
      <c r="C39" s="87" t="s">
        <v>40</v>
      </c>
      <c r="D39" s="143" t="s">
        <v>393</v>
      </c>
      <c r="E39" s="145" t="s">
        <v>390</v>
      </c>
      <c r="F39" s="238" t="s">
        <v>394</v>
      </c>
      <c r="G39" s="234">
        <v>38754</v>
      </c>
      <c r="H39" s="236">
        <v>38789</v>
      </c>
      <c r="I39" s="148" t="s">
        <v>384</v>
      </c>
      <c r="J39" s="31"/>
      <c r="K39" s="12">
        <v>0</v>
      </c>
      <c r="L39" s="111">
        <f>116*85/100</f>
        <v>98.6</v>
      </c>
      <c r="M39" s="31">
        <f>116*85/100</f>
        <v>98.6</v>
      </c>
      <c r="N39" s="31"/>
      <c r="O39" s="111">
        <f t="shared" si="8"/>
        <v>98.6</v>
      </c>
      <c r="P39" s="31">
        <f t="shared" si="9"/>
        <v>64.09</v>
      </c>
      <c r="Q39" s="31"/>
      <c r="R39" s="111">
        <f t="shared" si="10"/>
        <v>64.09</v>
      </c>
      <c r="S39" s="186"/>
      <c r="T39" s="187"/>
    </row>
    <row r="40" spans="1:20" s="91" customFormat="1" ht="22.5">
      <c r="A40" s="85" t="s">
        <v>361</v>
      </c>
      <c r="B40" s="173"/>
      <c r="C40" s="87" t="s">
        <v>40</v>
      </c>
      <c r="D40" s="143" t="s">
        <v>393</v>
      </c>
      <c r="E40" s="145" t="s">
        <v>390</v>
      </c>
      <c r="F40" s="238" t="s">
        <v>395</v>
      </c>
      <c r="G40" s="234">
        <v>38754</v>
      </c>
      <c r="H40" s="236">
        <v>38789</v>
      </c>
      <c r="I40" s="148" t="s">
        <v>384</v>
      </c>
      <c r="J40" s="31"/>
      <c r="K40" s="12">
        <f t="shared" si="7"/>
        <v>0</v>
      </c>
      <c r="L40" s="111">
        <f>436.5*85/100</f>
        <v>371.025</v>
      </c>
      <c r="M40" s="31">
        <f>436.5*85/100</f>
        <v>371.025</v>
      </c>
      <c r="N40" s="31"/>
      <c r="O40" s="111">
        <f t="shared" si="8"/>
        <v>371.025</v>
      </c>
      <c r="P40" s="31">
        <f t="shared" si="9"/>
        <v>241.16625</v>
      </c>
      <c r="Q40" s="31"/>
      <c r="R40" s="111">
        <f t="shared" si="10"/>
        <v>241.16625</v>
      </c>
      <c r="S40" s="186"/>
      <c r="T40" s="187"/>
    </row>
    <row r="41" spans="1:20" s="91" customFormat="1" ht="22.5">
      <c r="A41" s="85" t="s">
        <v>361</v>
      </c>
      <c r="B41" s="173"/>
      <c r="C41" s="87" t="s">
        <v>40</v>
      </c>
      <c r="D41" s="143" t="s">
        <v>393</v>
      </c>
      <c r="E41" s="145" t="s">
        <v>390</v>
      </c>
      <c r="F41" s="238" t="s">
        <v>396</v>
      </c>
      <c r="G41" s="234">
        <v>38754</v>
      </c>
      <c r="H41" s="236">
        <v>38789</v>
      </c>
      <c r="I41" s="148" t="s">
        <v>384</v>
      </c>
      <c r="J41" s="31"/>
      <c r="K41" s="12">
        <f t="shared" si="7"/>
        <v>0</v>
      </c>
      <c r="L41" s="111">
        <f>519.5*85/100</f>
        <v>441.575</v>
      </c>
      <c r="M41" s="31">
        <f>519.5*85/100</f>
        <v>441.575</v>
      </c>
      <c r="N41" s="31"/>
      <c r="O41" s="111">
        <f t="shared" si="8"/>
        <v>441.575</v>
      </c>
      <c r="P41" s="31">
        <f t="shared" si="9"/>
        <v>287.02375</v>
      </c>
      <c r="Q41" s="31"/>
      <c r="R41" s="111">
        <f t="shared" si="10"/>
        <v>287.02375</v>
      </c>
      <c r="S41" s="186"/>
      <c r="T41" s="187"/>
    </row>
    <row r="42" spans="1:20" s="91" customFormat="1" ht="22.5">
      <c r="A42" s="85" t="s">
        <v>361</v>
      </c>
      <c r="B42" s="173"/>
      <c r="C42" s="87" t="s">
        <v>40</v>
      </c>
      <c r="D42" s="239" t="s">
        <v>393</v>
      </c>
      <c r="E42" s="240" t="s">
        <v>390</v>
      </c>
      <c r="F42" s="241" t="s">
        <v>397</v>
      </c>
      <c r="G42" s="242">
        <v>38692</v>
      </c>
      <c r="H42" s="243">
        <v>38730</v>
      </c>
      <c r="I42" s="249" t="s">
        <v>398</v>
      </c>
      <c r="J42" s="31"/>
      <c r="K42" s="31">
        <f t="shared" si="7"/>
        <v>0</v>
      </c>
      <c r="L42" s="111">
        <f>278.5*85/100</f>
        <v>236.725</v>
      </c>
      <c r="M42" s="31">
        <f>278.5*85/100</f>
        <v>236.725</v>
      </c>
      <c r="N42" s="31"/>
      <c r="O42" s="111">
        <f t="shared" si="8"/>
        <v>236.725</v>
      </c>
      <c r="P42" s="31">
        <f t="shared" si="9"/>
        <v>153.87125</v>
      </c>
      <c r="Q42" s="31"/>
      <c r="R42" s="111">
        <f t="shared" si="10"/>
        <v>153.87125</v>
      </c>
      <c r="S42" s="186"/>
      <c r="T42" s="187"/>
    </row>
    <row r="43" spans="1:20" s="91" customFormat="1" ht="11.25">
      <c r="A43" s="85" t="s">
        <v>361</v>
      </c>
      <c r="B43" s="173"/>
      <c r="C43" s="87" t="s">
        <v>40</v>
      </c>
      <c r="D43" s="233" t="s">
        <v>399</v>
      </c>
      <c r="E43" s="145" t="s">
        <v>400</v>
      </c>
      <c r="F43" s="238" t="s">
        <v>401</v>
      </c>
      <c r="G43" s="234">
        <v>38772</v>
      </c>
      <c r="H43" s="236">
        <v>38772</v>
      </c>
      <c r="I43" s="240" t="s">
        <v>402</v>
      </c>
      <c r="J43" s="237">
        <v>500</v>
      </c>
      <c r="K43" s="12">
        <f t="shared" si="7"/>
        <v>100</v>
      </c>
      <c r="L43" s="111">
        <f aca="true" t="shared" si="11" ref="L43:M46">600*85/100</f>
        <v>510</v>
      </c>
      <c r="M43" s="31">
        <f t="shared" si="11"/>
        <v>510</v>
      </c>
      <c r="N43" s="31"/>
      <c r="O43" s="111">
        <f t="shared" si="8"/>
        <v>510</v>
      </c>
      <c r="P43" s="31">
        <f t="shared" si="9"/>
        <v>331.5</v>
      </c>
      <c r="Q43" s="31"/>
      <c r="R43" s="111">
        <f t="shared" si="10"/>
        <v>331.5</v>
      </c>
      <c r="S43" s="186"/>
      <c r="T43" s="187"/>
    </row>
    <row r="44" spans="1:20" s="91" customFormat="1" ht="11.25">
      <c r="A44" s="85" t="s">
        <v>361</v>
      </c>
      <c r="B44" s="173"/>
      <c r="C44" s="87" t="s">
        <v>40</v>
      </c>
      <c r="D44" s="233" t="s">
        <v>399</v>
      </c>
      <c r="E44" s="145" t="s">
        <v>400</v>
      </c>
      <c r="F44" s="235">
        <v>588</v>
      </c>
      <c r="G44" s="234">
        <v>38800</v>
      </c>
      <c r="H44" s="236">
        <v>38800</v>
      </c>
      <c r="I44" s="145" t="s">
        <v>403</v>
      </c>
      <c r="J44" s="237">
        <v>500</v>
      </c>
      <c r="K44" s="12">
        <f t="shared" si="7"/>
        <v>100</v>
      </c>
      <c r="L44" s="111">
        <f t="shared" si="11"/>
        <v>510</v>
      </c>
      <c r="M44" s="31">
        <f t="shared" si="11"/>
        <v>510</v>
      </c>
      <c r="N44" s="31"/>
      <c r="O44" s="111">
        <f t="shared" si="8"/>
        <v>510</v>
      </c>
      <c r="P44" s="31">
        <f t="shared" si="9"/>
        <v>331.5</v>
      </c>
      <c r="Q44" s="31"/>
      <c r="R44" s="111">
        <f t="shared" si="10"/>
        <v>331.5</v>
      </c>
      <c r="S44" s="186"/>
      <c r="T44" s="187"/>
    </row>
    <row r="45" spans="1:20" s="91" customFormat="1" ht="11.25">
      <c r="A45" s="85" t="s">
        <v>361</v>
      </c>
      <c r="B45" s="173"/>
      <c r="C45" s="87" t="s">
        <v>40</v>
      </c>
      <c r="D45" s="233" t="s">
        <v>399</v>
      </c>
      <c r="E45" s="145" t="s">
        <v>400</v>
      </c>
      <c r="F45" s="235">
        <v>900</v>
      </c>
      <c r="G45" s="234">
        <v>38831</v>
      </c>
      <c r="H45" s="236">
        <v>38831</v>
      </c>
      <c r="I45" s="145" t="s">
        <v>404</v>
      </c>
      <c r="J45" s="237">
        <v>500</v>
      </c>
      <c r="K45" s="12">
        <f t="shared" si="7"/>
        <v>100</v>
      </c>
      <c r="L45" s="111">
        <f t="shared" si="11"/>
        <v>510</v>
      </c>
      <c r="M45" s="31">
        <f t="shared" si="11"/>
        <v>510</v>
      </c>
      <c r="N45" s="31"/>
      <c r="O45" s="111">
        <f t="shared" si="8"/>
        <v>510</v>
      </c>
      <c r="P45" s="31">
        <f t="shared" si="9"/>
        <v>331.5</v>
      </c>
      <c r="Q45" s="31"/>
      <c r="R45" s="111">
        <f t="shared" si="10"/>
        <v>331.5</v>
      </c>
      <c r="S45" s="186"/>
      <c r="T45" s="187"/>
    </row>
    <row r="46" spans="1:20" s="91" customFormat="1" ht="11.25">
      <c r="A46" s="85" t="s">
        <v>361</v>
      </c>
      <c r="B46" s="173"/>
      <c r="C46" s="87" t="s">
        <v>40</v>
      </c>
      <c r="D46" s="233" t="s">
        <v>399</v>
      </c>
      <c r="E46" s="145" t="s">
        <v>400</v>
      </c>
      <c r="F46" s="235">
        <v>51</v>
      </c>
      <c r="G46" s="234">
        <v>38741</v>
      </c>
      <c r="H46" s="236">
        <v>38741</v>
      </c>
      <c r="I46" s="240" t="s">
        <v>405</v>
      </c>
      <c r="J46" s="237">
        <v>500</v>
      </c>
      <c r="K46" s="12">
        <f t="shared" si="7"/>
        <v>100</v>
      </c>
      <c r="L46" s="111">
        <f t="shared" si="11"/>
        <v>510</v>
      </c>
      <c r="M46" s="31">
        <f t="shared" si="11"/>
        <v>510</v>
      </c>
      <c r="N46" s="31"/>
      <c r="O46" s="111">
        <f t="shared" si="8"/>
        <v>510</v>
      </c>
      <c r="P46" s="31">
        <f t="shared" si="9"/>
        <v>331.5</v>
      </c>
      <c r="Q46" s="31"/>
      <c r="R46" s="111">
        <f t="shared" si="10"/>
        <v>331.5</v>
      </c>
      <c r="S46" s="186"/>
      <c r="T46" s="187"/>
    </row>
    <row r="47" spans="1:20" s="91" customFormat="1" ht="11.25">
      <c r="A47" s="85" t="s">
        <v>361</v>
      </c>
      <c r="B47" s="173"/>
      <c r="C47" s="87" t="s">
        <v>40</v>
      </c>
      <c r="D47" s="233" t="s">
        <v>406</v>
      </c>
      <c r="E47" s="145" t="s">
        <v>306</v>
      </c>
      <c r="F47" s="245" t="s">
        <v>407</v>
      </c>
      <c r="G47" s="234"/>
      <c r="H47" s="236">
        <v>38811</v>
      </c>
      <c r="I47" s="145" t="s">
        <v>364</v>
      </c>
      <c r="J47" s="237"/>
      <c r="K47" s="12">
        <f t="shared" si="7"/>
        <v>0</v>
      </c>
      <c r="L47" s="111">
        <f aca="true" t="shared" si="12" ref="L47:M50">3500*85/100</f>
        <v>2975</v>
      </c>
      <c r="M47" s="31">
        <f t="shared" si="12"/>
        <v>2975</v>
      </c>
      <c r="N47" s="31"/>
      <c r="O47" s="111">
        <f t="shared" si="8"/>
        <v>2975</v>
      </c>
      <c r="P47" s="31">
        <f t="shared" si="9"/>
        <v>1933.75</v>
      </c>
      <c r="Q47" s="31"/>
      <c r="R47" s="111">
        <f t="shared" si="10"/>
        <v>1933.75</v>
      </c>
      <c r="S47" s="186"/>
      <c r="T47" s="187"/>
    </row>
    <row r="48" spans="1:20" s="91" customFormat="1" ht="11.25">
      <c r="A48" s="85" t="s">
        <v>361</v>
      </c>
      <c r="B48" s="173"/>
      <c r="C48" s="87" t="s">
        <v>40</v>
      </c>
      <c r="D48" s="233" t="s">
        <v>406</v>
      </c>
      <c r="E48" s="145" t="s">
        <v>306</v>
      </c>
      <c r="F48" s="245" t="s">
        <v>408</v>
      </c>
      <c r="G48" s="234"/>
      <c r="H48" s="236">
        <v>38782</v>
      </c>
      <c r="I48" s="240" t="s">
        <v>364</v>
      </c>
      <c r="J48" s="237"/>
      <c r="K48" s="12">
        <f t="shared" si="7"/>
        <v>0</v>
      </c>
      <c r="L48" s="111">
        <f t="shared" si="12"/>
        <v>2975</v>
      </c>
      <c r="M48" s="31">
        <f t="shared" si="12"/>
        <v>2975</v>
      </c>
      <c r="N48" s="31"/>
      <c r="O48" s="111">
        <f t="shared" si="8"/>
        <v>2975</v>
      </c>
      <c r="P48" s="31">
        <f t="shared" si="9"/>
        <v>1933.75</v>
      </c>
      <c r="Q48" s="31"/>
      <c r="R48" s="111">
        <f t="shared" si="10"/>
        <v>1933.75</v>
      </c>
      <c r="S48" s="186"/>
      <c r="T48" s="187"/>
    </row>
    <row r="49" spans="1:20" s="91" customFormat="1" ht="11.25">
      <c r="A49" s="85" t="s">
        <v>361</v>
      </c>
      <c r="B49" s="173"/>
      <c r="C49" s="87" t="s">
        <v>40</v>
      </c>
      <c r="D49" s="233" t="s">
        <v>406</v>
      </c>
      <c r="E49" s="145" t="s">
        <v>306</v>
      </c>
      <c r="F49" s="245" t="s">
        <v>409</v>
      </c>
      <c r="G49" s="234"/>
      <c r="H49" s="236">
        <v>38749</v>
      </c>
      <c r="I49" s="145" t="s">
        <v>364</v>
      </c>
      <c r="J49" s="237"/>
      <c r="K49" s="12">
        <f t="shared" si="7"/>
        <v>0</v>
      </c>
      <c r="L49" s="111">
        <f t="shared" si="12"/>
        <v>2975</v>
      </c>
      <c r="M49" s="31">
        <f t="shared" si="12"/>
        <v>2975</v>
      </c>
      <c r="N49" s="31"/>
      <c r="O49" s="111">
        <f t="shared" si="8"/>
        <v>2975</v>
      </c>
      <c r="P49" s="31">
        <f t="shared" si="9"/>
        <v>1933.75</v>
      </c>
      <c r="Q49" s="31"/>
      <c r="R49" s="111">
        <f t="shared" si="10"/>
        <v>1933.75</v>
      </c>
      <c r="S49" s="186"/>
      <c r="T49" s="187"/>
    </row>
    <row r="50" spans="1:20" s="91" customFormat="1" ht="11.25">
      <c r="A50" s="85" t="s">
        <v>361</v>
      </c>
      <c r="B50" s="173"/>
      <c r="C50" s="87" t="s">
        <v>40</v>
      </c>
      <c r="D50" s="233" t="s">
        <v>406</v>
      </c>
      <c r="E50" s="145" t="s">
        <v>306</v>
      </c>
      <c r="F50" s="245" t="s">
        <v>410</v>
      </c>
      <c r="G50" s="234"/>
      <c r="H50" s="236">
        <v>38720</v>
      </c>
      <c r="I50" s="145" t="s">
        <v>364</v>
      </c>
      <c r="J50" s="237"/>
      <c r="K50" s="12">
        <f t="shared" si="7"/>
        <v>0</v>
      </c>
      <c r="L50" s="111">
        <f t="shared" si="12"/>
        <v>2975</v>
      </c>
      <c r="M50" s="31">
        <f t="shared" si="12"/>
        <v>2975</v>
      </c>
      <c r="N50" s="31"/>
      <c r="O50" s="111">
        <f t="shared" si="8"/>
        <v>2975</v>
      </c>
      <c r="P50" s="31">
        <f t="shared" si="9"/>
        <v>1933.75</v>
      </c>
      <c r="Q50" s="31"/>
      <c r="R50" s="111">
        <f t="shared" si="10"/>
        <v>1933.75</v>
      </c>
      <c r="S50" s="186"/>
      <c r="T50" s="187"/>
    </row>
    <row r="51" spans="1:20" s="91" customFormat="1" ht="11.25">
      <c r="A51" s="85" t="s">
        <v>361</v>
      </c>
      <c r="B51" s="173"/>
      <c r="C51" s="87" t="s">
        <v>40</v>
      </c>
      <c r="D51" s="233" t="s">
        <v>411</v>
      </c>
      <c r="E51" s="145" t="s">
        <v>412</v>
      </c>
      <c r="F51" s="245" t="s">
        <v>413</v>
      </c>
      <c r="G51" s="234"/>
      <c r="H51" s="236">
        <v>38721</v>
      </c>
      <c r="I51" s="145" t="s">
        <v>364</v>
      </c>
      <c r="J51" s="237"/>
      <c r="K51" s="12">
        <f t="shared" si="7"/>
        <v>0</v>
      </c>
      <c r="L51" s="111">
        <f aca="true" t="shared" si="13" ref="L51:M54">550*85/100</f>
        <v>467.5</v>
      </c>
      <c r="M51" s="31">
        <f t="shared" si="13"/>
        <v>467.5</v>
      </c>
      <c r="N51" s="31"/>
      <c r="O51" s="111">
        <f t="shared" si="8"/>
        <v>467.5</v>
      </c>
      <c r="P51" s="31">
        <f t="shared" si="9"/>
        <v>303.875</v>
      </c>
      <c r="Q51" s="31"/>
      <c r="R51" s="111">
        <f t="shared" si="10"/>
        <v>303.875</v>
      </c>
      <c r="S51" s="186"/>
      <c r="T51" s="187"/>
    </row>
    <row r="52" spans="1:20" s="91" customFormat="1" ht="11.25">
      <c r="A52" s="85" t="s">
        <v>361</v>
      </c>
      <c r="B52" s="173"/>
      <c r="C52" s="87" t="s">
        <v>40</v>
      </c>
      <c r="D52" s="233" t="s">
        <v>411</v>
      </c>
      <c r="E52" s="145" t="s">
        <v>412</v>
      </c>
      <c r="F52" s="245" t="s">
        <v>414</v>
      </c>
      <c r="G52" s="234"/>
      <c r="H52" s="236">
        <v>38751</v>
      </c>
      <c r="I52" s="145" t="s">
        <v>364</v>
      </c>
      <c r="J52" s="237"/>
      <c r="K52" s="12">
        <f t="shared" si="7"/>
        <v>0</v>
      </c>
      <c r="L52" s="111">
        <f t="shared" si="13"/>
        <v>467.5</v>
      </c>
      <c r="M52" s="31">
        <f t="shared" si="13"/>
        <v>467.5</v>
      </c>
      <c r="N52" s="31"/>
      <c r="O52" s="111">
        <f t="shared" si="8"/>
        <v>467.5</v>
      </c>
      <c r="P52" s="31">
        <f t="shared" si="9"/>
        <v>303.875</v>
      </c>
      <c r="Q52" s="31"/>
      <c r="R52" s="111">
        <f t="shared" si="10"/>
        <v>303.875</v>
      </c>
      <c r="S52" s="186"/>
      <c r="T52" s="187"/>
    </row>
    <row r="53" spans="1:20" s="91" customFormat="1" ht="11.25">
      <c r="A53" s="85" t="s">
        <v>361</v>
      </c>
      <c r="B53" s="173"/>
      <c r="C53" s="87" t="s">
        <v>40</v>
      </c>
      <c r="D53" s="233" t="s">
        <v>411</v>
      </c>
      <c r="E53" s="145" t="s">
        <v>412</v>
      </c>
      <c r="F53" s="235" t="s">
        <v>415</v>
      </c>
      <c r="G53" s="234"/>
      <c r="H53" s="236"/>
      <c r="I53" s="240" t="s">
        <v>364</v>
      </c>
      <c r="J53" s="237"/>
      <c r="K53" s="12">
        <f t="shared" si="7"/>
        <v>0</v>
      </c>
      <c r="L53" s="111">
        <f t="shared" si="13"/>
        <v>467.5</v>
      </c>
      <c r="M53" s="31">
        <f t="shared" si="13"/>
        <v>467.5</v>
      </c>
      <c r="N53" s="31"/>
      <c r="O53" s="111">
        <f t="shared" si="8"/>
        <v>467.5</v>
      </c>
      <c r="P53" s="31">
        <f t="shared" si="9"/>
        <v>303.875</v>
      </c>
      <c r="Q53" s="31"/>
      <c r="R53" s="111">
        <f t="shared" si="10"/>
        <v>303.875</v>
      </c>
      <c r="S53" s="186"/>
      <c r="T53" s="187"/>
    </row>
    <row r="54" spans="1:20" s="91" customFormat="1" ht="11.25">
      <c r="A54" s="85" t="s">
        <v>361</v>
      </c>
      <c r="B54" s="173"/>
      <c r="C54" s="87" t="s">
        <v>40</v>
      </c>
      <c r="D54" s="233" t="s">
        <v>416</v>
      </c>
      <c r="E54" s="145" t="s">
        <v>412</v>
      </c>
      <c r="F54" s="235" t="s">
        <v>417</v>
      </c>
      <c r="G54" s="234"/>
      <c r="H54" s="236"/>
      <c r="I54" s="145" t="s">
        <v>364</v>
      </c>
      <c r="J54" s="237"/>
      <c r="K54" s="12">
        <f t="shared" si="7"/>
        <v>0</v>
      </c>
      <c r="L54" s="111">
        <f t="shared" si="13"/>
        <v>467.5</v>
      </c>
      <c r="M54" s="31">
        <f t="shared" si="13"/>
        <v>467.5</v>
      </c>
      <c r="N54" s="31"/>
      <c r="O54" s="111">
        <f t="shared" si="8"/>
        <v>467.5</v>
      </c>
      <c r="P54" s="31">
        <f t="shared" si="9"/>
        <v>303.875</v>
      </c>
      <c r="Q54" s="31"/>
      <c r="R54" s="111">
        <f t="shared" si="10"/>
        <v>303.875</v>
      </c>
      <c r="S54" s="186"/>
      <c r="T54" s="187"/>
    </row>
    <row r="55" spans="1:20" s="91" customFormat="1" ht="11.25">
      <c r="A55" s="85" t="s">
        <v>361</v>
      </c>
      <c r="B55" s="173"/>
      <c r="C55" s="87" t="s">
        <v>40</v>
      </c>
      <c r="D55" s="233" t="s">
        <v>381</v>
      </c>
      <c r="E55" s="145" t="s">
        <v>382</v>
      </c>
      <c r="F55" s="238" t="s">
        <v>418</v>
      </c>
      <c r="G55" s="234">
        <v>38743</v>
      </c>
      <c r="H55" s="236">
        <v>38743</v>
      </c>
      <c r="I55" s="145" t="s">
        <v>384</v>
      </c>
      <c r="J55" s="237"/>
      <c r="K55" s="12">
        <f t="shared" si="7"/>
        <v>0</v>
      </c>
      <c r="L55" s="111">
        <f>109.27*85/100</f>
        <v>92.8795</v>
      </c>
      <c r="M55" s="31">
        <f>109.27*85/100</f>
        <v>92.8795</v>
      </c>
      <c r="N55" s="31"/>
      <c r="O55" s="111">
        <f t="shared" si="8"/>
        <v>92.8795</v>
      </c>
      <c r="P55" s="31">
        <f t="shared" si="9"/>
        <v>60.371674999999996</v>
      </c>
      <c r="Q55" s="31"/>
      <c r="R55" s="111">
        <f t="shared" si="10"/>
        <v>60.371674999999996</v>
      </c>
      <c r="S55" s="186"/>
      <c r="T55" s="187"/>
    </row>
    <row r="56" spans="1:20" s="91" customFormat="1" ht="22.5">
      <c r="A56" s="85" t="s">
        <v>361</v>
      </c>
      <c r="B56" s="173"/>
      <c r="C56" s="87" t="s">
        <v>40</v>
      </c>
      <c r="D56" s="147" t="s">
        <v>419</v>
      </c>
      <c r="E56" s="145"/>
      <c r="F56" s="238"/>
      <c r="G56" s="234"/>
      <c r="H56" s="236"/>
      <c r="I56" s="145"/>
      <c r="J56" s="237"/>
      <c r="K56" s="12"/>
      <c r="L56" s="111">
        <f>(219.26)+(1065.21)+(9+10+9.5+8+6+7.5+6+47.3+26.95+170)+(7+12.5+8.4+43.5+9.5+50+10+11+6+10+10)+(37.8+40+9.5+9.5+14.5+15+10+1+78.1+83)+(75.6+35+108+65+230+170+95+113+109+28+35+50)+(29+4+2)+(175+90)+(7+39+6+41+7+67.5+12+60.5+52+37.7)+(9.5+7.5+6+12+46+69.8+96.8)+(19+15+19+51+51+30)+(4.5+9.5+9.5+41+14.5+20.5+14.5+1+11+14.5)+(29+13.5+1.2+4.4+8.25+4.15+16.55+7.4+4.6+1.1+2.25+45+22+35.2+0.8+131.55+10+10+33.8+8+47.16)+(45+45+55+75+55.2+32+32+100+39+2.5+170+100+100+10+65)+(41+45+35+9+11+7+85)+(30+372+131.55)+(163.25+152.25+183.05+95.05)+(90+94+91.8+166)+(340.8)+(186.06+380.54+28.8+138.78+24.52)</f>
        <v>8640.480000000001</v>
      </c>
      <c r="M56" s="192">
        <f>+L56</f>
        <v>8640.480000000001</v>
      </c>
      <c r="N56" s="31"/>
      <c r="O56" s="111">
        <f t="shared" si="8"/>
        <v>8640.480000000001</v>
      </c>
      <c r="P56" s="31">
        <f t="shared" si="9"/>
        <v>5616.312000000001</v>
      </c>
      <c r="Q56" s="31"/>
      <c r="R56" s="111">
        <f t="shared" si="10"/>
        <v>5616.312000000001</v>
      </c>
      <c r="S56" s="355"/>
      <c r="T56" s="356"/>
    </row>
    <row r="58" spans="6:18" ht="12.75">
      <c r="F58" t="s">
        <v>515</v>
      </c>
      <c r="L58" s="255">
        <f aca="true" t="shared" si="14" ref="L58:R58">SUM(L32:L57)</f>
        <v>33140.5945</v>
      </c>
      <c r="M58" s="255">
        <f t="shared" si="14"/>
        <v>31989.301166666664</v>
      </c>
      <c r="N58" s="255">
        <f t="shared" si="14"/>
        <v>0</v>
      </c>
      <c r="O58" s="255">
        <f t="shared" si="14"/>
        <v>31989.301166666664</v>
      </c>
      <c r="P58" s="255">
        <f t="shared" si="14"/>
        <v>20793.045758333334</v>
      </c>
      <c r="Q58" s="255">
        <f t="shared" si="14"/>
        <v>0</v>
      </c>
      <c r="R58" s="255">
        <f t="shared" si="14"/>
        <v>20793.045758333334</v>
      </c>
    </row>
    <row r="60" spans="6:18" ht="12.75">
      <c r="F60" t="s">
        <v>517</v>
      </c>
      <c r="L60" s="254"/>
      <c r="M60" s="254">
        <f aca="true" t="shared" si="15" ref="M60:R60">+M58-M28</f>
        <v>649.5090833333306</v>
      </c>
      <c r="N60" s="254"/>
      <c r="O60" s="254">
        <f t="shared" si="15"/>
        <v>649.5090833333306</v>
      </c>
      <c r="P60" s="254">
        <f t="shared" si="15"/>
        <v>422.1809041666638</v>
      </c>
      <c r="Q60" s="254"/>
      <c r="R60" s="254">
        <f t="shared" si="15"/>
        <v>422.1809041666638</v>
      </c>
    </row>
  </sheetData>
  <mergeCells count="8">
    <mergeCell ref="S32:T32"/>
    <mergeCell ref="S33:T33"/>
    <mergeCell ref="S34:T34"/>
    <mergeCell ref="S56:T56"/>
    <mergeCell ref="S2:T2"/>
    <mergeCell ref="S3:T3"/>
    <mergeCell ref="S4:T4"/>
    <mergeCell ref="S26:T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2008-10-16T13:32:25Z</cp:lastPrinted>
  <dcterms:created xsi:type="dcterms:W3CDTF">2005-04-28T08:10:49Z</dcterms:created>
  <dcterms:modified xsi:type="dcterms:W3CDTF">2009-01-15T16:22:18Z</dcterms:modified>
  <cp:category/>
  <cp:version/>
  <cp:contentType/>
  <cp:contentStatus/>
</cp:coreProperties>
</file>