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mplessivo" sheetId="1" r:id="rId1"/>
  </sheets>
  <definedNames>
    <definedName name="_xlnm._FilterDatabase" localSheetId="0" hidden="1">'Complessivo'!$A$8:$T$187</definedName>
    <definedName name="_xlnm.Print_Area" localSheetId="0">'Complessivo'!$A$1:$T$187</definedName>
    <definedName name="_xlnm.Print_Titles" localSheetId="0">'Complessivo'!$1:$6</definedName>
  </definedNames>
  <calcPr fullCalcOnLoad="1"/>
</workbook>
</file>

<file path=xl/sharedStrings.xml><?xml version="1.0" encoding="utf-8"?>
<sst xmlns="http://schemas.openxmlformats.org/spreadsheetml/2006/main" count="809" uniqueCount="248">
  <si>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</si>
  <si>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</si>
  <si>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</si>
  <si>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</si>
  <si>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</si>
  <si>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</si>
  <si>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</si>
  <si>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</si>
  <si>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</si>
  <si>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</si>
  <si>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</si>
  <si>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</si>
  <si>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</si>
  <si>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</si>
  <si>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</si>
  <si>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</si>
  <si>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</si>
  <si>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</si>
  <si>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</si>
  <si>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</si>
  <si>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</si>
  <si>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</si>
  <si>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</si>
  <si>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</si>
  <si>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</si>
  <si>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</si>
  <si>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</si>
  <si>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</si>
  <si>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</si>
  <si>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</si>
  <si>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</si>
  <si>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</si>
  <si>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</si>
  <si>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</si>
  <si>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</si>
  <si>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</si>
  <si>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</si>
  <si>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</si>
  <si>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</si>
  <si>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</si>
  <si>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CNA PUGLIA  28 - RIEPILOGO SPESE</t>
  </si>
  <si>
    <t>@ssonet</t>
  </si>
  <si>
    <t>SAL 1 - 01/09/04 - 31/12/04</t>
  </si>
  <si>
    <t>CNA PUGLIA</t>
  </si>
  <si>
    <t>K-solutions Spa</t>
  </si>
  <si>
    <t>CNA Bari</t>
  </si>
  <si>
    <t>CNA Foggia</t>
  </si>
  <si>
    <t>CNA Brindisi</t>
  </si>
  <si>
    <t>CNA Lecce</t>
  </si>
  <si>
    <t>Università Lecce</t>
  </si>
  <si>
    <t>Università di Bari</t>
  </si>
  <si>
    <t>Cancelleria</t>
  </si>
  <si>
    <t>Laterza F.lli snc</t>
  </si>
  <si>
    <t>Bonifico</t>
  </si>
  <si>
    <t>Quietanza allo sportello</t>
  </si>
  <si>
    <t>CNA Interpreta srl</t>
  </si>
  <si>
    <t>Viaggi e missioni personale dipendente</t>
  </si>
  <si>
    <t>CNA Ass Prov. Modena</t>
  </si>
  <si>
    <t>???</t>
  </si>
  <si>
    <t>??</t>
  </si>
  <si>
    <t>Robintur</t>
  </si>
  <si>
    <t>Manca fattura</t>
  </si>
  <si>
    <t>SIAPI scrl</t>
  </si>
  <si>
    <t>02/05</t>
  </si>
  <si>
    <t>AB</t>
  </si>
  <si>
    <t>UNIPOL Assicurazioni</t>
  </si>
  <si>
    <t>Spese di fideiussine</t>
  </si>
  <si>
    <t>96/42486503</t>
  </si>
  <si>
    <t>Spese notarili</t>
  </si>
  <si>
    <t>Notaio Rosa Metromile</t>
  </si>
  <si>
    <t>1204</t>
  </si>
  <si>
    <t>Contanti</t>
  </si>
  <si>
    <t>Spese notarili e pagamento in contanti non ammissibili</t>
  </si>
  <si>
    <t xml:space="preserve">Spese benzina </t>
  </si>
  <si>
    <t>dipendente Delucia</t>
  </si>
  <si>
    <t>AB ??</t>
  </si>
  <si>
    <t>Martincart srl</t>
  </si>
  <si>
    <t>65529</t>
  </si>
  <si>
    <t>Rimborso spese benzina Modena</t>
  </si>
  <si>
    <t>Carta di credito</t>
  </si>
  <si>
    <t>spese viaggio aereo Torino dipendente Riccardi Giuseppe</t>
  </si>
  <si>
    <t>Travelmar srl</t>
  </si>
  <si>
    <t>112/04</t>
  </si>
  <si>
    <t>AB 0245</t>
  </si>
  <si>
    <t>1-2</t>
  </si>
  <si>
    <t>COFIDI Puglia scarl</t>
  </si>
  <si>
    <t>Unità Artigiana Salentina scarl</t>
  </si>
  <si>
    <t xml:space="preserve">Manca nome dipendente, dimostrazione di pagamento: inammissibile </t>
  </si>
  <si>
    <t>Iva Ammessa</t>
  </si>
  <si>
    <t>TOT Contributo</t>
  </si>
  <si>
    <t>TOT Ammesso</t>
  </si>
  <si>
    <t>IVA Contributo</t>
  </si>
  <si>
    <t>Mancano alcuni costo orario e foglio presenze (non necessario in primo rendiconto)</t>
  </si>
  <si>
    <t>Spesa inferiore a 516,46 inammissibile. Inoltre manca: 1)liberatoria, 2)dimostrazione pagamento, 3) timbro annull. fattura</t>
  </si>
  <si>
    <t>Manca timbro annullamento fattura.</t>
  </si>
  <si>
    <t>Inammissibile in quanto non dispone di una sede operativa in Puglia.</t>
  </si>
  <si>
    <t>Manca foglio presenze</t>
  </si>
  <si>
    <t>Manca foglio presenze,costo orario utilizzato più basso del calcolato</t>
  </si>
  <si>
    <t>Manca foglio presenze,costo orario utilizzato leggermente più alto del calcolato</t>
  </si>
  <si>
    <t xml:space="preserve">Mancano alcuni costo orario e foglio presenze, costo orario utilizzato più basso del calcolato </t>
  </si>
  <si>
    <t>Consulenza non nominativa. Manca curriculum consulente. Manca rendiconto impegno consulente. Fattura non firmata e senza timbro di annullamento. Liberatoria non conforme allo schema predefinito. Manca estratto conto per dimostrazione liquidazione assegno emesso. Fuori periodo di rendicontazione. Non ammesso</t>
  </si>
  <si>
    <t>Spese di missione valgono solo per personale del partner rendicontato nelle spese di personale</t>
  </si>
  <si>
    <t>Manca 1)liberatoria 2)dimostrazione pagamento 3)timbro annull. Fattura. Il Beneficiario comunica l'impossibilità di esporre la fattura alla spesa</t>
  </si>
  <si>
    <t>Manca copia assegno bancario e dimostrazione di pagamento.</t>
  </si>
  <si>
    <t>Manca foglio missione, copia assegno bancario e dimostrazione di pagamento.</t>
  </si>
  <si>
    <t>Pagamento in contanti e sotto i 512,46. Inoltre manca; liberatoria, dimostrazione di pagamento, timbro annullamento fattura.</t>
  </si>
  <si>
    <t>Tolte le tasse per euro 1.997,22</t>
  </si>
  <si>
    <t>Spesa ammessa</t>
  </si>
  <si>
    <t>Iva ammessa</t>
  </si>
  <si>
    <t>TOT ammes</t>
  </si>
  <si>
    <t>Contrib. Costi</t>
  </si>
  <si>
    <t>Contrib. Iva</t>
  </si>
  <si>
    <t>TOT CONTR</t>
  </si>
  <si>
    <t>II</t>
  </si>
  <si>
    <t>Provvisorio</t>
  </si>
  <si>
    <t>Ammessi provvisoriamente. In attesa di verifica Eliminati costi società senza sede operativa in Puglia</t>
  </si>
  <si>
    <t>Ammessi provvisoriamente. In attesa di verifica. Eliminati costi società senza sede operativa in Puglia</t>
  </si>
  <si>
    <t>SAL 2 - 01/01/05 - 30/04/05</t>
  </si>
  <si>
    <t>SAL 3 - 01/05/05 - 31/08/05</t>
  </si>
  <si>
    <t>III</t>
  </si>
  <si>
    <t>Ammessi provvisoriamente. In attesa di verifica.</t>
  </si>
  <si>
    <t>ARREDI UFFICIO</t>
  </si>
  <si>
    <t>Papiro di Sollazzo Margherita</t>
  </si>
  <si>
    <t>A/B N° -9093; -4392</t>
  </si>
  <si>
    <t>SAL 3</t>
  </si>
  <si>
    <t>Indicare la percentuale di addebito sul progetto</t>
  </si>
  <si>
    <t>S.IN.TE.S.I. srl</t>
  </si>
  <si>
    <t>Un.Bari - Dip. Di Informatica</t>
  </si>
  <si>
    <t>Universita' Studi Lecce</t>
  </si>
  <si>
    <t>TOT SAL 3</t>
  </si>
  <si>
    <t>Marcello De Giorgi</t>
  </si>
  <si>
    <t>Manca calcolo costo orario</t>
  </si>
  <si>
    <t>Panico, Chiriatti, De Maria</t>
  </si>
  <si>
    <t>CSAD - Foggia</t>
  </si>
  <si>
    <t>Pinto, Creta</t>
  </si>
  <si>
    <t>Severo, Valletta, Penna, Trombetta</t>
  </si>
  <si>
    <t>Bartoli, Lassandro</t>
  </si>
  <si>
    <t>CNA Ambiente e qualità srl - BR</t>
  </si>
  <si>
    <t>Tomaselli, Piscopiello, Pugliese, Gullotta, Rubini</t>
  </si>
  <si>
    <t>Greco Nunzia</t>
  </si>
  <si>
    <t>Universita' Studi Lecce - Dip.Ing.</t>
  </si>
  <si>
    <t>Elia, Gnoni, Marsella, Cavaliere</t>
  </si>
  <si>
    <t>N.ro 14 nominativi</t>
  </si>
  <si>
    <t>N.ro  8 nominativi</t>
  </si>
  <si>
    <t>N.ro 7 nominativi</t>
  </si>
  <si>
    <t>Chiaromonte, Pellegrino, Sardone, Lorusso</t>
  </si>
  <si>
    <t>Ribezzo, De Lucia, Di Comite, Riccardi, Merchic</t>
  </si>
  <si>
    <t>1° acc. "definizione modello di cooperazione" e "definizione della architettura"</t>
  </si>
  <si>
    <t>Rimborso spese benzina (Di Comite)</t>
  </si>
  <si>
    <t>IV</t>
  </si>
  <si>
    <t>Conguaglio post-verifica sul II sal</t>
  </si>
  <si>
    <t>Ribezzo, Morea, Di Comite,  Merchic</t>
  </si>
  <si>
    <t>Manca calcolo costo orario di Merchic e Di Comite</t>
  </si>
  <si>
    <t>CANCELLERIA</t>
  </si>
  <si>
    <t>MARTINCART SRL</t>
  </si>
  <si>
    <t>881A</t>
  </si>
  <si>
    <t>CONTANTI</t>
  </si>
  <si>
    <t>Pagamento contanti non ammesso</t>
  </si>
  <si>
    <t>MATERIALE DI CONSUMO</t>
  </si>
  <si>
    <t>A.R.T. SERVICE S.A.S.</t>
  </si>
  <si>
    <t>A/B N° -15/02</t>
  </si>
  <si>
    <t>VARIE</t>
  </si>
  <si>
    <t>IMP. GEN. SRL</t>
  </si>
  <si>
    <t>A/B N° --7593</t>
  </si>
  <si>
    <t>TELEFONICHE</t>
  </si>
  <si>
    <t>VODAFONE SPA</t>
  </si>
  <si>
    <t>ADD. IN CONTO</t>
  </si>
  <si>
    <t>SGOBBA SRL</t>
  </si>
  <si>
    <t>OTTOMANO DAVIDE</t>
  </si>
  <si>
    <t>A/B N° -7595</t>
  </si>
  <si>
    <t>TELECOM IT. SPA</t>
  </si>
  <si>
    <t>8S00706645</t>
  </si>
  <si>
    <t>7073317379</t>
  </si>
  <si>
    <t>8S00706665</t>
  </si>
  <si>
    <t>CHITANI GIANNI</t>
  </si>
  <si>
    <t>RAPPRESENTANZA</t>
  </si>
  <si>
    <t>GARRAPA SRL</t>
  </si>
  <si>
    <t>13/A</t>
  </si>
  <si>
    <t>A/B -8649</t>
  </si>
  <si>
    <t>TIM IT SPA</t>
  </si>
  <si>
    <t>7X01226857</t>
  </si>
  <si>
    <t>CONDOMINIO</t>
  </si>
  <si>
    <t>CON. V.LE EINAUDI</t>
  </si>
  <si>
    <t>BONIFICO</t>
  </si>
  <si>
    <t>SPESE BANCARIE</t>
  </si>
  <si>
    <t>SU CONDOMINIO</t>
  </si>
  <si>
    <t>ENERGIA ELETTRICA</t>
  </si>
  <si>
    <t>ENEL SPA</t>
  </si>
  <si>
    <t>A/B N° -9095</t>
  </si>
  <si>
    <t>1368A</t>
  </si>
  <si>
    <t>A/B N° -3503</t>
  </si>
  <si>
    <t>A/B N° -3506</t>
  </si>
  <si>
    <t>PULIZIE</t>
  </si>
  <si>
    <t>CO.AN. SCARL</t>
  </si>
  <si>
    <t>A/B N° -3504</t>
  </si>
  <si>
    <t>8S00824678</t>
  </si>
  <si>
    <t>C.C.P.</t>
  </si>
  <si>
    <t>8S00896394</t>
  </si>
  <si>
    <t>7X01671462</t>
  </si>
  <si>
    <t>8S00946266</t>
  </si>
  <si>
    <t>Oneri bancari non ammissibili</t>
  </si>
  <si>
    <t>Indicare la percentuale di addebito sul progetto (V.le Einaudi 51 !)</t>
  </si>
  <si>
    <t>7073439870</t>
  </si>
  <si>
    <t>Indicare la percentuale di addebito sul progetto (Via Tridente 2/I !)</t>
  </si>
  <si>
    <t>Indicare la percentuale di addebito sul progetto (Via Tridente 2/I !) Manca dimostrazione di pagamento</t>
  </si>
  <si>
    <t>Indicare la percentuale di addebito sul progetto (Via Tridente 2/I !) Manca dimostrazione di pagamento. La fattura si riferisce a n.ro due telefonini (chi sono Teresa Pellegrino e Ciliberti?)</t>
  </si>
  <si>
    <t>AFFITTO SEDE</t>
  </si>
  <si>
    <t>CIRILLO ETTORE</t>
  </si>
  <si>
    <t>SU AFFITTO</t>
  </si>
  <si>
    <t>ONERI BANCARI</t>
  </si>
  <si>
    <t>MPS</t>
  </si>
  <si>
    <t>Non sono ammissibili gli oneri bancari</t>
  </si>
  <si>
    <t>8S00896365</t>
  </si>
  <si>
    <t>BOLLATI</t>
  </si>
  <si>
    <t>LEONARDO DICARLO</t>
  </si>
  <si>
    <t>RIVISTE</t>
  </si>
  <si>
    <t>LATERZA</t>
  </si>
  <si>
    <t>DAVIDE OTTOMANO</t>
  </si>
  <si>
    <t>541/04</t>
  </si>
  <si>
    <t>ALBEROSOLE</t>
  </si>
  <si>
    <t>882/04</t>
  </si>
  <si>
    <t>ROSA DEI VENTI</t>
  </si>
  <si>
    <t>564/03</t>
  </si>
  <si>
    <t>IL PEPE FINTO</t>
  </si>
  <si>
    <t>827/03</t>
  </si>
  <si>
    <t>EXECUTIVE</t>
  </si>
  <si>
    <t>Conguaglio post-verifica sul III sal</t>
  </si>
  <si>
    <t>Tomaselli, Piscopiello, Pugliese, Gullotta</t>
  </si>
  <si>
    <t>N.ro 15 nominativi</t>
  </si>
  <si>
    <t>Elia Valerio</t>
  </si>
  <si>
    <t>De Giorgi</t>
  </si>
  <si>
    <t>Greco Nunzia, Buongiorno Maria</t>
  </si>
  <si>
    <t>Frisullo, Chiriatti, Tremolizzo, Negro</t>
  </si>
  <si>
    <t>Bartoli, Lassandro, Abbattista</t>
  </si>
  <si>
    <t>Chiaromonte, Pellegrino</t>
  </si>
  <si>
    <t>TOT SAL 4</t>
  </si>
  <si>
    <t>SAL 4</t>
  </si>
  <si>
    <t xml:space="preserve">conguaglio per errata somma in tabella riepilogativa II sal </t>
  </si>
  <si>
    <t>Non ammesse spese per opere murarie</t>
  </si>
  <si>
    <t>Non ammesse. Via Tridente 2/I ??</t>
  </si>
  <si>
    <t>Spesa inferiore a 516,46 inammissibile.</t>
  </si>
  <si>
    <t>spese telefoniche da cellulare di personale non imputato al progetto</t>
  </si>
  <si>
    <t>spese relative a personale non in missione e imputato sul progetto</t>
  </si>
  <si>
    <t>Indicare la percentuale di addebito sul progetto e le sedi di sviluppo delle attività se V.le Einaudi 51 (sede legale CNA) ovvero via Tridente.</t>
  </si>
  <si>
    <t>Indicare la percentuale di addebito sul progetto. Indicare sede operativa  (V.le Einaudi 51 o via Tridente e comunque non sono ammissibili le spese di bolli e registrazione contratto (Euro 507,72)</t>
  </si>
  <si>
    <t>Pagamenti in contanti non ammessi</t>
  </si>
  <si>
    <t>ammesse solo spese per fotocopiatore</t>
  </si>
  <si>
    <t>ammesse provvisoriamente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</si>
</sst>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</numFmts>
  <fonts count="16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right" wrapText="1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8" applyNumberFormat="1" applyFont="1" applyFill="1" applyBorder="1" applyAlignment="1">
      <alignment horizontal="right"/>
    </xf>
    <xf numFmtId="171" fontId="3" fillId="0" borderId="2" xfId="18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6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4" fillId="0" borderId="6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4" fontId="1" fillId="0" borderId="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2" xfId="0" applyNumberFormat="1" applyFont="1" applyBorder="1" applyAlignment="1">
      <alignment wrapText="1"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3" xfId="0" applyNumberFormat="1" applyFont="1" applyBorder="1" applyAlignment="1" applyProtection="1">
      <alignment horizontal="right"/>
      <protection/>
    </xf>
    <xf numFmtId="43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2" xfId="0" applyFont="1" applyFill="1" applyBorder="1" applyAlignment="1">
      <alignment wrapText="1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4" fillId="0" borderId="0" xfId="0" applyNumberFormat="1" applyFont="1" applyBorder="1" applyAlignment="1" quotePrefix="1">
      <alignment horizontal="left"/>
    </xf>
    <xf numFmtId="4" fontId="10" fillId="0" borderId="0" xfId="0" applyNumberFormat="1" applyFont="1" applyBorder="1" applyAlignment="1">
      <alignment/>
    </xf>
    <xf numFmtId="16" fontId="3" fillId="0" borderId="2" xfId="0" applyNumberFormat="1" applyFont="1" applyBorder="1" applyAlignment="1" quotePrefix="1">
      <alignment wrapText="1"/>
    </xf>
    <xf numFmtId="0" fontId="3" fillId="0" borderId="2" xfId="0" applyFont="1" applyFill="1" applyBorder="1" applyAlignment="1" quotePrefix="1">
      <alignment wrapText="1"/>
    </xf>
    <xf numFmtId="16" fontId="3" fillId="0" borderId="2" xfId="0" applyNumberFormat="1" applyFont="1" applyBorder="1" applyAlignment="1" quotePrefix="1">
      <alignment horizontal="center"/>
    </xf>
    <xf numFmtId="0" fontId="1" fillId="3" borderId="4" xfId="0" applyFont="1" applyFill="1" applyBorder="1" applyAlignment="1">
      <alignment horizontal="left"/>
    </xf>
    <xf numFmtId="4" fontId="4" fillId="0" borderId="2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4" fontId="3" fillId="0" borderId="2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" fontId="3" fillId="0" borderId="2" xfId="0" applyNumberFormat="1" applyFont="1" applyFill="1" applyBorder="1" applyAlignment="1">
      <alignment wrapText="1"/>
    </xf>
    <xf numFmtId="0" fontId="3" fillId="0" borderId="2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 horizontal="left" wrapText="1"/>
    </xf>
    <xf numFmtId="4" fontId="2" fillId="0" borderId="5" xfId="0" applyNumberFormat="1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14" fontId="3" fillId="4" borderId="2" xfId="0" applyNumberFormat="1" applyFont="1" applyFill="1" applyBorder="1" applyAlignment="1">
      <alignment/>
    </xf>
    <xf numFmtId="14" fontId="3" fillId="4" borderId="2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0" fontId="9" fillId="5" borderId="0" xfId="0" applyFont="1" applyFill="1" applyBorder="1" applyAlignment="1">
      <alignment/>
    </xf>
    <xf numFmtId="4" fontId="4" fillId="5" borderId="1" xfId="0" applyNumberFormat="1" applyFont="1" applyFill="1" applyBorder="1" applyAlignment="1" applyProtection="1">
      <alignment horizontal="right"/>
      <protection/>
    </xf>
    <xf numFmtId="4" fontId="5" fillId="5" borderId="4" xfId="0" applyNumberFormat="1" applyFont="1" applyFill="1" applyBorder="1" applyAlignment="1" applyProtection="1">
      <alignment horizontal="right"/>
      <protection/>
    </xf>
    <xf numFmtId="4" fontId="7" fillId="5" borderId="4" xfId="0" applyNumberFormat="1" applyFont="1" applyFill="1" applyBorder="1" applyAlignment="1" applyProtection="1">
      <alignment horizontal="right"/>
      <protection/>
    </xf>
    <xf numFmtId="0" fontId="8" fillId="5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/>
    </xf>
    <xf numFmtId="4" fontId="4" fillId="5" borderId="2" xfId="0" applyNumberFormat="1" applyFont="1" applyFill="1" applyBorder="1" applyAlignment="1" applyProtection="1">
      <alignment horizontal="right"/>
      <protection/>
    </xf>
    <xf numFmtId="4" fontId="5" fillId="5" borderId="2" xfId="0" applyNumberFormat="1" applyFont="1" applyFill="1" applyBorder="1" applyAlignment="1" applyProtection="1">
      <alignment horizontal="right"/>
      <protection/>
    </xf>
    <xf numFmtId="4" fontId="7" fillId="5" borderId="2" xfId="0" applyNumberFormat="1" applyFont="1" applyFill="1" applyBorder="1" applyAlignment="1" applyProtection="1">
      <alignment horizontal="right"/>
      <protection/>
    </xf>
    <xf numFmtId="4" fontId="4" fillId="5" borderId="9" xfId="0" applyNumberFormat="1" applyFont="1" applyFill="1" applyBorder="1" applyAlignment="1" applyProtection="1">
      <alignment horizontal="right"/>
      <protection/>
    </xf>
    <xf numFmtId="170" fontId="3" fillId="5" borderId="2" xfId="0" applyNumberFormat="1" applyFont="1" applyFill="1" applyBorder="1" applyAlignment="1">
      <alignment/>
    </xf>
    <xf numFmtId="171" fontId="3" fillId="5" borderId="2" xfId="18" applyNumberFormat="1" applyFont="1" applyFill="1" applyBorder="1" applyAlignment="1">
      <alignment horizontal="right"/>
    </xf>
    <xf numFmtId="4" fontId="3" fillId="5" borderId="2" xfId="0" applyNumberFormat="1" applyFont="1" applyFill="1" applyBorder="1" applyAlignment="1">
      <alignment wrapText="1"/>
    </xf>
    <xf numFmtId="0" fontId="8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/>
    </xf>
    <xf numFmtId="4" fontId="9" fillId="5" borderId="2" xfId="0" applyNumberFormat="1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/>
    </xf>
    <xf numFmtId="4" fontId="5" fillId="5" borderId="2" xfId="0" applyNumberFormat="1" applyFont="1" applyFill="1" applyBorder="1" applyAlignment="1">
      <alignment/>
    </xf>
    <xf numFmtId="4" fontId="7" fillId="5" borderId="2" xfId="0" applyNumberFormat="1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3" fillId="4" borderId="2" xfId="0" applyFont="1" applyFill="1" applyBorder="1" applyAlignment="1" quotePrefix="1">
      <alignment wrapText="1"/>
    </xf>
    <xf numFmtId="14" fontId="3" fillId="4" borderId="2" xfId="0" applyNumberFormat="1" applyFont="1" applyFill="1" applyBorder="1" applyAlignment="1">
      <alignment wrapText="1"/>
    </xf>
    <xf numFmtId="4" fontId="3" fillId="4" borderId="2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/>
    </xf>
    <xf numFmtId="14" fontId="3" fillId="6" borderId="2" xfId="0" applyNumberFormat="1" applyFont="1" applyFill="1" applyBorder="1" applyAlignment="1">
      <alignment/>
    </xf>
    <xf numFmtId="14" fontId="3" fillId="6" borderId="2" xfId="0" applyNumberFormat="1" applyFont="1" applyFill="1" applyBorder="1" applyAlignment="1">
      <alignment/>
    </xf>
    <xf numFmtId="4" fontId="3" fillId="6" borderId="2" xfId="0" applyNumberFormat="1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14" xfId="0" applyFont="1" applyFill="1" applyBorder="1" applyAlignment="1">
      <alignment horizontal="center"/>
    </xf>
    <xf numFmtId="0" fontId="3" fillId="6" borderId="5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2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9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1" fontId="3" fillId="0" borderId="9" xfId="0" applyNumberFormat="1" applyFont="1" applyBorder="1" applyAlignment="1" quotePrefix="1">
      <alignment horizontal="right" wrapText="1"/>
    </xf>
    <xf numFmtId="2" fontId="3" fillId="0" borderId="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" xfId="0" applyNumberFormat="1" applyFont="1" applyBorder="1" applyAlignment="1" quotePrefix="1">
      <alignment horizontal="right" wrapText="1"/>
    </xf>
    <xf numFmtId="14" fontId="3" fillId="0" borderId="10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 quotePrefix="1">
      <alignment horizontal="right"/>
    </xf>
    <xf numFmtId="4" fontId="3" fillId="6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horizontal="right" wrapText="1"/>
    </xf>
    <xf numFmtId="14" fontId="3" fillId="6" borderId="2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4" fillId="0" borderId="6" xfId="0" applyNumberFormat="1" applyFont="1" applyBorder="1" applyAlignment="1" applyProtection="1">
      <alignment horizontal="right"/>
      <protection/>
    </xf>
    <xf numFmtId="4" fontId="3" fillId="4" borderId="14" xfId="0" applyNumberFormat="1" applyFont="1" applyFill="1" applyBorder="1" applyAlignment="1">
      <alignment horizontal="left" wrapText="1"/>
    </xf>
    <xf numFmtId="4" fontId="3" fillId="4" borderId="5" xfId="0" applyNumberFormat="1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4" fontId="3" fillId="6" borderId="14" xfId="0" applyNumberFormat="1" applyFont="1" applyFill="1" applyBorder="1" applyAlignment="1">
      <alignment horizontal="left" wrapText="1"/>
    </xf>
    <xf numFmtId="4" fontId="3" fillId="6" borderId="5" xfId="0" applyNumberFormat="1" applyFont="1" applyFill="1" applyBorder="1" applyAlignment="1">
      <alignment horizontal="left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4" fontId="4" fillId="0" borderId="16" xfId="0" applyNumberFormat="1" applyFont="1" applyBorder="1" applyAlignment="1" applyProtection="1">
      <alignment horizontal="right"/>
      <protection/>
    </xf>
    <xf numFmtId="0" fontId="8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3" fillId="0" borderId="14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0" fontId="1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0" xfId="0" applyFont="1" applyFill="1" applyBorder="1" applyAlignment="1">
      <alignment/>
    </xf>
    <xf numFmtId="0" fontId="3" fillId="7" borderId="2" xfId="0" applyFont="1" applyFill="1" applyBorder="1" applyAlignment="1">
      <alignment wrapText="1"/>
    </xf>
    <xf numFmtId="4" fontId="3" fillId="7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horizontal="right" wrapText="1"/>
    </xf>
    <xf numFmtId="14" fontId="3" fillId="7" borderId="2" xfId="0" applyNumberFormat="1" applyFont="1" applyFill="1" applyBorder="1" applyAlignment="1">
      <alignment wrapText="1"/>
    </xf>
    <xf numFmtId="4" fontId="3" fillId="7" borderId="2" xfId="0" applyNumberFormat="1" applyFont="1" applyFill="1" applyBorder="1" applyAlignment="1">
      <alignment/>
    </xf>
    <xf numFmtId="4" fontId="3" fillId="7" borderId="14" xfId="0" applyNumberFormat="1" applyFont="1" applyFill="1" applyBorder="1" applyAlignment="1">
      <alignment wrapText="1"/>
    </xf>
    <xf numFmtId="4" fontId="3" fillId="7" borderId="5" xfId="0" applyNumberFormat="1" applyFont="1" applyFill="1" applyBorder="1" applyAlignment="1">
      <alignment wrapText="1"/>
    </xf>
    <xf numFmtId="9" fontId="10" fillId="0" borderId="17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showGridLines="0" showZeros="0" tabSelected="1" zoomScale="85" zoomScaleNormal="85" workbookViewId="0" topLeftCell="A1">
      <pane xSplit="1" ySplit="7" topLeftCell="J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7" sqref="S17:T17"/>
    </sheetView>
  </sheetViews>
  <sheetFormatPr defaultColWidth="9.140625" defaultRowHeight="12.75"/>
  <cols>
    <col min="1" max="1" width="3.7109375" style="1" customWidth="1"/>
    <col min="2" max="2" width="3.57421875" style="61" customWidth="1"/>
    <col min="3" max="3" width="13.140625" style="2" customWidth="1"/>
    <col min="4" max="4" width="17.57421875" style="2" customWidth="1"/>
    <col min="5" max="5" width="16.7109375" style="2" customWidth="1"/>
    <col min="6" max="6" width="7.7109375" style="2" customWidth="1"/>
    <col min="7" max="7" width="10.00390625" style="2" customWidth="1"/>
    <col min="8" max="8" width="9.7109375" style="2" customWidth="1"/>
    <col min="9" max="9" width="9.421875" style="2" customWidth="1"/>
    <col min="10" max="10" width="8.28125" style="2" customWidth="1"/>
    <col min="11" max="11" width="9.00390625" style="2" customWidth="1"/>
    <col min="12" max="12" width="10.57421875" style="120" customWidth="1"/>
    <col min="13" max="13" width="12.28125" style="2" customWidth="1"/>
    <col min="14" max="14" width="10.57421875" style="2" customWidth="1"/>
    <col min="15" max="15" width="12.28125" style="120" customWidth="1"/>
    <col min="16" max="16" width="11.8515625" style="2" customWidth="1"/>
    <col min="17" max="17" width="9.140625" style="2" customWidth="1"/>
    <col min="18" max="18" width="10.57421875" style="120" customWidth="1"/>
    <col min="19" max="19" width="11.140625" style="2" customWidth="1"/>
    <col min="20" max="20" width="14.57421875" style="29" customWidth="1"/>
    <col min="21" max="21" width="12.57421875" style="2" bestFit="1" customWidth="1"/>
    <col min="22" max="16384" width="9.140625" style="2" customWidth="1"/>
  </cols>
  <sheetData>
    <row r="1" spans="1:20" s="1" customFormat="1" ht="18">
      <c r="A1" s="219" t="s">
        <v>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</row>
    <row r="2" spans="1:21" ht="12.75" customHeight="1">
      <c r="A2" s="75"/>
      <c r="B2" s="70"/>
      <c r="C2" s="71" t="s">
        <v>0</v>
      </c>
      <c r="D2" s="77" t="s">
        <v>41</v>
      </c>
      <c r="E2" s="66" t="s">
        <v>34</v>
      </c>
      <c r="F2" s="240">
        <f>+M10+M60+M70+M81+M92+M103+M114</f>
        <v>3842070</v>
      </c>
      <c r="G2" s="240"/>
      <c r="H2" s="238">
        <f>M2/F2</f>
        <v>0.17974965318174838</v>
      </c>
      <c r="I2" s="68" t="s">
        <v>33</v>
      </c>
      <c r="J2" s="69">
        <v>38231</v>
      </c>
      <c r="K2" s="78">
        <f>F4</f>
        <v>2654.5</v>
      </c>
      <c r="L2" s="106" t="s">
        <v>30</v>
      </c>
      <c r="M2" s="60">
        <f>SUM(M3:M8)</f>
        <v>690610.75</v>
      </c>
      <c r="N2" s="60">
        <f aca="true" t="shared" si="0" ref="N2:T2">SUM(N3:N8)</f>
        <v>416.4000000000001</v>
      </c>
      <c r="O2" s="121">
        <f t="shared" si="0"/>
        <v>691027.15</v>
      </c>
      <c r="P2" s="60">
        <f t="shared" si="0"/>
        <v>448896.98750000005</v>
      </c>
      <c r="Q2" s="60">
        <f t="shared" si="0"/>
        <v>270.6600000000001</v>
      </c>
      <c r="R2" s="121">
        <f t="shared" si="0"/>
        <v>449167.6475</v>
      </c>
      <c r="S2" s="60">
        <f t="shared" si="0"/>
        <v>168437.86781250004</v>
      </c>
      <c r="T2" s="60">
        <f t="shared" si="0"/>
        <v>280729.77968750003</v>
      </c>
      <c r="U2" s="105"/>
    </row>
    <row r="3" spans="1:21" s="30" customFormat="1" ht="12.75" customHeight="1">
      <c r="A3" s="57"/>
      <c r="B3" s="70"/>
      <c r="C3" s="36" t="s">
        <v>42</v>
      </c>
      <c r="D3" s="37"/>
      <c r="E3" s="73" t="s">
        <v>35</v>
      </c>
      <c r="F3" s="241">
        <v>2497345.5</v>
      </c>
      <c r="G3" s="241"/>
      <c r="H3" s="84">
        <f>P2/F3</f>
        <v>0.1797496531817484</v>
      </c>
      <c r="J3" s="72" t="s">
        <v>38</v>
      </c>
      <c r="K3" s="60">
        <f>Q2</f>
        <v>270.6600000000001</v>
      </c>
      <c r="L3" s="106" t="s">
        <v>31</v>
      </c>
      <c r="M3" s="60">
        <f>M11+M61+M71+M82+M93+M104+M115</f>
        <v>241550.03</v>
      </c>
      <c r="N3" s="60">
        <f>N11+N61+N71+N82+N93+N104+N115</f>
        <v>0</v>
      </c>
      <c r="O3" s="121">
        <f>O11+O61+O71+O82+O93+O104+O115</f>
        <v>241550.03</v>
      </c>
      <c r="P3" s="60">
        <f>P11+P61+P71+P82+P93+P104+P115</f>
        <v>157007.51950000002</v>
      </c>
      <c r="Q3" s="60">
        <f>Q11+Q61+Q71+Q82+Q93+Q104+Q115</f>
        <v>0</v>
      </c>
      <c r="R3" s="121">
        <f>R11+R61+R71+R82+R93+R104+R115</f>
        <v>157007.51950000002</v>
      </c>
      <c r="S3" s="60">
        <f>S11+S61+S71+S82+S93+S104+S115</f>
        <v>58877.81981250001</v>
      </c>
      <c r="T3" s="60">
        <f>T11+T61+T71+T82+T93+T104+T115</f>
        <v>98129.69968750003</v>
      </c>
      <c r="U3" s="74">
        <f>157007.5195-R3</f>
        <v>0</v>
      </c>
    </row>
    <row r="4" spans="1:21" s="30" customFormat="1" ht="12.75" customHeight="1">
      <c r="A4" s="57"/>
      <c r="B4" s="70"/>
      <c r="C4" s="36" t="s">
        <v>117</v>
      </c>
      <c r="D4" s="37"/>
      <c r="E4" s="73" t="s">
        <v>36</v>
      </c>
      <c r="F4" s="241">
        <f>F5-F3</f>
        <v>2654.5</v>
      </c>
      <c r="G4" s="241"/>
      <c r="H4" s="84">
        <f>Q2/F4</f>
        <v>0.10196270484083635</v>
      </c>
      <c r="J4" s="73" t="s">
        <v>39</v>
      </c>
      <c r="K4" s="74">
        <f>K2-K3</f>
        <v>2383.84</v>
      </c>
      <c r="L4" s="106" t="s">
        <v>32</v>
      </c>
      <c r="M4" s="60">
        <f>M12+M62+M72+M83+M94+M105+M116</f>
        <v>195351.37000000002</v>
      </c>
      <c r="N4" s="60">
        <f>N12+N62+N72+N83+N94+N105+N116</f>
        <v>0</v>
      </c>
      <c r="O4" s="121">
        <f>O12+O62+O72+O83+O94+O105+O116</f>
        <v>195351.37000000002</v>
      </c>
      <c r="P4" s="60">
        <f>P12+P62+P72+P83+P94+P105+P116</f>
        <v>126978.39050000002</v>
      </c>
      <c r="Q4" s="60">
        <f>Q12+Q62+Q72+Q83+Q94+Q105+Q116</f>
        <v>0</v>
      </c>
      <c r="R4" s="121">
        <f>R12+R62+R72+R83+R94+R105+R116</f>
        <v>126978.39050000002</v>
      </c>
      <c r="S4" s="60">
        <f>S12+S62+S72+S83+S94+S105+S116</f>
        <v>47616.89643750001</v>
      </c>
      <c r="T4" s="60">
        <f>T12+T62+T72+T83+T94+T105+T116</f>
        <v>79361.4940625</v>
      </c>
      <c r="U4" s="74">
        <f>126978.3905-R4</f>
        <v>0</v>
      </c>
    </row>
    <row r="5" spans="1:21" s="30" customFormat="1" ht="12.75" customHeight="1">
      <c r="A5" s="57"/>
      <c r="B5" s="70"/>
      <c r="C5" s="36" t="s">
        <v>118</v>
      </c>
      <c r="D5" s="37"/>
      <c r="E5" s="73" t="s">
        <v>37</v>
      </c>
      <c r="F5" s="241">
        <v>2500000</v>
      </c>
      <c r="G5" s="241"/>
      <c r="H5" s="84">
        <f>R2/F5</f>
        <v>0.17966705900000002</v>
      </c>
      <c r="L5" s="106" t="s">
        <v>129</v>
      </c>
      <c r="M5" s="60">
        <f>M13+M63+M73+M84+M95+M106+M117</f>
        <v>230177.01</v>
      </c>
      <c r="N5" s="60">
        <f>N13+N63+N73+N84+N95+N106+N117</f>
        <v>3157.2</v>
      </c>
      <c r="O5" s="121">
        <f>O13+O63+O73+O84+O95+O106+O117</f>
        <v>233334.21000000002</v>
      </c>
      <c r="P5" s="60">
        <f>P13+P63+P73+P84+P95+P106+P117</f>
        <v>149615.0565</v>
      </c>
      <c r="Q5" s="60">
        <f>Q13+Q63+Q73+Q84+Q95+Q106+Q117</f>
        <v>2052.18</v>
      </c>
      <c r="R5" s="121">
        <f>R13+R63+R73+R84+R95+R106+R117</f>
        <v>151667.2365</v>
      </c>
      <c r="S5" s="60">
        <f>S13+S63+S73+S84+S95+S106+S117</f>
        <v>56875.2136875</v>
      </c>
      <c r="T5" s="60">
        <f>T13+T63+T73+T84+T95+T106+T117</f>
        <v>94792.02281250001</v>
      </c>
      <c r="U5" s="74">
        <f>151667.2365-R5</f>
        <v>0</v>
      </c>
    </row>
    <row r="6" spans="1:21" s="30" customFormat="1" ht="11.25">
      <c r="A6" s="57"/>
      <c r="B6" s="70"/>
      <c r="C6" s="36"/>
      <c r="D6" s="37"/>
      <c r="E6" s="73"/>
      <c r="F6" s="39"/>
      <c r="G6" s="72"/>
      <c r="H6" s="84"/>
      <c r="L6" s="106" t="s">
        <v>235</v>
      </c>
      <c r="M6" s="60">
        <f>M14+M64+M74+M85+M96+M107+M118</f>
        <v>23532.339999999967</v>
      </c>
      <c r="N6" s="60">
        <f>N14+N64+N74+N85+N96+N107+N118</f>
        <v>-2740.7999999999997</v>
      </c>
      <c r="O6" s="121">
        <f>O14+O64+O74+O85+O96+O107+O118</f>
        <v>20791.539999999968</v>
      </c>
      <c r="P6" s="60">
        <f>P14+P64+P74+P85+P96+P107+P118</f>
        <v>15296.020999999979</v>
      </c>
      <c r="Q6" s="60">
        <f>Q14+Q64+Q74+Q85+Q96+Q107+Q118</f>
        <v>-1781.5199999999998</v>
      </c>
      <c r="R6" s="121">
        <f>R14+R64+R74+R85+R96+R107+R118</f>
        <v>13514.500999999978</v>
      </c>
      <c r="S6" s="60">
        <f>S14+S64+S74+S85+S96+S107+S118</f>
        <v>5067.937874999992</v>
      </c>
      <c r="T6" s="60">
        <f>T14+T64+T74+T85+T96+T107+T118</f>
        <v>8446.563124999986</v>
      </c>
      <c r="U6" s="74"/>
    </row>
    <row r="7" spans="1:20" s="30" customFormat="1" ht="11.25">
      <c r="A7" s="57"/>
      <c r="B7" s="70"/>
      <c r="C7" s="36"/>
      <c r="D7" s="37"/>
      <c r="E7" s="38"/>
      <c r="F7" s="39"/>
      <c r="G7" s="72"/>
      <c r="H7" s="40"/>
      <c r="L7" s="106"/>
      <c r="M7" s="60"/>
      <c r="N7" s="60"/>
      <c r="O7" s="121"/>
      <c r="P7" s="60"/>
      <c r="Q7" s="60"/>
      <c r="R7" s="121"/>
      <c r="S7" s="60"/>
      <c r="T7" s="60"/>
    </row>
    <row r="8" spans="1:20" s="30" customFormat="1" ht="11.25">
      <c r="A8" s="57"/>
      <c r="B8" s="76"/>
      <c r="D8" s="37"/>
      <c r="E8" s="38"/>
      <c r="F8" s="39"/>
      <c r="G8" s="39"/>
      <c r="H8" s="40"/>
      <c r="L8" s="106"/>
      <c r="M8" s="60"/>
      <c r="N8" s="60"/>
      <c r="O8" s="121"/>
      <c r="P8" s="60"/>
      <c r="Q8" s="60"/>
      <c r="R8" s="121"/>
      <c r="S8" s="60"/>
      <c r="T8" s="60"/>
    </row>
    <row r="9" spans="1:20" ht="12.75">
      <c r="A9" s="181" t="s">
        <v>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  <c r="M9" s="82" t="s">
        <v>107</v>
      </c>
      <c r="N9" s="28" t="s">
        <v>108</v>
      </c>
      <c r="O9" s="122" t="s">
        <v>109</v>
      </c>
      <c r="P9" s="28" t="s">
        <v>110</v>
      </c>
      <c r="Q9" s="28" t="s">
        <v>111</v>
      </c>
      <c r="R9" s="122" t="s">
        <v>112</v>
      </c>
      <c r="S9" s="32" t="s">
        <v>25</v>
      </c>
      <c r="T9" s="33" t="s">
        <v>26</v>
      </c>
    </row>
    <row r="10" spans="1:18" s="1" customFormat="1" ht="11.25">
      <c r="A10" s="211"/>
      <c r="B10" s="212"/>
      <c r="C10" s="52"/>
      <c r="D10" s="42"/>
      <c r="E10" s="42"/>
      <c r="F10" s="42"/>
      <c r="G10" s="42"/>
      <c r="H10" s="42"/>
      <c r="I10" s="42"/>
      <c r="J10" s="42"/>
      <c r="K10" s="53"/>
      <c r="L10" s="107" t="s">
        <v>12</v>
      </c>
      <c r="M10" s="3">
        <f>2688.633*1000</f>
        <v>2688633</v>
      </c>
      <c r="N10" s="3"/>
      <c r="O10" s="123">
        <f>SUM(M10:N10)</f>
        <v>2688633</v>
      </c>
      <c r="P10" s="83">
        <f>M10*0.65</f>
        <v>1747611.45</v>
      </c>
      <c r="Q10" s="3"/>
      <c r="R10" s="123">
        <f>SUM(P10:Q10)</f>
        <v>1747611.45</v>
      </c>
    </row>
    <row r="11" spans="1:20" s="1" customFormat="1" ht="11.25">
      <c r="A11" s="211"/>
      <c r="B11" s="212"/>
      <c r="C11" s="44"/>
      <c r="D11" s="43"/>
      <c r="E11" s="43"/>
      <c r="F11" s="43"/>
      <c r="G11" s="43"/>
      <c r="H11" s="43"/>
      <c r="I11" s="43"/>
      <c r="J11" s="43"/>
      <c r="K11" s="4">
        <f>SUM(K17:K29)</f>
        <v>0</v>
      </c>
      <c r="L11" s="108" t="s">
        <v>28</v>
      </c>
      <c r="M11" s="4">
        <f aca="true" t="shared" si="1" ref="M11:R11">SUM(M17:M29)</f>
        <v>225440.84</v>
      </c>
      <c r="N11" s="4">
        <f t="shared" si="1"/>
        <v>0</v>
      </c>
      <c r="O11" s="124">
        <f t="shared" si="1"/>
        <v>225440.84</v>
      </c>
      <c r="P11" s="4">
        <f t="shared" si="1"/>
        <v>146536.54600000003</v>
      </c>
      <c r="Q11" s="4">
        <f t="shared" si="1"/>
        <v>0</v>
      </c>
      <c r="R11" s="124">
        <f t="shared" si="1"/>
        <v>146536.54600000003</v>
      </c>
      <c r="S11" s="5">
        <f>R11*0.375</f>
        <v>54951.20475000001</v>
      </c>
      <c r="T11" s="5">
        <f>R11-S11</f>
        <v>91585.34125000003</v>
      </c>
    </row>
    <row r="12" spans="1:20" s="1" customFormat="1" ht="11.25">
      <c r="A12" s="211"/>
      <c r="B12" s="212"/>
      <c r="C12" s="44"/>
      <c r="D12" s="43"/>
      <c r="E12" s="43"/>
      <c r="F12" s="43"/>
      <c r="G12" s="43"/>
      <c r="H12" s="43"/>
      <c r="I12" s="43"/>
      <c r="J12" s="43"/>
      <c r="K12" s="45"/>
      <c r="L12" s="108" t="s">
        <v>29</v>
      </c>
      <c r="M12" s="4">
        <f aca="true" t="shared" si="2" ref="M12:R12">+M30</f>
        <v>195146.49000000002</v>
      </c>
      <c r="N12" s="4">
        <f t="shared" si="2"/>
        <v>0</v>
      </c>
      <c r="O12" s="124">
        <f t="shared" si="2"/>
        <v>195146.49000000002</v>
      </c>
      <c r="P12" s="4">
        <f t="shared" si="2"/>
        <v>126845.21850000002</v>
      </c>
      <c r="Q12" s="4">
        <f t="shared" si="2"/>
        <v>0</v>
      </c>
      <c r="R12" s="124">
        <f t="shared" si="2"/>
        <v>126845.21850000002</v>
      </c>
      <c r="S12" s="5">
        <f>R12*0.375</f>
        <v>47566.95693750001</v>
      </c>
      <c r="T12" s="5">
        <f>R12-S12</f>
        <v>79278.2615625</v>
      </c>
    </row>
    <row r="13" spans="1:20" s="1" customFormat="1" ht="11.25">
      <c r="A13" s="211"/>
      <c r="B13" s="212"/>
      <c r="C13" s="44"/>
      <c r="D13" s="43"/>
      <c r="E13" s="43"/>
      <c r="F13" s="43"/>
      <c r="G13" s="43"/>
      <c r="H13" s="43"/>
      <c r="I13" s="43"/>
      <c r="J13" s="43"/>
      <c r="K13" s="45"/>
      <c r="L13" s="108" t="s">
        <v>124</v>
      </c>
      <c r="M13" s="4">
        <f aca="true" t="shared" si="3" ref="M13:R13">+M44</f>
        <v>214391.01</v>
      </c>
      <c r="N13" s="4">
        <f t="shared" si="3"/>
        <v>0</v>
      </c>
      <c r="O13" s="124">
        <f t="shared" si="3"/>
        <v>214391.01</v>
      </c>
      <c r="P13" s="4">
        <f t="shared" si="3"/>
        <v>139354.1565</v>
      </c>
      <c r="Q13" s="4">
        <f t="shared" si="3"/>
        <v>0</v>
      </c>
      <c r="R13" s="124">
        <f t="shared" si="3"/>
        <v>139354.1565</v>
      </c>
      <c r="S13" s="5">
        <f>R13*0.375</f>
        <v>52257.8086875</v>
      </c>
      <c r="T13" s="5">
        <f>R13-S13</f>
        <v>87096.34781250001</v>
      </c>
    </row>
    <row r="14" spans="1:20" s="1" customFormat="1" ht="11.25">
      <c r="A14" s="211"/>
      <c r="B14" s="212"/>
      <c r="C14" s="44"/>
      <c r="D14" s="43"/>
      <c r="E14" s="43"/>
      <c r="F14" s="43"/>
      <c r="G14" s="43"/>
      <c r="H14" s="43"/>
      <c r="I14" s="43"/>
      <c r="J14" s="43"/>
      <c r="K14" s="45"/>
      <c r="L14" s="108" t="s">
        <v>236</v>
      </c>
      <c r="M14" s="4">
        <f aca="true" t="shared" si="4" ref="M14:R14">+M56</f>
        <v>37167.33999999997</v>
      </c>
      <c r="N14" s="4">
        <f t="shared" si="4"/>
        <v>0</v>
      </c>
      <c r="O14" s="124">
        <f t="shared" si="4"/>
        <v>37167.33999999997</v>
      </c>
      <c r="P14" s="4">
        <f t="shared" si="4"/>
        <v>24158.77099999998</v>
      </c>
      <c r="Q14" s="4">
        <f t="shared" si="4"/>
        <v>0</v>
      </c>
      <c r="R14" s="124">
        <f t="shared" si="4"/>
        <v>24158.77099999998</v>
      </c>
      <c r="S14" s="5">
        <f>R14*0.375</f>
        <v>9059.539124999992</v>
      </c>
      <c r="T14" s="5">
        <f>R14-S14</f>
        <v>15099.231874999987</v>
      </c>
    </row>
    <row r="15" spans="1:20" s="1" customFormat="1" ht="11.25">
      <c r="A15" s="213"/>
      <c r="B15" s="214"/>
      <c r="C15" s="46"/>
      <c r="D15" s="47"/>
      <c r="E15" s="47"/>
      <c r="F15" s="47"/>
      <c r="G15" s="47"/>
      <c r="H15" s="47"/>
      <c r="I15" s="47"/>
      <c r="J15" s="47"/>
      <c r="K15" s="48"/>
      <c r="L15" s="109" t="s">
        <v>13</v>
      </c>
      <c r="M15" s="6">
        <f aca="true" t="shared" si="5" ref="M15:R15">M10-M11-M12-M13</f>
        <v>2053654.66</v>
      </c>
      <c r="N15" s="6">
        <f t="shared" si="5"/>
        <v>0</v>
      </c>
      <c r="O15" s="125">
        <f t="shared" si="5"/>
        <v>2053654.66</v>
      </c>
      <c r="P15" s="6">
        <f t="shared" si="5"/>
        <v>1334875.5289999999</v>
      </c>
      <c r="Q15" s="6">
        <f t="shared" si="5"/>
        <v>0</v>
      </c>
      <c r="R15" s="125">
        <f t="shared" si="5"/>
        <v>1334875.5289999999</v>
      </c>
      <c r="S15" s="35"/>
      <c r="T15" s="35"/>
    </row>
    <row r="16" spans="1:20" ht="33.75">
      <c r="A16" s="7" t="s">
        <v>14</v>
      </c>
      <c r="B16" s="7" t="s">
        <v>11</v>
      </c>
      <c r="C16" s="34" t="s">
        <v>24</v>
      </c>
      <c r="D16" s="34" t="s">
        <v>20</v>
      </c>
      <c r="E16" s="41" t="s">
        <v>2</v>
      </c>
      <c r="F16" s="34" t="s">
        <v>19</v>
      </c>
      <c r="G16" s="34" t="s">
        <v>18</v>
      </c>
      <c r="H16" s="41" t="s">
        <v>17</v>
      </c>
      <c r="I16" s="41" t="s">
        <v>16</v>
      </c>
      <c r="J16" s="34" t="s">
        <v>3</v>
      </c>
      <c r="K16" s="34" t="s">
        <v>4</v>
      </c>
      <c r="L16" s="110" t="s">
        <v>5</v>
      </c>
      <c r="M16" s="7" t="s">
        <v>21</v>
      </c>
      <c r="N16" s="7" t="s">
        <v>88</v>
      </c>
      <c r="O16" s="110" t="s">
        <v>90</v>
      </c>
      <c r="P16" s="7" t="s">
        <v>22</v>
      </c>
      <c r="Q16" s="7" t="s">
        <v>91</v>
      </c>
      <c r="R16" s="110" t="s">
        <v>89</v>
      </c>
      <c r="S16" s="7" t="s">
        <v>27</v>
      </c>
      <c r="T16" s="7"/>
    </row>
    <row r="17" spans="1:20" ht="35.25" customHeight="1">
      <c r="A17" s="58" t="s">
        <v>15</v>
      </c>
      <c r="B17" s="8"/>
      <c r="C17" s="67" t="s">
        <v>133</v>
      </c>
      <c r="D17" s="9"/>
      <c r="E17" s="9"/>
      <c r="F17" s="9"/>
      <c r="G17" s="10"/>
      <c r="H17" s="11"/>
      <c r="I17" s="11"/>
      <c r="J17" s="12">
        <v>17479</v>
      </c>
      <c r="K17" s="12"/>
      <c r="L17" s="111">
        <f>SUM(J17:K17)</f>
        <v>17479</v>
      </c>
      <c r="M17" s="12">
        <f>L17</f>
        <v>17479</v>
      </c>
      <c r="N17" s="12"/>
      <c r="O17" s="111">
        <f>M17+N17</f>
        <v>17479</v>
      </c>
      <c r="P17" s="12">
        <f>M17*0.65</f>
        <v>11361.35</v>
      </c>
      <c r="Q17" s="12">
        <f>N17*0.65</f>
        <v>0</v>
      </c>
      <c r="R17" s="111">
        <f>P17+Q17</f>
        <v>11361.35</v>
      </c>
      <c r="S17" s="203" t="s">
        <v>92</v>
      </c>
      <c r="T17" s="204"/>
    </row>
    <row r="18" spans="1:20" ht="24" customHeight="1">
      <c r="A18" s="58" t="s">
        <v>15</v>
      </c>
      <c r="B18" s="8"/>
      <c r="C18" s="14" t="s">
        <v>85</v>
      </c>
      <c r="D18" s="9"/>
      <c r="E18" s="9"/>
      <c r="F18" s="9"/>
      <c r="G18" s="10"/>
      <c r="H18" s="11"/>
      <c r="I18" s="11"/>
      <c r="J18" s="12">
        <v>16322.08</v>
      </c>
      <c r="K18" s="12"/>
      <c r="L18" s="111">
        <f aca="true" t="shared" si="6" ref="L18:L29">SUM(J18:K18)</f>
        <v>16322.08</v>
      </c>
      <c r="M18" s="12">
        <f>L18</f>
        <v>16322.08</v>
      </c>
      <c r="N18" s="12"/>
      <c r="O18" s="111">
        <f aca="true" t="shared" si="7" ref="O18:O29">M18+N18</f>
        <v>16322.08</v>
      </c>
      <c r="P18" s="12">
        <f aca="true" t="shared" si="8" ref="P18:P29">M18*0.65</f>
        <v>10609.352</v>
      </c>
      <c r="Q18" s="12">
        <f aca="true" t="shared" si="9" ref="Q18:Q29">N18*0.65</f>
        <v>0</v>
      </c>
      <c r="R18" s="111">
        <f aca="true" t="shared" si="10" ref="R18:R29">P18+Q18</f>
        <v>10609.352</v>
      </c>
      <c r="S18" s="203" t="s">
        <v>97</v>
      </c>
      <c r="T18" s="204"/>
    </row>
    <row r="19" spans="1:20" ht="39.75" customHeight="1">
      <c r="A19" s="58" t="s">
        <v>15</v>
      </c>
      <c r="B19" s="8"/>
      <c r="C19" s="14" t="s">
        <v>44</v>
      </c>
      <c r="D19" s="9"/>
      <c r="E19" s="9"/>
      <c r="F19" s="9"/>
      <c r="G19" s="10"/>
      <c r="H19" s="11"/>
      <c r="I19" s="11"/>
      <c r="J19" s="12">
        <v>4695.92</v>
      </c>
      <c r="K19" s="12"/>
      <c r="L19" s="111">
        <f t="shared" si="6"/>
        <v>4695.92</v>
      </c>
      <c r="M19" s="31">
        <v>0</v>
      </c>
      <c r="N19" s="31"/>
      <c r="O19" s="111">
        <f t="shared" si="7"/>
        <v>0</v>
      </c>
      <c r="P19" s="12">
        <f t="shared" si="8"/>
        <v>0</v>
      </c>
      <c r="Q19" s="12">
        <f t="shared" si="9"/>
        <v>0</v>
      </c>
      <c r="R19" s="111">
        <f t="shared" si="10"/>
        <v>0</v>
      </c>
      <c r="S19" s="203" t="s">
        <v>95</v>
      </c>
      <c r="T19" s="204"/>
    </row>
    <row r="20" spans="1:20" ht="35.25" customHeight="1">
      <c r="A20" s="58" t="s">
        <v>15</v>
      </c>
      <c r="B20" s="8"/>
      <c r="C20" s="14" t="s">
        <v>86</v>
      </c>
      <c r="D20" s="9"/>
      <c r="E20" s="9"/>
      <c r="F20" s="9"/>
      <c r="G20" s="10"/>
      <c r="H20" s="11"/>
      <c r="I20" s="11"/>
      <c r="J20" s="12">
        <v>6738.43</v>
      </c>
      <c r="K20" s="12"/>
      <c r="L20" s="111">
        <f t="shared" si="6"/>
        <v>6738.43</v>
      </c>
      <c r="M20" s="12">
        <f aca="true" t="shared" si="11" ref="M20:M27">L20</f>
        <v>6738.43</v>
      </c>
      <c r="N20" s="12"/>
      <c r="O20" s="111">
        <f t="shared" si="7"/>
        <v>6738.43</v>
      </c>
      <c r="P20" s="12">
        <f t="shared" si="8"/>
        <v>4379.9795</v>
      </c>
      <c r="Q20" s="12">
        <f t="shared" si="9"/>
        <v>0</v>
      </c>
      <c r="R20" s="111">
        <f t="shared" si="10"/>
        <v>4379.9795</v>
      </c>
      <c r="S20" s="203" t="s">
        <v>98</v>
      </c>
      <c r="T20" s="204"/>
    </row>
    <row r="21" spans="1:20" ht="22.5" customHeight="1">
      <c r="A21" s="58" t="s">
        <v>15</v>
      </c>
      <c r="B21" s="8"/>
      <c r="C21" s="16" t="s">
        <v>137</v>
      </c>
      <c r="D21" s="9"/>
      <c r="E21" s="9"/>
      <c r="F21" s="9"/>
      <c r="G21" s="10"/>
      <c r="H21" s="11"/>
      <c r="I21" s="11"/>
      <c r="J21" s="12">
        <v>27757.6</v>
      </c>
      <c r="K21" s="12"/>
      <c r="L21" s="111">
        <f t="shared" si="6"/>
        <v>27757.6</v>
      </c>
      <c r="M21" s="12">
        <f t="shared" si="11"/>
        <v>27757.6</v>
      </c>
      <c r="N21" s="12"/>
      <c r="O21" s="111">
        <f t="shared" si="7"/>
        <v>27757.6</v>
      </c>
      <c r="P21" s="12">
        <f t="shared" si="8"/>
        <v>18042.44</v>
      </c>
      <c r="Q21" s="12">
        <f t="shared" si="9"/>
        <v>0</v>
      </c>
      <c r="R21" s="111">
        <f t="shared" si="10"/>
        <v>18042.44</v>
      </c>
      <c r="S21" s="203" t="s">
        <v>96</v>
      </c>
      <c r="T21" s="204"/>
    </row>
    <row r="22" spans="1:20" ht="26.25" customHeight="1">
      <c r="A22" s="58" t="s">
        <v>15</v>
      </c>
      <c r="B22" s="8"/>
      <c r="C22" s="14" t="s">
        <v>45</v>
      </c>
      <c r="D22" s="9"/>
      <c r="E22" s="9"/>
      <c r="F22" s="9"/>
      <c r="G22" s="10"/>
      <c r="H22" s="11"/>
      <c r="I22" s="11"/>
      <c r="J22" s="12">
        <v>21628.87</v>
      </c>
      <c r="K22" s="12"/>
      <c r="L22" s="111">
        <f t="shared" si="6"/>
        <v>21628.87</v>
      </c>
      <c r="M22" s="12">
        <f t="shared" si="11"/>
        <v>21628.87</v>
      </c>
      <c r="N22" s="12"/>
      <c r="O22" s="111">
        <f t="shared" si="7"/>
        <v>21628.87</v>
      </c>
      <c r="P22" s="12">
        <f t="shared" si="8"/>
        <v>14058.7655</v>
      </c>
      <c r="Q22" s="12">
        <f t="shared" si="9"/>
        <v>0</v>
      </c>
      <c r="R22" s="111">
        <f t="shared" si="10"/>
        <v>14058.7655</v>
      </c>
      <c r="S22" s="203" t="s">
        <v>97</v>
      </c>
      <c r="T22" s="204"/>
    </row>
    <row r="23" spans="1:20" ht="25.5" customHeight="1">
      <c r="A23" s="58" t="s">
        <v>15</v>
      </c>
      <c r="B23" s="8"/>
      <c r="C23" s="14" t="s">
        <v>46</v>
      </c>
      <c r="D23" s="9"/>
      <c r="E23" s="9"/>
      <c r="F23" s="9"/>
      <c r="G23" s="10"/>
      <c r="H23" s="11"/>
      <c r="I23" s="11"/>
      <c r="J23" s="12">
        <v>13192.05</v>
      </c>
      <c r="K23" s="12"/>
      <c r="L23" s="111">
        <f t="shared" si="6"/>
        <v>13192.05</v>
      </c>
      <c r="M23" s="12">
        <f t="shared" si="11"/>
        <v>13192.05</v>
      </c>
      <c r="N23" s="12"/>
      <c r="O23" s="111">
        <f t="shared" si="7"/>
        <v>13192.05</v>
      </c>
      <c r="P23" s="12">
        <f t="shared" si="8"/>
        <v>8574.8325</v>
      </c>
      <c r="Q23" s="12">
        <f t="shared" si="9"/>
        <v>0</v>
      </c>
      <c r="R23" s="111">
        <f t="shared" si="10"/>
        <v>8574.8325</v>
      </c>
      <c r="S23" s="203" t="s">
        <v>97</v>
      </c>
      <c r="T23" s="204"/>
    </row>
    <row r="24" spans="1:20" ht="16.5" customHeight="1">
      <c r="A24" s="58" t="s">
        <v>15</v>
      </c>
      <c r="B24" s="8"/>
      <c r="C24" s="14" t="s">
        <v>47</v>
      </c>
      <c r="D24" s="9"/>
      <c r="E24" s="9"/>
      <c r="F24" s="9"/>
      <c r="G24" s="10"/>
      <c r="H24" s="11"/>
      <c r="I24" s="11"/>
      <c r="J24" s="12">
        <v>5257.56</v>
      </c>
      <c r="K24" s="12"/>
      <c r="L24" s="111">
        <f t="shared" si="6"/>
        <v>5257.56</v>
      </c>
      <c r="M24" s="12">
        <f t="shared" si="11"/>
        <v>5257.56</v>
      </c>
      <c r="N24" s="12"/>
      <c r="O24" s="111">
        <f t="shared" si="7"/>
        <v>5257.56</v>
      </c>
      <c r="P24" s="12">
        <f t="shared" si="8"/>
        <v>3417.414</v>
      </c>
      <c r="Q24" s="12">
        <f t="shared" si="9"/>
        <v>0</v>
      </c>
      <c r="R24" s="111">
        <f t="shared" si="10"/>
        <v>3417.414</v>
      </c>
      <c r="S24" s="203" t="s">
        <v>96</v>
      </c>
      <c r="T24" s="204"/>
    </row>
    <row r="25" spans="1:20" ht="24.75" customHeight="1">
      <c r="A25" s="58" t="s">
        <v>15</v>
      </c>
      <c r="B25" s="8"/>
      <c r="C25" s="14" t="s">
        <v>48</v>
      </c>
      <c r="D25" s="9"/>
      <c r="E25" s="9"/>
      <c r="F25" s="9"/>
      <c r="G25" s="10"/>
      <c r="H25" s="11"/>
      <c r="I25" s="11"/>
      <c r="J25" s="12">
        <v>13123.89</v>
      </c>
      <c r="K25" s="12"/>
      <c r="L25" s="111">
        <f t="shared" si="6"/>
        <v>13123.89</v>
      </c>
      <c r="M25" s="12">
        <f t="shared" si="11"/>
        <v>13123.89</v>
      </c>
      <c r="N25" s="12"/>
      <c r="O25" s="111">
        <f t="shared" si="7"/>
        <v>13123.89</v>
      </c>
      <c r="P25" s="12">
        <f t="shared" si="8"/>
        <v>8530.5285</v>
      </c>
      <c r="Q25" s="12">
        <f t="shared" si="9"/>
        <v>0</v>
      </c>
      <c r="R25" s="111">
        <f t="shared" si="10"/>
        <v>8530.5285</v>
      </c>
      <c r="S25" s="203" t="s">
        <v>97</v>
      </c>
      <c r="T25" s="204"/>
    </row>
    <row r="26" spans="1:20" ht="36.75" customHeight="1">
      <c r="A26" s="58" t="s">
        <v>15</v>
      </c>
      <c r="B26" s="8"/>
      <c r="C26" s="67" t="s">
        <v>127</v>
      </c>
      <c r="D26" s="9"/>
      <c r="E26" s="9"/>
      <c r="F26" s="9"/>
      <c r="G26" s="10"/>
      <c r="H26" s="11"/>
      <c r="I26" s="11"/>
      <c r="J26" s="12">
        <v>54684.08</v>
      </c>
      <c r="K26" s="12"/>
      <c r="L26" s="111">
        <f t="shared" si="6"/>
        <v>54684.08</v>
      </c>
      <c r="M26" s="12">
        <f t="shared" si="11"/>
        <v>54684.08</v>
      </c>
      <c r="N26" s="12"/>
      <c r="O26" s="111">
        <f t="shared" si="7"/>
        <v>54684.08</v>
      </c>
      <c r="P26" s="12">
        <f t="shared" si="8"/>
        <v>35544.652</v>
      </c>
      <c r="Q26" s="12">
        <f t="shared" si="9"/>
        <v>0</v>
      </c>
      <c r="R26" s="111">
        <f t="shared" si="10"/>
        <v>35544.652</v>
      </c>
      <c r="S26" s="203" t="s">
        <v>99</v>
      </c>
      <c r="T26" s="204"/>
    </row>
    <row r="27" spans="1:20" ht="24.75" customHeight="1">
      <c r="A27" s="58" t="s">
        <v>15</v>
      </c>
      <c r="B27" s="8"/>
      <c r="C27" s="14" t="s">
        <v>49</v>
      </c>
      <c r="D27" s="9"/>
      <c r="E27" s="9"/>
      <c r="F27" s="9"/>
      <c r="G27" s="10"/>
      <c r="H27" s="11"/>
      <c r="I27" s="11"/>
      <c r="J27" s="12">
        <v>20238.4</v>
      </c>
      <c r="K27" s="12"/>
      <c r="L27" s="111">
        <f t="shared" si="6"/>
        <v>20238.4</v>
      </c>
      <c r="M27" s="12">
        <f t="shared" si="11"/>
        <v>20238.4</v>
      </c>
      <c r="N27" s="12"/>
      <c r="O27" s="111">
        <f t="shared" si="7"/>
        <v>20238.4</v>
      </c>
      <c r="P27" s="12">
        <f t="shared" si="8"/>
        <v>13154.960000000001</v>
      </c>
      <c r="Q27" s="12">
        <f t="shared" si="9"/>
        <v>0</v>
      </c>
      <c r="R27" s="111">
        <f t="shared" si="10"/>
        <v>13154.960000000001</v>
      </c>
      <c r="S27" s="203" t="s">
        <v>96</v>
      </c>
      <c r="T27" s="204"/>
    </row>
    <row r="28" spans="1:20" ht="35.25" customHeight="1">
      <c r="A28" s="58" t="s">
        <v>15</v>
      </c>
      <c r="B28" s="8"/>
      <c r="C28" s="14" t="s">
        <v>55</v>
      </c>
      <c r="D28" s="9"/>
      <c r="E28" s="9"/>
      <c r="F28" s="9"/>
      <c r="G28" s="10"/>
      <c r="H28" s="11"/>
      <c r="I28" s="11"/>
      <c r="J28" s="12">
        <v>1461.44</v>
      </c>
      <c r="K28" s="12"/>
      <c r="L28" s="111">
        <f t="shared" si="6"/>
        <v>1461.44</v>
      </c>
      <c r="M28" s="31">
        <v>0</v>
      </c>
      <c r="N28" s="31"/>
      <c r="O28" s="111">
        <f t="shared" si="7"/>
        <v>0</v>
      </c>
      <c r="P28" s="12">
        <f t="shared" si="8"/>
        <v>0</v>
      </c>
      <c r="Q28" s="12">
        <f t="shared" si="9"/>
        <v>0</v>
      </c>
      <c r="R28" s="111">
        <f t="shared" si="10"/>
        <v>0</v>
      </c>
      <c r="S28" s="203" t="s">
        <v>95</v>
      </c>
      <c r="T28" s="204"/>
    </row>
    <row r="29" spans="1:20" ht="26.25" customHeight="1">
      <c r="A29" s="58" t="s">
        <v>15</v>
      </c>
      <c r="B29" s="8"/>
      <c r="C29" s="14" t="s">
        <v>43</v>
      </c>
      <c r="D29" s="9"/>
      <c r="E29" s="9"/>
      <c r="F29" s="9"/>
      <c r="G29" s="10"/>
      <c r="H29" s="11"/>
      <c r="I29" s="11"/>
      <c r="J29" s="12">
        <v>29018.88</v>
      </c>
      <c r="K29" s="12"/>
      <c r="L29" s="111">
        <f t="shared" si="6"/>
        <v>29018.88</v>
      </c>
      <c r="M29" s="12">
        <f>L29</f>
        <v>29018.88</v>
      </c>
      <c r="N29" s="12"/>
      <c r="O29" s="111">
        <f t="shared" si="7"/>
        <v>29018.88</v>
      </c>
      <c r="P29" s="12">
        <f t="shared" si="8"/>
        <v>18862.272</v>
      </c>
      <c r="Q29" s="12">
        <f t="shared" si="9"/>
        <v>0</v>
      </c>
      <c r="R29" s="111">
        <f t="shared" si="10"/>
        <v>18862.272</v>
      </c>
      <c r="S29" s="203" t="s">
        <v>97</v>
      </c>
      <c r="T29" s="204"/>
    </row>
    <row r="30" spans="1:20" s="103" customFormat="1" ht="49.5" customHeight="1">
      <c r="A30" s="97" t="s">
        <v>113</v>
      </c>
      <c r="B30" s="98"/>
      <c r="C30" s="99" t="s">
        <v>114</v>
      </c>
      <c r="D30" s="99"/>
      <c r="E30" s="99"/>
      <c r="F30" s="99"/>
      <c r="G30" s="100"/>
      <c r="H30" s="101"/>
      <c r="I30" s="101"/>
      <c r="J30" s="102"/>
      <c r="K30" s="102"/>
      <c r="L30" s="111">
        <v>254118.48</v>
      </c>
      <c r="M30" s="102">
        <f>254118.48-21350.25-37621.74</f>
        <v>195146.49000000002</v>
      </c>
      <c r="N30" s="102"/>
      <c r="O30" s="111">
        <f>M30+N30</f>
        <v>195146.49000000002</v>
      </c>
      <c r="P30" s="102">
        <f>M30*0.65</f>
        <v>126845.21850000002</v>
      </c>
      <c r="Q30" s="102">
        <f>N30*0.65</f>
        <v>0</v>
      </c>
      <c r="R30" s="111">
        <f aca="true" t="shared" si="12" ref="R30:R56">P30+Q30</f>
        <v>126845.21850000002</v>
      </c>
      <c r="S30" s="179" t="s">
        <v>115</v>
      </c>
      <c r="T30" s="180"/>
    </row>
    <row r="31" spans="1:20" s="91" customFormat="1" ht="23.25" customHeight="1">
      <c r="A31" s="85" t="s">
        <v>113</v>
      </c>
      <c r="B31" s="86"/>
      <c r="C31" s="14" t="s">
        <v>86</v>
      </c>
      <c r="D31" s="87" t="s">
        <v>130</v>
      </c>
      <c r="E31" s="87"/>
      <c r="F31" s="87"/>
      <c r="G31" s="88"/>
      <c r="H31" s="89"/>
      <c r="I31" s="89"/>
      <c r="J31" s="31">
        <f>18.27*420</f>
        <v>7673.4</v>
      </c>
      <c r="K31" s="31"/>
      <c r="L31" s="111">
        <f aca="true" t="shared" si="13" ref="L31:L43">+K31+J31</f>
        <v>7673.4</v>
      </c>
      <c r="M31" s="31">
        <v>7673.4</v>
      </c>
      <c r="N31" s="31"/>
      <c r="O31" s="111">
        <f aca="true" t="shared" si="14" ref="O31:O40">+N31+M31</f>
        <v>7673.4</v>
      </c>
      <c r="P31" s="31">
        <f aca="true" t="shared" si="15" ref="P31:P40">+M31*0.65</f>
        <v>4987.71</v>
      </c>
      <c r="Q31" s="31">
        <f aca="true" t="shared" si="16" ref="Q31:Q40">+N31*0.65</f>
        <v>0</v>
      </c>
      <c r="R31" s="111">
        <f t="shared" si="12"/>
        <v>4987.71</v>
      </c>
      <c r="S31" s="191" t="s">
        <v>131</v>
      </c>
      <c r="T31" s="192"/>
    </row>
    <row r="32" spans="1:20" s="91" customFormat="1" ht="18" customHeight="1">
      <c r="A32" s="85" t="s">
        <v>113</v>
      </c>
      <c r="B32" s="86"/>
      <c r="C32" s="14" t="s">
        <v>48</v>
      </c>
      <c r="D32" s="87" t="s">
        <v>132</v>
      </c>
      <c r="E32" s="87"/>
      <c r="F32" s="87"/>
      <c r="G32" s="88"/>
      <c r="H32" s="89"/>
      <c r="I32" s="89"/>
      <c r="J32" s="31">
        <f>18.85*350+15.54*130+15.54*120</f>
        <v>10482.5</v>
      </c>
      <c r="K32" s="31"/>
      <c r="L32" s="111">
        <f t="shared" si="13"/>
        <v>10482.5</v>
      </c>
      <c r="M32" s="31">
        <v>10482.5</v>
      </c>
      <c r="N32" s="31"/>
      <c r="O32" s="111">
        <f t="shared" si="14"/>
        <v>10482.5</v>
      </c>
      <c r="P32" s="31">
        <f t="shared" si="15"/>
        <v>6813.625</v>
      </c>
      <c r="Q32" s="31">
        <f t="shared" si="16"/>
        <v>0</v>
      </c>
      <c r="R32" s="111">
        <f aca="true" t="shared" si="17" ref="R32:R40">P32+Q32</f>
        <v>6813.625</v>
      </c>
      <c r="S32" s="191" t="s">
        <v>131</v>
      </c>
      <c r="T32" s="192"/>
    </row>
    <row r="33" spans="1:20" s="91" customFormat="1" ht="20.25" customHeight="1">
      <c r="A33" s="85" t="s">
        <v>113</v>
      </c>
      <c r="B33" s="86"/>
      <c r="C33" s="67" t="s">
        <v>133</v>
      </c>
      <c r="D33" s="87" t="s">
        <v>134</v>
      </c>
      <c r="E33" s="87"/>
      <c r="F33" s="87"/>
      <c r="G33" s="88"/>
      <c r="H33" s="89"/>
      <c r="I33" s="89"/>
      <c r="J33" s="31">
        <f>13.45*385+13.27*305</f>
        <v>9225.6</v>
      </c>
      <c r="K33" s="31"/>
      <c r="L33" s="111">
        <f t="shared" si="13"/>
        <v>9225.6</v>
      </c>
      <c r="M33" s="31">
        <v>9225.6</v>
      </c>
      <c r="N33" s="31"/>
      <c r="O33" s="111">
        <f t="shared" si="14"/>
        <v>9225.6</v>
      </c>
      <c r="P33" s="31">
        <f t="shared" si="15"/>
        <v>5996.64</v>
      </c>
      <c r="Q33" s="31">
        <f t="shared" si="16"/>
        <v>0</v>
      </c>
      <c r="R33" s="111">
        <f t="shared" si="17"/>
        <v>5996.64</v>
      </c>
      <c r="S33" s="191" t="s">
        <v>131</v>
      </c>
      <c r="T33" s="192"/>
    </row>
    <row r="34" spans="1:20" s="91" customFormat="1" ht="23.25" customHeight="1">
      <c r="A34" s="85" t="s">
        <v>113</v>
      </c>
      <c r="B34" s="86"/>
      <c r="C34" s="14" t="s">
        <v>46</v>
      </c>
      <c r="D34" s="67" t="s">
        <v>135</v>
      </c>
      <c r="E34" s="87"/>
      <c r="F34" s="87"/>
      <c r="G34" s="88"/>
      <c r="H34" s="89"/>
      <c r="I34" s="89"/>
      <c r="J34" s="31">
        <f>13.69*258+10.47*396+9.14*310+13.69*576</f>
        <v>18396.98</v>
      </c>
      <c r="K34" s="31"/>
      <c r="L34" s="111">
        <f t="shared" si="13"/>
        <v>18396.98</v>
      </c>
      <c r="M34" s="31">
        <v>18396.98</v>
      </c>
      <c r="N34" s="31"/>
      <c r="O34" s="111">
        <f t="shared" si="14"/>
        <v>18396.98</v>
      </c>
      <c r="P34" s="31">
        <f t="shared" si="15"/>
        <v>11958.037</v>
      </c>
      <c r="Q34" s="31">
        <f t="shared" si="16"/>
        <v>0</v>
      </c>
      <c r="R34" s="111">
        <f t="shared" si="17"/>
        <v>11958.037</v>
      </c>
      <c r="S34" s="191" t="s">
        <v>131</v>
      </c>
      <c r="T34" s="192"/>
    </row>
    <row r="35" spans="1:20" s="91" customFormat="1" ht="23.25" customHeight="1">
      <c r="A35" s="85" t="s">
        <v>113</v>
      </c>
      <c r="B35" s="86"/>
      <c r="C35" s="14" t="s">
        <v>45</v>
      </c>
      <c r="D35" s="87" t="s">
        <v>136</v>
      </c>
      <c r="E35" s="87"/>
      <c r="F35" s="87"/>
      <c r="G35" s="88"/>
      <c r="H35" s="89"/>
      <c r="I35" s="89"/>
      <c r="J35" s="31">
        <f>18.15*270+18.06*250</f>
        <v>9415.5</v>
      </c>
      <c r="K35" s="31"/>
      <c r="L35" s="111">
        <f t="shared" si="13"/>
        <v>9415.5</v>
      </c>
      <c r="M35" s="31">
        <v>9415.5</v>
      </c>
      <c r="N35" s="31"/>
      <c r="O35" s="111">
        <f t="shared" si="14"/>
        <v>9415.5</v>
      </c>
      <c r="P35" s="31">
        <f t="shared" si="15"/>
        <v>6120.075</v>
      </c>
      <c r="Q35" s="31">
        <f t="shared" si="16"/>
        <v>0</v>
      </c>
      <c r="R35" s="111">
        <f t="shared" si="17"/>
        <v>6120.075</v>
      </c>
      <c r="S35" s="191" t="s">
        <v>131</v>
      </c>
      <c r="T35" s="192"/>
    </row>
    <row r="36" spans="1:20" s="91" customFormat="1" ht="33.75" customHeight="1">
      <c r="A36" s="85" t="s">
        <v>113</v>
      </c>
      <c r="B36" s="86"/>
      <c r="C36" s="16" t="s">
        <v>137</v>
      </c>
      <c r="D36" s="67" t="s">
        <v>138</v>
      </c>
      <c r="E36" s="87"/>
      <c r="F36" s="87"/>
      <c r="G36" s="88"/>
      <c r="H36" s="89"/>
      <c r="I36" s="89"/>
      <c r="J36" s="31">
        <f>37.08*71+18.17*208+11.62*207+12.3*186+13.34*182</f>
        <v>13533.060000000001</v>
      </c>
      <c r="K36" s="31"/>
      <c r="L36" s="111">
        <f t="shared" si="13"/>
        <v>13533.060000000001</v>
      </c>
      <c r="M36" s="31">
        <v>13533.06</v>
      </c>
      <c r="N36" s="31"/>
      <c r="O36" s="111">
        <f t="shared" si="14"/>
        <v>13533.06</v>
      </c>
      <c r="P36" s="31">
        <f t="shared" si="15"/>
        <v>8796.489</v>
      </c>
      <c r="Q36" s="31">
        <f t="shared" si="16"/>
        <v>0</v>
      </c>
      <c r="R36" s="111">
        <f t="shared" si="17"/>
        <v>8796.489</v>
      </c>
      <c r="S36" s="191" t="s">
        <v>131</v>
      </c>
      <c r="T36" s="192"/>
    </row>
    <row r="37" spans="1:20" s="91" customFormat="1" ht="23.25" customHeight="1">
      <c r="A37" s="85" t="s">
        <v>113</v>
      </c>
      <c r="B37" s="86"/>
      <c r="C37" s="67" t="s">
        <v>47</v>
      </c>
      <c r="D37" s="87" t="s">
        <v>139</v>
      </c>
      <c r="E37" s="87"/>
      <c r="F37" s="87"/>
      <c r="G37" s="88"/>
      <c r="H37" s="89"/>
      <c r="I37" s="89"/>
      <c r="J37" s="31">
        <f>17.08*300</f>
        <v>5123.999999999999</v>
      </c>
      <c r="K37" s="31"/>
      <c r="L37" s="111">
        <f t="shared" si="13"/>
        <v>5123.999999999999</v>
      </c>
      <c r="M37" s="31">
        <v>5124</v>
      </c>
      <c r="N37" s="31"/>
      <c r="O37" s="111">
        <f t="shared" si="14"/>
        <v>5124</v>
      </c>
      <c r="P37" s="31">
        <f t="shared" si="15"/>
        <v>3330.6</v>
      </c>
      <c r="Q37" s="31">
        <f t="shared" si="16"/>
        <v>0</v>
      </c>
      <c r="R37" s="111">
        <f t="shared" si="17"/>
        <v>3330.6</v>
      </c>
      <c r="S37" s="191" t="s">
        <v>131</v>
      </c>
      <c r="T37" s="192"/>
    </row>
    <row r="38" spans="1:20" s="91" customFormat="1" ht="33.75" customHeight="1">
      <c r="A38" s="85" t="s">
        <v>113</v>
      </c>
      <c r="B38" s="86"/>
      <c r="C38" s="14" t="s">
        <v>55</v>
      </c>
      <c r="D38" s="87" t="s">
        <v>143</v>
      </c>
      <c r="E38" s="87"/>
      <c r="F38" s="87"/>
      <c r="G38" s="88"/>
      <c r="H38" s="89"/>
      <c r="I38" s="89"/>
      <c r="J38" s="31">
        <v>21350.25</v>
      </c>
      <c r="K38" s="31"/>
      <c r="L38" s="111">
        <f t="shared" si="13"/>
        <v>21350.25</v>
      </c>
      <c r="M38" s="31"/>
      <c r="N38" s="31"/>
      <c r="O38" s="111">
        <f t="shared" si="14"/>
        <v>0</v>
      </c>
      <c r="P38" s="31">
        <f t="shared" si="15"/>
        <v>0</v>
      </c>
      <c r="Q38" s="31">
        <f t="shared" si="16"/>
        <v>0</v>
      </c>
      <c r="R38" s="111">
        <f t="shared" si="17"/>
        <v>0</v>
      </c>
      <c r="S38" s="203" t="s">
        <v>95</v>
      </c>
      <c r="T38" s="204"/>
    </row>
    <row r="39" spans="1:20" s="91" customFormat="1" ht="23.25" customHeight="1">
      <c r="A39" s="85" t="s">
        <v>113</v>
      </c>
      <c r="B39" s="86"/>
      <c r="C39" s="67" t="s">
        <v>140</v>
      </c>
      <c r="D39" s="67" t="s">
        <v>141</v>
      </c>
      <c r="E39" s="87"/>
      <c r="F39" s="87"/>
      <c r="G39" s="88"/>
      <c r="H39" s="89"/>
      <c r="I39" s="89"/>
      <c r="J39" s="31">
        <f>25.69*140+18.07*140+18.19*140+18.07*140</f>
        <v>11202.8</v>
      </c>
      <c r="K39" s="31"/>
      <c r="L39" s="111">
        <f t="shared" si="13"/>
        <v>11202.8</v>
      </c>
      <c r="M39" s="31">
        <v>11202.8</v>
      </c>
      <c r="N39" s="31"/>
      <c r="O39" s="111">
        <f t="shared" si="14"/>
        <v>11202.8</v>
      </c>
      <c r="P39" s="31">
        <f t="shared" si="15"/>
        <v>7281.82</v>
      </c>
      <c r="Q39" s="31">
        <f t="shared" si="16"/>
        <v>0</v>
      </c>
      <c r="R39" s="111">
        <f t="shared" si="17"/>
        <v>7281.82</v>
      </c>
      <c r="S39" s="191"/>
      <c r="T39" s="192"/>
    </row>
    <row r="40" spans="1:20" s="91" customFormat="1" ht="23.25" customHeight="1">
      <c r="A40" s="85" t="s">
        <v>113</v>
      </c>
      <c r="B40" s="86"/>
      <c r="C40" s="67" t="s">
        <v>127</v>
      </c>
      <c r="D40" s="87" t="s">
        <v>142</v>
      </c>
      <c r="E40" s="87"/>
      <c r="F40" s="87"/>
      <c r="G40" s="88"/>
      <c r="H40" s="89"/>
      <c r="I40" s="89"/>
      <c r="J40" s="31">
        <v>95868.64</v>
      </c>
      <c r="K40" s="31"/>
      <c r="L40" s="111">
        <f t="shared" si="13"/>
        <v>95868.64</v>
      </c>
      <c r="M40" s="31">
        <v>95868.64</v>
      </c>
      <c r="N40" s="31"/>
      <c r="O40" s="111">
        <f t="shared" si="14"/>
        <v>95868.64</v>
      </c>
      <c r="P40" s="31">
        <f t="shared" si="15"/>
        <v>62314.616</v>
      </c>
      <c r="Q40" s="31">
        <f t="shared" si="16"/>
        <v>0</v>
      </c>
      <c r="R40" s="111">
        <f t="shared" si="17"/>
        <v>62314.616</v>
      </c>
      <c r="S40" s="191" t="s">
        <v>131</v>
      </c>
      <c r="T40" s="192"/>
    </row>
    <row r="41" spans="1:20" s="91" customFormat="1" ht="36" customHeight="1">
      <c r="A41" s="85" t="s">
        <v>113</v>
      </c>
      <c r="B41" s="86"/>
      <c r="C41" s="67" t="s">
        <v>44</v>
      </c>
      <c r="D41" s="87" t="s">
        <v>144</v>
      </c>
      <c r="E41" s="87"/>
      <c r="F41" s="87"/>
      <c r="G41" s="88"/>
      <c r="H41" s="89"/>
      <c r="I41" s="89"/>
      <c r="J41" s="31">
        <v>37621.74</v>
      </c>
      <c r="K41" s="31"/>
      <c r="L41" s="111">
        <f t="shared" si="13"/>
        <v>37621.74</v>
      </c>
      <c r="M41" s="31"/>
      <c r="N41" s="31"/>
      <c r="O41" s="111"/>
      <c r="P41" s="31"/>
      <c r="Q41" s="31"/>
      <c r="R41" s="111"/>
      <c r="S41" s="203" t="s">
        <v>95</v>
      </c>
      <c r="T41" s="204"/>
    </row>
    <row r="42" spans="1:20" s="91" customFormat="1" ht="23.25" customHeight="1">
      <c r="A42" s="85" t="s">
        <v>113</v>
      </c>
      <c r="B42" s="86"/>
      <c r="C42" s="14" t="s">
        <v>85</v>
      </c>
      <c r="D42" s="87" t="s">
        <v>145</v>
      </c>
      <c r="E42" s="87"/>
      <c r="F42" s="87"/>
      <c r="G42" s="88"/>
      <c r="H42" s="89"/>
      <c r="I42" s="89"/>
      <c r="J42" s="31">
        <f>24.68*120+23.75*84+21.11*95+21.11*116</f>
        <v>9410.81</v>
      </c>
      <c r="K42" s="31"/>
      <c r="L42" s="111">
        <f t="shared" si="13"/>
        <v>9410.81</v>
      </c>
      <c r="M42" s="31">
        <v>9410.81</v>
      </c>
      <c r="N42" s="31"/>
      <c r="O42" s="111">
        <f>+N42+M42</f>
        <v>9410.81</v>
      </c>
      <c r="P42" s="31">
        <f>+M42*0.65</f>
        <v>6117.0265</v>
      </c>
      <c r="Q42" s="31">
        <f>+N42*0.65</f>
        <v>0</v>
      </c>
      <c r="R42" s="111">
        <f>P42+Q42</f>
        <v>6117.0265</v>
      </c>
      <c r="S42" s="191" t="s">
        <v>131</v>
      </c>
      <c r="T42" s="192"/>
    </row>
    <row r="43" spans="1:20" s="91" customFormat="1" ht="23.25" customHeight="1">
      <c r="A43" s="85" t="s">
        <v>113</v>
      </c>
      <c r="B43" s="86"/>
      <c r="C43" s="14" t="s">
        <v>43</v>
      </c>
      <c r="D43" s="87" t="s">
        <v>146</v>
      </c>
      <c r="E43" s="87"/>
      <c r="F43" s="87"/>
      <c r="G43" s="88"/>
      <c r="H43" s="89"/>
      <c r="I43" s="89"/>
      <c r="J43" s="31">
        <f>16.25*650+11.42*100+11.42*520+44.9*326+16.06*604</f>
        <v>41980.54</v>
      </c>
      <c r="K43" s="31"/>
      <c r="L43" s="111">
        <f t="shared" si="13"/>
        <v>41980.54</v>
      </c>
      <c r="M43" s="31">
        <v>41980.54</v>
      </c>
      <c r="N43" s="31"/>
      <c r="O43" s="111">
        <f>+N43+M43</f>
        <v>41980.54</v>
      </c>
      <c r="P43" s="31">
        <f>+M43*0.65</f>
        <v>27287.351000000002</v>
      </c>
      <c r="Q43" s="31">
        <f>+N43*0.65</f>
        <v>0</v>
      </c>
      <c r="R43" s="111">
        <f>P43+Q43</f>
        <v>27287.351000000002</v>
      </c>
      <c r="S43" s="191" t="s">
        <v>131</v>
      </c>
      <c r="T43" s="192"/>
    </row>
    <row r="44" spans="1:20" s="103" customFormat="1" ht="26.25" customHeight="1">
      <c r="A44" s="97" t="s">
        <v>119</v>
      </c>
      <c r="B44" s="98"/>
      <c r="C44" s="99" t="s">
        <v>114</v>
      </c>
      <c r="D44" s="99"/>
      <c r="E44" s="99"/>
      <c r="F44" s="99"/>
      <c r="G44" s="100"/>
      <c r="H44" s="101"/>
      <c r="I44" s="101"/>
      <c r="J44" s="102"/>
      <c r="K44" s="102"/>
      <c r="L44" s="111">
        <v>214391.01</v>
      </c>
      <c r="M44" s="102">
        <v>214391.01</v>
      </c>
      <c r="N44" s="102">
        <f>SUM(N45:N55)</f>
        <v>0</v>
      </c>
      <c r="O44" s="111">
        <v>214391.01</v>
      </c>
      <c r="P44" s="102">
        <v>139354.1565</v>
      </c>
      <c r="Q44" s="102">
        <f>SUM(Q45:Q55)</f>
        <v>0</v>
      </c>
      <c r="R44" s="111">
        <v>139354.1565</v>
      </c>
      <c r="S44" s="179" t="s">
        <v>120</v>
      </c>
      <c r="T44" s="180"/>
    </row>
    <row r="45" spans="1:20" s="91" customFormat="1" ht="23.25" customHeight="1">
      <c r="A45" s="85" t="s">
        <v>119</v>
      </c>
      <c r="B45" s="86"/>
      <c r="C45" s="67" t="s">
        <v>43</v>
      </c>
      <c r="D45" s="87" t="s">
        <v>151</v>
      </c>
      <c r="E45" s="87"/>
      <c r="F45" s="87"/>
      <c r="G45" s="88"/>
      <c r="H45" s="89"/>
      <c r="I45" s="89"/>
      <c r="J45" s="31">
        <f>35.96*568+11.42*300+11.42*400+16.06*656</f>
        <v>38954.64</v>
      </c>
      <c r="K45" s="31"/>
      <c r="L45" s="111">
        <v>38954.64</v>
      </c>
      <c r="M45" s="31">
        <v>38954.64</v>
      </c>
      <c r="N45" s="31"/>
      <c r="O45" s="111">
        <f aca="true" t="shared" si="18" ref="O45:O55">M45+N45</f>
        <v>38954.64</v>
      </c>
      <c r="P45" s="31">
        <f>M45*0.65</f>
        <v>25320.516</v>
      </c>
      <c r="Q45" s="31">
        <f>N45*0.65</f>
        <v>0</v>
      </c>
      <c r="R45" s="111">
        <f t="shared" si="12"/>
        <v>25320.516</v>
      </c>
      <c r="S45" s="191" t="s">
        <v>152</v>
      </c>
      <c r="T45" s="192"/>
    </row>
    <row r="46" spans="1:20" s="91" customFormat="1" ht="15.75" customHeight="1">
      <c r="A46" s="85" t="s">
        <v>119</v>
      </c>
      <c r="B46" s="86"/>
      <c r="C46" s="67" t="s">
        <v>126</v>
      </c>
      <c r="D46" s="87" t="s">
        <v>227</v>
      </c>
      <c r="E46" s="87"/>
      <c r="F46" s="87"/>
      <c r="G46" s="88"/>
      <c r="H46" s="89"/>
      <c r="I46" s="89"/>
      <c r="J46" s="31">
        <f>25*37.08+60*18.17+60*11.62+50*12.3</f>
        <v>3329.4</v>
      </c>
      <c r="K46" s="31"/>
      <c r="L46" s="111">
        <f>37.08*25+18.17*60+11.62*60+12.3*50</f>
        <v>3329.4</v>
      </c>
      <c r="M46" s="31">
        <v>3329.4</v>
      </c>
      <c r="N46" s="31"/>
      <c r="O46" s="111">
        <f t="shared" si="18"/>
        <v>3329.4</v>
      </c>
      <c r="P46" s="31">
        <f aca="true" t="shared" si="19" ref="P46:P55">M46*0.65</f>
        <v>2164.11</v>
      </c>
      <c r="Q46" s="31">
        <f>N46*0.65</f>
        <v>0</v>
      </c>
      <c r="R46" s="111">
        <f t="shared" si="12"/>
        <v>2164.11</v>
      </c>
      <c r="S46" s="191" t="s">
        <v>131</v>
      </c>
      <c r="T46" s="192"/>
    </row>
    <row r="47" spans="1:20" s="91" customFormat="1" ht="22.5" customHeight="1">
      <c r="A47" s="85" t="s">
        <v>119</v>
      </c>
      <c r="B47" s="86"/>
      <c r="C47" s="67" t="s">
        <v>127</v>
      </c>
      <c r="D47" s="87" t="s">
        <v>228</v>
      </c>
      <c r="E47" s="87"/>
      <c r="F47" s="87"/>
      <c r="G47" s="88"/>
      <c r="H47" s="89"/>
      <c r="I47" s="89"/>
      <c r="J47" s="31">
        <f>83.77*236+65.21*68+41.58*157+34.64*150+33.29*236+18.07*165+17.82*165+15.6*228+15.6*210+15.6*210+22.07*326+17.82*151+17.82*164+17.82*450+17.82*452</f>
        <v>88696.91</v>
      </c>
      <c r="K47" s="31"/>
      <c r="L47" s="111">
        <v>88696.57</v>
      </c>
      <c r="M47" s="31">
        <v>88696.57</v>
      </c>
      <c r="N47" s="31"/>
      <c r="O47" s="111">
        <f t="shared" si="18"/>
        <v>88696.57</v>
      </c>
      <c r="P47" s="31">
        <f t="shared" si="19"/>
        <v>57652.770500000006</v>
      </c>
      <c r="Q47" s="31"/>
      <c r="R47" s="111">
        <f t="shared" si="12"/>
        <v>57652.770500000006</v>
      </c>
      <c r="S47" s="191" t="s">
        <v>131</v>
      </c>
      <c r="T47" s="192"/>
    </row>
    <row r="48" spans="1:20" s="91" customFormat="1" ht="22.5" customHeight="1">
      <c r="A48" s="85" t="s">
        <v>119</v>
      </c>
      <c r="B48" s="86"/>
      <c r="C48" s="67" t="s">
        <v>128</v>
      </c>
      <c r="D48" s="87" t="s">
        <v>229</v>
      </c>
      <c r="E48" s="87"/>
      <c r="F48" s="87"/>
      <c r="G48" s="88"/>
      <c r="H48" s="89"/>
      <c r="I48" s="89"/>
      <c r="J48" s="31">
        <f>25.69*560</f>
        <v>14386.400000000001</v>
      </c>
      <c r="K48" s="31"/>
      <c r="L48" s="111">
        <f>25.69*560</f>
        <v>14386.400000000001</v>
      </c>
      <c r="M48" s="31">
        <v>14386.4</v>
      </c>
      <c r="N48" s="31"/>
      <c r="O48" s="111">
        <f t="shared" si="18"/>
        <v>14386.4</v>
      </c>
      <c r="P48" s="31">
        <f t="shared" si="19"/>
        <v>9351.16</v>
      </c>
      <c r="Q48" s="31"/>
      <c r="R48" s="111">
        <f t="shared" si="12"/>
        <v>9351.16</v>
      </c>
      <c r="S48" s="191"/>
      <c r="T48" s="192"/>
    </row>
    <row r="49" spans="1:20" s="91" customFormat="1" ht="23.25" customHeight="1">
      <c r="A49" s="85" t="s">
        <v>119</v>
      </c>
      <c r="B49" s="86"/>
      <c r="C49" s="67" t="s">
        <v>133</v>
      </c>
      <c r="D49" s="87" t="s">
        <v>134</v>
      </c>
      <c r="E49" s="87"/>
      <c r="F49" s="87"/>
      <c r="G49" s="88"/>
      <c r="H49" s="89"/>
      <c r="I49" s="89"/>
      <c r="J49" s="31">
        <f>13.45*150+13.27*99</f>
        <v>3331.23</v>
      </c>
      <c r="K49" s="31"/>
      <c r="L49" s="111">
        <f>13.45*150+13.27*99</f>
        <v>3331.23</v>
      </c>
      <c r="M49" s="31">
        <v>3331.23</v>
      </c>
      <c r="N49" s="31"/>
      <c r="O49" s="111">
        <f t="shared" si="18"/>
        <v>3331.23</v>
      </c>
      <c r="P49" s="31">
        <f t="shared" si="19"/>
        <v>2165.2995</v>
      </c>
      <c r="Q49" s="31"/>
      <c r="R49" s="111">
        <f t="shared" si="12"/>
        <v>2165.2995</v>
      </c>
      <c r="S49" s="191" t="s">
        <v>131</v>
      </c>
      <c r="T49" s="192"/>
    </row>
    <row r="50" spans="1:20" s="91" customFormat="1" ht="22.5" customHeight="1">
      <c r="A50" s="85" t="s">
        <v>119</v>
      </c>
      <c r="B50" s="86"/>
      <c r="C50" s="67" t="s">
        <v>86</v>
      </c>
      <c r="D50" s="87" t="s">
        <v>230</v>
      </c>
      <c r="E50" s="87"/>
      <c r="F50" s="87"/>
      <c r="G50" s="88"/>
      <c r="H50" s="89"/>
      <c r="I50" s="89"/>
      <c r="J50" s="31">
        <f>18.27*182</f>
        <v>3325.14</v>
      </c>
      <c r="K50" s="31"/>
      <c r="L50" s="111">
        <f>18.27*182</f>
        <v>3325.14</v>
      </c>
      <c r="M50" s="31">
        <v>3325.14</v>
      </c>
      <c r="N50" s="31"/>
      <c r="O50" s="111">
        <f t="shared" si="18"/>
        <v>3325.14</v>
      </c>
      <c r="P50" s="31">
        <f t="shared" si="19"/>
        <v>2161.341</v>
      </c>
      <c r="Q50" s="31"/>
      <c r="R50" s="111">
        <f t="shared" si="12"/>
        <v>2161.341</v>
      </c>
      <c r="S50" s="191" t="s">
        <v>131</v>
      </c>
      <c r="T50" s="192"/>
    </row>
    <row r="51" spans="1:20" s="91" customFormat="1" ht="22.5" customHeight="1">
      <c r="A51" s="85" t="s">
        <v>119</v>
      </c>
      <c r="B51" s="86"/>
      <c r="C51" s="67" t="s">
        <v>46</v>
      </c>
      <c r="D51" s="87" t="s">
        <v>135</v>
      </c>
      <c r="E51" s="87"/>
      <c r="F51" s="87"/>
      <c r="G51" s="88"/>
      <c r="H51" s="89"/>
      <c r="I51" s="89"/>
      <c r="J51" s="31">
        <f>13.69*325+10.47*301+9.14*384+13.69*392</f>
        <v>16476.96</v>
      </c>
      <c r="K51" s="31"/>
      <c r="L51" s="111">
        <f>13.69*325+10.47*301+9.14*384+13.69*392</f>
        <v>16476.96</v>
      </c>
      <c r="M51" s="31">
        <v>16476.96</v>
      </c>
      <c r="N51" s="31"/>
      <c r="O51" s="111">
        <f t="shared" si="18"/>
        <v>16476.96</v>
      </c>
      <c r="P51" s="31">
        <f t="shared" si="19"/>
        <v>10710.024</v>
      </c>
      <c r="Q51" s="31"/>
      <c r="R51" s="111">
        <f t="shared" si="12"/>
        <v>10710.024</v>
      </c>
      <c r="S51" s="191" t="s">
        <v>131</v>
      </c>
      <c r="T51" s="192"/>
    </row>
    <row r="52" spans="1:20" s="91" customFormat="1" ht="24" customHeight="1">
      <c r="A52" s="85" t="s">
        <v>119</v>
      </c>
      <c r="B52" s="86"/>
      <c r="C52" s="67" t="s">
        <v>47</v>
      </c>
      <c r="D52" s="87" t="s">
        <v>231</v>
      </c>
      <c r="E52" s="87"/>
      <c r="F52" s="87"/>
      <c r="G52" s="88"/>
      <c r="H52" s="89"/>
      <c r="I52" s="89"/>
      <c r="J52" s="31">
        <f>17.08*548+12.91*250</f>
        <v>12587.339999999998</v>
      </c>
      <c r="K52" s="31"/>
      <c r="L52" s="111">
        <f>17.08*548+12.91*250</f>
        <v>12587.339999999998</v>
      </c>
      <c r="M52" s="31">
        <v>12587.34</v>
      </c>
      <c r="N52" s="31"/>
      <c r="O52" s="111">
        <f t="shared" si="18"/>
        <v>12587.34</v>
      </c>
      <c r="P52" s="31">
        <f t="shared" si="19"/>
        <v>8181.771000000001</v>
      </c>
      <c r="Q52" s="31"/>
      <c r="R52" s="111">
        <f t="shared" si="12"/>
        <v>8181.771000000001</v>
      </c>
      <c r="S52" s="191" t="s">
        <v>131</v>
      </c>
      <c r="T52" s="192"/>
    </row>
    <row r="53" spans="1:20" s="91" customFormat="1" ht="21.75" customHeight="1">
      <c r="A53" s="85" t="s">
        <v>119</v>
      </c>
      <c r="B53" s="86"/>
      <c r="C53" s="67" t="s">
        <v>48</v>
      </c>
      <c r="D53" s="87" t="s">
        <v>232</v>
      </c>
      <c r="E53" s="87"/>
      <c r="F53" s="87"/>
      <c r="G53" s="88"/>
      <c r="H53" s="89"/>
      <c r="I53" s="89"/>
      <c r="J53" s="31">
        <f>15.54*207+15.68*254+15.54*207+15.68*196</f>
        <v>13489.559999999998</v>
      </c>
      <c r="K53" s="31"/>
      <c r="L53" s="111">
        <f>15.54*207+15.68*254+15.54*207+15.68*196</f>
        <v>13489.559999999998</v>
      </c>
      <c r="M53" s="31">
        <v>13489.56</v>
      </c>
      <c r="N53" s="31"/>
      <c r="O53" s="111">
        <f t="shared" si="18"/>
        <v>13489.56</v>
      </c>
      <c r="P53" s="31">
        <f t="shared" si="19"/>
        <v>8768.214</v>
      </c>
      <c r="Q53" s="31"/>
      <c r="R53" s="111">
        <f t="shared" si="12"/>
        <v>8768.214</v>
      </c>
      <c r="S53" s="191" t="s">
        <v>131</v>
      </c>
      <c r="T53" s="192"/>
    </row>
    <row r="54" spans="1:20" s="91" customFormat="1" ht="24.75" customHeight="1">
      <c r="A54" s="85" t="s">
        <v>119</v>
      </c>
      <c r="B54" s="86"/>
      <c r="C54" s="67" t="s">
        <v>45</v>
      </c>
      <c r="D54" s="87" t="s">
        <v>233</v>
      </c>
      <c r="E54" s="87"/>
      <c r="F54" s="87"/>
      <c r="G54" s="88"/>
      <c r="H54" s="89"/>
      <c r="I54" s="89"/>
      <c r="J54" s="31">
        <f>231*18.15+212*18.06+351*24.1</f>
        <v>16480.47</v>
      </c>
      <c r="K54" s="31"/>
      <c r="L54" s="111">
        <f>231*18.15+212*18.06+351*24.1</f>
        <v>16480.47</v>
      </c>
      <c r="M54" s="31">
        <v>16480.47</v>
      </c>
      <c r="N54" s="31"/>
      <c r="O54" s="111">
        <f t="shared" si="18"/>
        <v>16480.47</v>
      </c>
      <c r="P54" s="31">
        <f t="shared" si="19"/>
        <v>10712.3055</v>
      </c>
      <c r="Q54" s="31"/>
      <c r="R54" s="111">
        <f t="shared" si="12"/>
        <v>10712.3055</v>
      </c>
      <c r="S54" s="191" t="s">
        <v>131</v>
      </c>
      <c r="T54" s="192"/>
    </row>
    <row r="55" spans="1:20" s="91" customFormat="1" ht="22.5" customHeight="1">
      <c r="A55" s="85" t="s">
        <v>119</v>
      </c>
      <c r="B55" s="86"/>
      <c r="C55" s="140" t="s">
        <v>85</v>
      </c>
      <c r="D55" s="141" t="s">
        <v>234</v>
      </c>
      <c r="E55" s="87"/>
      <c r="F55" s="87"/>
      <c r="G55" s="88"/>
      <c r="H55" s="89"/>
      <c r="I55" s="89"/>
      <c r="J55" s="31">
        <f>24.68*60+23.75*78</f>
        <v>3333.3</v>
      </c>
      <c r="K55" s="31"/>
      <c r="L55" s="111">
        <f>24.68*60+23.75*78</f>
        <v>3333.3</v>
      </c>
      <c r="M55" s="31">
        <v>3333.3</v>
      </c>
      <c r="N55" s="31"/>
      <c r="O55" s="111">
        <f t="shared" si="18"/>
        <v>3333.3</v>
      </c>
      <c r="P55" s="31">
        <f t="shared" si="19"/>
        <v>2166.645</v>
      </c>
      <c r="Q55" s="31"/>
      <c r="R55" s="111">
        <f t="shared" si="12"/>
        <v>2166.645</v>
      </c>
      <c r="S55" s="191" t="s">
        <v>131</v>
      </c>
      <c r="T55" s="192"/>
    </row>
    <row r="56" spans="1:20" s="137" customFormat="1" ht="24.75" customHeight="1">
      <c r="A56" s="132" t="s">
        <v>149</v>
      </c>
      <c r="B56" s="138"/>
      <c r="C56" s="189" t="s">
        <v>150</v>
      </c>
      <c r="D56" s="190"/>
      <c r="E56" s="139"/>
      <c r="F56" s="133"/>
      <c r="G56" s="134"/>
      <c r="H56" s="135"/>
      <c r="I56" s="135"/>
      <c r="J56" s="136"/>
      <c r="K56" s="136"/>
      <c r="L56" s="136">
        <f>SUM(L31:L43)-L30</f>
        <v>37167.33999999994</v>
      </c>
      <c r="M56" s="136">
        <f>SUM(M31:M43)-M30</f>
        <v>37167.33999999997</v>
      </c>
      <c r="N56" s="136"/>
      <c r="O56" s="136">
        <f>+N56+M56</f>
        <v>37167.33999999997</v>
      </c>
      <c r="P56" s="136">
        <f>+M56*0.65</f>
        <v>24158.77099999998</v>
      </c>
      <c r="Q56" s="136"/>
      <c r="R56" s="136">
        <f t="shared" si="12"/>
        <v>24158.77099999998</v>
      </c>
      <c r="S56" s="207" t="s">
        <v>237</v>
      </c>
      <c r="T56" s="208"/>
    </row>
    <row r="57" spans="1:20" s="91" customFormat="1" ht="11.25">
      <c r="A57" s="85"/>
      <c r="B57" s="86"/>
      <c r="C57" s="142"/>
      <c r="D57" s="143"/>
      <c r="E57" s="87"/>
      <c r="F57" s="87"/>
      <c r="G57" s="88"/>
      <c r="H57" s="89"/>
      <c r="I57" s="89"/>
      <c r="J57" s="31"/>
      <c r="K57" s="31"/>
      <c r="L57" s="111">
        <f>SUM(L45:L55)-L44</f>
        <v>0</v>
      </c>
      <c r="M57" s="31"/>
      <c r="N57" s="31"/>
      <c r="O57" s="111"/>
      <c r="P57" s="31"/>
      <c r="Q57" s="31"/>
      <c r="R57" s="111"/>
      <c r="S57" s="95"/>
      <c r="T57" s="96"/>
    </row>
    <row r="59" spans="1:20" ht="12.75">
      <c r="A59" s="172" t="s">
        <v>7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4"/>
      <c r="M59" s="82" t="s">
        <v>107</v>
      </c>
      <c r="N59" s="28" t="s">
        <v>108</v>
      </c>
      <c r="O59" s="122" t="s">
        <v>109</v>
      </c>
      <c r="P59" s="28" t="s">
        <v>110</v>
      </c>
      <c r="Q59" s="28" t="s">
        <v>111</v>
      </c>
      <c r="R59" s="122" t="s">
        <v>112</v>
      </c>
      <c r="S59" s="32" t="s">
        <v>25</v>
      </c>
      <c r="T59" s="33" t="s">
        <v>26</v>
      </c>
    </row>
    <row r="60" spans="1:21" ht="11.25">
      <c r="A60" s="222"/>
      <c r="B60" s="223"/>
      <c r="C60" s="215"/>
      <c r="D60" s="216"/>
      <c r="E60" s="216"/>
      <c r="F60" s="216"/>
      <c r="G60" s="216"/>
      <c r="H60" s="216"/>
      <c r="I60" s="216"/>
      <c r="J60" s="216"/>
      <c r="K60" s="217"/>
      <c r="L60" s="112" t="s">
        <v>12</v>
      </c>
      <c r="M60" s="3">
        <v>80000</v>
      </c>
      <c r="N60" s="3">
        <f>M60*0.2</f>
        <v>16000</v>
      </c>
      <c r="O60" s="123">
        <f>SUM(M60:N60)</f>
        <v>96000</v>
      </c>
      <c r="P60" s="83">
        <f>M60*0.65</f>
        <v>52000</v>
      </c>
      <c r="Q60" s="3">
        <f>P60*0.2</f>
        <v>10400</v>
      </c>
      <c r="R60" s="123">
        <f>SUM(P60:Q60)</f>
        <v>62400</v>
      </c>
      <c r="S60" s="49"/>
      <c r="T60" s="49"/>
      <c r="U60" s="29"/>
    </row>
    <row r="61" spans="1:21" ht="11.25">
      <c r="A61" s="211"/>
      <c r="B61" s="212"/>
      <c r="C61" s="44"/>
      <c r="D61" s="43"/>
      <c r="E61" s="43"/>
      <c r="F61" s="43"/>
      <c r="G61" s="43"/>
      <c r="H61" s="43"/>
      <c r="I61" s="43"/>
      <c r="J61" s="43"/>
      <c r="K61" s="4">
        <v>0</v>
      </c>
      <c r="L61" s="113" t="s">
        <v>28</v>
      </c>
      <c r="M61" s="4">
        <f aca="true" t="shared" si="20" ref="M61:R61">SUM(M67)</f>
        <v>0</v>
      </c>
      <c r="N61" s="4">
        <f t="shared" si="20"/>
        <v>0</v>
      </c>
      <c r="O61" s="124">
        <f t="shared" si="20"/>
        <v>0</v>
      </c>
      <c r="P61" s="4">
        <f t="shared" si="20"/>
        <v>0</v>
      </c>
      <c r="Q61" s="4">
        <f t="shared" si="20"/>
        <v>0</v>
      </c>
      <c r="R61" s="124">
        <f t="shared" si="20"/>
        <v>0</v>
      </c>
      <c r="S61" s="50">
        <f>R61*0.375</f>
        <v>0</v>
      </c>
      <c r="T61" s="5">
        <f>R61-S61</f>
        <v>0</v>
      </c>
      <c r="U61" s="29"/>
    </row>
    <row r="62" spans="1:21" ht="11.25">
      <c r="A62" s="211"/>
      <c r="B62" s="212"/>
      <c r="C62" s="44"/>
      <c r="D62" s="43"/>
      <c r="E62" s="43"/>
      <c r="F62" s="63"/>
      <c r="G62" s="64"/>
      <c r="H62" s="43"/>
      <c r="I62" s="43"/>
      <c r="J62" s="43"/>
      <c r="K62" s="45"/>
      <c r="L62" s="113" t="s">
        <v>29</v>
      </c>
      <c r="M62" s="4"/>
      <c r="N62" s="4"/>
      <c r="O62" s="124"/>
      <c r="P62" s="4"/>
      <c r="Q62" s="4"/>
      <c r="R62" s="124"/>
      <c r="S62" s="50">
        <f>R62*0.375</f>
        <v>0</v>
      </c>
      <c r="T62" s="5">
        <f>R62-S62</f>
        <v>0</v>
      </c>
      <c r="U62" s="29"/>
    </row>
    <row r="63" spans="1:21" ht="11.25">
      <c r="A63" s="211"/>
      <c r="B63" s="212"/>
      <c r="C63" s="44"/>
      <c r="D63" s="43"/>
      <c r="E63" s="43"/>
      <c r="F63" s="43"/>
      <c r="G63" s="43"/>
      <c r="H63" s="43"/>
      <c r="I63" s="43"/>
      <c r="J63" s="43"/>
      <c r="K63" s="45"/>
      <c r="L63" s="113" t="s">
        <v>124</v>
      </c>
      <c r="M63" s="4"/>
      <c r="N63" s="4"/>
      <c r="O63" s="124"/>
      <c r="P63" s="4"/>
      <c r="Q63" s="4"/>
      <c r="R63" s="124"/>
      <c r="S63" s="94"/>
      <c r="T63" s="94"/>
      <c r="U63" s="29"/>
    </row>
    <row r="64" spans="1:21" ht="11.25">
      <c r="A64" s="211"/>
      <c r="B64" s="212"/>
      <c r="C64" s="44"/>
      <c r="D64" s="43"/>
      <c r="E64" s="43"/>
      <c r="F64" s="43"/>
      <c r="G64" s="43"/>
      <c r="H64" s="43"/>
      <c r="I64" s="43"/>
      <c r="J64" s="43"/>
      <c r="K64" s="45"/>
      <c r="L64" s="113" t="s">
        <v>236</v>
      </c>
      <c r="M64" s="4"/>
      <c r="N64" s="4"/>
      <c r="O64" s="124"/>
      <c r="P64" s="4"/>
      <c r="Q64" s="4"/>
      <c r="R64" s="124"/>
      <c r="S64" s="94"/>
      <c r="T64" s="94"/>
      <c r="U64" s="29"/>
    </row>
    <row r="65" spans="1:21" ht="11.25">
      <c r="A65" s="213"/>
      <c r="B65" s="214"/>
      <c r="C65" s="175"/>
      <c r="D65" s="176"/>
      <c r="E65" s="176"/>
      <c r="F65" s="176"/>
      <c r="G65" s="176"/>
      <c r="H65" s="176"/>
      <c r="I65" s="176"/>
      <c r="J65" s="176"/>
      <c r="K65" s="177"/>
      <c r="L65" s="114" t="s">
        <v>13</v>
      </c>
      <c r="M65" s="6">
        <f>M60-M61-M62</f>
        <v>80000</v>
      </c>
      <c r="N65" s="6"/>
      <c r="O65" s="125"/>
      <c r="P65" s="6"/>
      <c r="Q65" s="6"/>
      <c r="R65" s="125">
        <f>R60-R61</f>
        <v>62400</v>
      </c>
      <c r="S65" s="35"/>
      <c r="T65" s="1"/>
      <c r="U65" s="29"/>
    </row>
    <row r="66" spans="1:20" ht="33.75">
      <c r="A66" s="7" t="s">
        <v>14</v>
      </c>
      <c r="B66" s="7" t="s">
        <v>11</v>
      </c>
      <c r="C66" s="34" t="s">
        <v>24</v>
      </c>
      <c r="D66" s="34" t="s">
        <v>20</v>
      </c>
      <c r="E66" s="41" t="s">
        <v>2</v>
      </c>
      <c r="F66" s="34" t="s">
        <v>19</v>
      </c>
      <c r="G66" s="34" t="s">
        <v>18</v>
      </c>
      <c r="H66" s="41" t="s">
        <v>17</v>
      </c>
      <c r="I66" s="41" t="s">
        <v>16</v>
      </c>
      <c r="J66" s="34" t="s">
        <v>3</v>
      </c>
      <c r="K66" s="34" t="s">
        <v>4</v>
      </c>
      <c r="L66" s="110" t="s">
        <v>5</v>
      </c>
      <c r="M66" s="7" t="s">
        <v>21</v>
      </c>
      <c r="N66" s="7" t="s">
        <v>88</v>
      </c>
      <c r="O66" s="110" t="s">
        <v>90</v>
      </c>
      <c r="P66" s="7" t="s">
        <v>22</v>
      </c>
      <c r="Q66" s="7" t="s">
        <v>91</v>
      </c>
      <c r="R66" s="110" t="s">
        <v>89</v>
      </c>
      <c r="S66" s="218" t="s">
        <v>27</v>
      </c>
      <c r="T66" s="218"/>
    </row>
    <row r="67" spans="1:20" ht="116.25" customHeight="1">
      <c r="A67" s="58" t="s">
        <v>15</v>
      </c>
      <c r="B67" s="81" t="s">
        <v>84</v>
      </c>
      <c r="C67" s="239" t="s">
        <v>43</v>
      </c>
      <c r="D67" s="67" t="s">
        <v>147</v>
      </c>
      <c r="E67" s="9" t="s">
        <v>62</v>
      </c>
      <c r="F67" s="79" t="s">
        <v>63</v>
      </c>
      <c r="G67" s="10">
        <v>38405</v>
      </c>
      <c r="H67" s="15">
        <v>38407</v>
      </c>
      <c r="I67" s="15" t="s">
        <v>64</v>
      </c>
      <c r="J67" s="12">
        <v>14166.67</v>
      </c>
      <c r="K67" s="12">
        <f>+J67*0.2</f>
        <v>2833.3340000000003</v>
      </c>
      <c r="L67" s="111">
        <f>SUM(J67:K67)</f>
        <v>17000.004</v>
      </c>
      <c r="M67" s="31">
        <v>0</v>
      </c>
      <c r="N67" s="31"/>
      <c r="O67" s="111"/>
      <c r="P67" s="31"/>
      <c r="Q67" s="31"/>
      <c r="R67" s="111">
        <f>M67*0.65</f>
        <v>0</v>
      </c>
      <c r="S67" s="203" t="s">
        <v>100</v>
      </c>
      <c r="T67" s="204"/>
    </row>
    <row r="69" spans="1:20" ht="12.75">
      <c r="A69" s="181" t="s">
        <v>1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4"/>
      <c r="M69" s="82" t="s">
        <v>107</v>
      </c>
      <c r="N69" s="28" t="s">
        <v>108</v>
      </c>
      <c r="O69" s="122" t="s">
        <v>109</v>
      </c>
      <c r="P69" s="28" t="s">
        <v>110</v>
      </c>
      <c r="Q69" s="28" t="s">
        <v>111</v>
      </c>
      <c r="R69" s="122" t="s">
        <v>112</v>
      </c>
      <c r="S69" s="32" t="s">
        <v>25</v>
      </c>
      <c r="T69" s="33" t="s">
        <v>26</v>
      </c>
    </row>
    <row r="70" spans="1:21" ht="11.25">
      <c r="A70" s="211"/>
      <c r="B70" s="212"/>
      <c r="C70" s="178"/>
      <c r="D70" s="209"/>
      <c r="E70" s="209"/>
      <c r="F70" s="209"/>
      <c r="G70" s="209"/>
      <c r="H70" s="209"/>
      <c r="I70" s="209"/>
      <c r="J70" s="209"/>
      <c r="K70" s="210"/>
      <c r="L70" s="107" t="s">
        <v>12</v>
      </c>
      <c r="M70" s="3">
        <v>0</v>
      </c>
      <c r="N70" s="3">
        <f>M70*0.2</f>
        <v>0</v>
      </c>
      <c r="O70" s="123">
        <f>SUM(M70:N70)</f>
        <v>0</v>
      </c>
      <c r="P70" s="83">
        <f>M70*0.65</f>
        <v>0</v>
      </c>
      <c r="Q70" s="3">
        <f>P70*0.2</f>
        <v>0</v>
      </c>
      <c r="R70" s="123">
        <f>SUM(P70:Q70)</f>
        <v>0</v>
      </c>
      <c r="S70" s="49"/>
      <c r="T70" s="49"/>
      <c r="U70" s="29"/>
    </row>
    <row r="71" spans="1:21" ht="11.25">
      <c r="A71" s="211"/>
      <c r="B71" s="212"/>
      <c r="C71" s="44"/>
      <c r="D71" s="43"/>
      <c r="E71" s="43"/>
      <c r="F71" s="43"/>
      <c r="G71" s="43"/>
      <c r="H71" s="43"/>
      <c r="I71" s="43"/>
      <c r="J71" s="43"/>
      <c r="K71" s="13">
        <f>SUM(K77:K78)</f>
        <v>0</v>
      </c>
      <c r="L71" s="108" t="s">
        <v>28</v>
      </c>
      <c r="M71" s="13">
        <f>SUM(M77:M78)</f>
        <v>0</v>
      </c>
      <c r="N71" s="13"/>
      <c r="O71" s="126"/>
      <c r="P71" s="13"/>
      <c r="Q71" s="13"/>
      <c r="R71" s="126">
        <f>SUM(R77:R78)</f>
        <v>0</v>
      </c>
      <c r="S71" s="50">
        <f>R71*0.375</f>
        <v>0</v>
      </c>
      <c r="T71" s="5">
        <f>R71-S71</f>
        <v>0</v>
      </c>
      <c r="U71" s="29"/>
    </row>
    <row r="72" spans="1:21" ht="11.25">
      <c r="A72" s="211"/>
      <c r="B72" s="212"/>
      <c r="C72" s="44"/>
      <c r="D72" s="43"/>
      <c r="E72" s="43"/>
      <c r="F72" s="43"/>
      <c r="G72" s="43"/>
      <c r="H72" s="43"/>
      <c r="I72" s="43"/>
      <c r="J72" s="43"/>
      <c r="K72" s="45"/>
      <c r="L72" s="113" t="s">
        <v>29</v>
      </c>
      <c r="M72" s="4">
        <v>0</v>
      </c>
      <c r="N72" s="4"/>
      <c r="O72" s="124"/>
      <c r="P72" s="4"/>
      <c r="Q72" s="4"/>
      <c r="R72" s="124">
        <v>0</v>
      </c>
      <c r="S72" s="50">
        <f>R72*0.375</f>
        <v>0</v>
      </c>
      <c r="T72" s="5">
        <f>R72-S72</f>
        <v>0</v>
      </c>
      <c r="U72" s="29"/>
    </row>
    <row r="73" spans="1:21" ht="11.25">
      <c r="A73" s="211"/>
      <c r="B73" s="212"/>
      <c r="C73" s="44"/>
      <c r="D73" s="43"/>
      <c r="E73" s="43"/>
      <c r="F73" s="43"/>
      <c r="G73" s="43"/>
      <c r="H73" s="43"/>
      <c r="I73" s="43"/>
      <c r="J73" s="43"/>
      <c r="K73" s="45"/>
      <c r="L73" s="113" t="s">
        <v>124</v>
      </c>
      <c r="M73" s="4"/>
      <c r="N73" s="4"/>
      <c r="O73" s="124"/>
      <c r="P73" s="4"/>
      <c r="Q73" s="4"/>
      <c r="R73" s="124"/>
      <c r="S73" s="94"/>
      <c r="T73" s="94"/>
      <c r="U73" s="29"/>
    </row>
    <row r="74" spans="1:21" ht="11.25">
      <c r="A74" s="211"/>
      <c r="B74" s="212"/>
      <c r="C74" s="44"/>
      <c r="D74" s="43"/>
      <c r="E74" s="43"/>
      <c r="F74" s="43"/>
      <c r="G74" s="43"/>
      <c r="H74" s="43"/>
      <c r="I74" s="43"/>
      <c r="J74" s="43"/>
      <c r="K74" s="45"/>
      <c r="L74" s="113" t="s">
        <v>236</v>
      </c>
      <c r="M74" s="4"/>
      <c r="N74" s="4"/>
      <c r="O74" s="124"/>
      <c r="P74" s="4"/>
      <c r="Q74" s="4"/>
      <c r="R74" s="124"/>
      <c r="S74" s="94"/>
      <c r="T74" s="94"/>
      <c r="U74" s="29"/>
    </row>
    <row r="75" spans="1:21" ht="11.25">
      <c r="A75" s="213"/>
      <c r="B75" s="214"/>
      <c r="C75" s="175"/>
      <c r="D75" s="176"/>
      <c r="E75" s="176"/>
      <c r="F75" s="176"/>
      <c r="G75" s="176"/>
      <c r="H75" s="176"/>
      <c r="I75" s="176"/>
      <c r="J75" s="176"/>
      <c r="K75" s="177"/>
      <c r="L75" s="109" t="s">
        <v>13</v>
      </c>
      <c r="M75" s="6">
        <f>M70-M71-M72</f>
        <v>0</v>
      </c>
      <c r="N75" s="6"/>
      <c r="O75" s="125"/>
      <c r="P75" s="6"/>
      <c r="Q75" s="6"/>
      <c r="R75" s="127">
        <f>R70-R71</f>
        <v>0</v>
      </c>
      <c r="S75" s="51"/>
      <c r="T75" s="1"/>
      <c r="U75" s="29"/>
    </row>
    <row r="76" spans="1:20" ht="33.75">
      <c r="A76" s="7" t="s">
        <v>14</v>
      </c>
      <c r="B76" s="7" t="s">
        <v>11</v>
      </c>
      <c r="C76" s="34" t="s">
        <v>24</v>
      </c>
      <c r="D76" s="34" t="s">
        <v>20</v>
      </c>
      <c r="E76" s="41" t="s">
        <v>2</v>
      </c>
      <c r="F76" s="34" t="s">
        <v>19</v>
      </c>
      <c r="G76" s="34" t="s">
        <v>18</v>
      </c>
      <c r="H76" s="41" t="s">
        <v>17</v>
      </c>
      <c r="I76" s="41" t="s">
        <v>16</v>
      </c>
      <c r="J76" s="34" t="s">
        <v>3</v>
      </c>
      <c r="K76" s="34" t="s">
        <v>4</v>
      </c>
      <c r="L76" s="110" t="s">
        <v>5</v>
      </c>
      <c r="M76" s="7" t="s">
        <v>21</v>
      </c>
      <c r="N76" s="7" t="s">
        <v>88</v>
      </c>
      <c r="O76" s="110" t="s">
        <v>90</v>
      </c>
      <c r="P76" s="7" t="s">
        <v>22</v>
      </c>
      <c r="Q76" s="7" t="s">
        <v>91</v>
      </c>
      <c r="R76" s="110" t="s">
        <v>89</v>
      </c>
      <c r="S76" s="206" t="s">
        <v>27</v>
      </c>
      <c r="T76" s="206"/>
    </row>
    <row r="77" spans="1:20" ht="11.25">
      <c r="A77" s="58"/>
      <c r="B77" s="8"/>
      <c r="C77" s="9"/>
      <c r="D77" s="14"/>
      <c r="E77" s="14"/>
      <c r="F77" s="9"/>
      <c r="G77" s="10"/>
      <c r="H77" s="11"/>
      <c r="I77" s="11"/>
      <c r="J77" s="12"/>
      <c r="K77" s="12">
        <f>+J77*0.2</f>
        <v>0</v>
      </c>
      <c r="L77" s="111">
        <f>SUM(J77:K77)</f>
        <v>0</v>
      </c>
      <c r="M77" s="12">
        <f>+L77</f>
        <v>0</v>
      </c>
      <c r="N77" s="12"/>
      <c r="O77" s="111"/>
      <c r="P77" s="12"/>
      <c r="Q77" s="12"/>
      <c r="R77" s="111">
        <f>M77*0.65</f>
        <v>0</v>
      </c>
      <c r="S77" s="205"/>
      <c r="T77" s="205"/>
    </row>
    <row r="78" spans="1:20" ht="11.25">
      <c r="A78" s="59"/>
      <c r="B78" s="8"/>
      <c r="C78" s="9"/>
      <c r="D78" s="9"/>
      <c r="E78" s="9"/>
      <c r="F78" s="9"/>
      <c r="G78" s="10"/>
      <c r="H78" s="11"/>
      <c r="I78" s="11"/>
      <c r="J78" s="12"/>
      <c r="K78" s="12"/>
      <c r="L78" s="111"/>
      <c r="M78" s="12"/>
      <c r="N78" s="12"/>
      <c r="O78" s="111"/>
      <c r="P78" s="12"/>
      <c r="Q78" s="12"/>
      <c r="R78" s="111"/>
      <c r="S78" s="205"/>
      <c r="T78" s="205"/>
    </row>
    <row r="80" spans="1:20" ht="12.75">
      <c r="A80" s="181" t="s">
        <v>8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4"/>
      <c r="M80" s="82" t="s">
        <v>107</v>
      </c>
      <c r="N80" s="28" t="s">
        <v>108</v>
      </c>
      <c r="O80" s="122" t="s">
        <v>109</v>
      </c>
      <c r="P80" s="28" t="s">
        <v>110</v>
      </c>
      <c r="Q80" s="28" t="s">
        <v>111</v>
      </c>
      <c r="R80" s="122" t="s">
        <v>112</v>
      </c>
      <c r="S80" s="32" t="s">
        <v>25</v>
      </c>
      <c r="T80" s="33" t="s">
        <v>26</v>
      </c>
    </row>
    <row r="81" spans="1:21" ht="11.25">
      <c r="A81" s="211"/>
      <c r="B81" s="212"/>
      <c r="C81" s="178"/>
      <c r="D81" s="209"/>
      <c r="E81" s="209"/>
      <c r="F81" s="209"/>
      <c r="G81" s="209"/>
      <c r="H81" s="209"/>
      <c r="I81" s="209"/>
      <c r="J81" s="209"/>
      <c r="K81" s="210"/>
      <c r="L81" s="115" t="s">
        <v>12</v>
      </c>
      <c r="M81" s="3">
        <v>324000</v>
      </c>
      <c r="N81" s="3">
        <f>M81*0.2</f>
        <v>64800</v>
      </c>
      <c r="O81" s="123">
        <f>SUM(M81:N81)</f>
        <v>388800</v>
      </c>
      <c r="P81" s="83">
        <f>M81*0.65</f>
        <v>210600</v>
      </c>
      <c r="Q81" s="3">
        <f>P81*0.2</f>
        <v>42120</v>
      </c>
      <c r="R81" s="123">
        <f>SUM(P81:Q81)</f>
        <v>252720</v>
      </c>
      <c r="S81" s="49"/>
      <c r="T81" s="49"/>
      <c r="U81" s="29"/>
    </row>
    <row r="82" spans="1:21" ht="11.25">
      <c r="A82" s="211"/>
      <c r="B82" s="212"/>
      <c r="C82" s="44"/>
      <c r="D82" s="43"/>
      <c r="E82" s="43"/>
      <c r="F82" s="43"/>
      <c r="G82" s="43"/>
      <c r="H82" s="43"/>
      <c r="I82" s="43"/>
      <c r="J82" s="43"/>
      <c r="K82" s="4">
        <f>SUM(K88:K89)</f>
        <v>0</v>
      </c>
      <c r="L82" s="108" t="s">
        <v>28</v>
      </c>
      <c r="M82" s="4">
        <f aca="true" t="shared" si="21" ref="M82:R82">SUM(M88:M89)</f>
        <v>0</v>
      </c>
      <c r="N82" s="4">
        <f t="shared" si="21"/>
        <v>0</v>
      </c>
      <c r="O82" s="124">
        <f t="shared" si="21"/>
        <v>0</v>
      </c>
      <c r="P82" s="4">
        <f t="shared" si="21"/>
        <v>0</v>
      </c>
      <c r="Q82" s="4">
        <f t="shared" si="21"/>
        <v>0</v>
      </c>
      <c r="R82" s="124">
        <f t="shared" si="21"/>
        <v>0</v>
      </c>
      <c r="S82" s="50">
        <f>R82*0.375</f>
        <v>0</v>
      </c>
      <c r="T82" s="5">
        <f>R82-S82</f>
        <v>0</v>
      </c>
      <c r="U82" s="29"/>
    </row>
    <row r="83" spans="1:21" ht="11.25">
      <c r="A83" s="211"/>
      <c r="B83" s="212"/>
      <c r="C83" s="44"/>
      <c r="D83" s="43"/>
      <c r="E83" s="43"/>
      <c r="F83" s="43"/>
      <c r="G83" s="43"/>
      <c r="H83" s="43"/>
      <c r="I83" s="43"/>
      <c r="J83" s="43"/>
      <c r="K83" s="45"/>
      <c r="L83" s="113" t="s">
        <v>29</v>
      </c>
      <c r="M83" s="4">
        <v>0</v>
      </c>
      <c r="N83" s="4"/>
      <c r="O83" s="124"/>
      <c r="P83" s="4"/>
      <c r="Q83" s="4"/>
      <c r="R83" s="124">
        <v>0</v>
      </c>
      <c r="S83" s="50">
        <f>R83*0.375</f>
        <v>0</v>
      </c>
      <c r="T83" s="5">
        <f>R83-S83</f>
        <v>0</v>
      </c>
      <c r="U83" s="29"/>
    </row>
    <row r="84" spans="1:21" ht="11.25">
      <c r="A84" s="211"/>
      <c r="B84" s="212"/>
      <c r="C84" s="44"/>
      <c r="D84" s="43"/>
      <c r="E84" s="43"/>
      <c r="F84" s="43"/>
      <c r="G84" s="43"/>
      <c r="H84" s="43"/>
      <c r="I84" s="43"/>
      <c r="J84" s="43"/>
      <c r="K84" s="45"/>
      <c r="L84" s="113" t="s">
        <v>124</v>
      </c>
      <c r="M84" s="4"/>
      <c r="N84" s="4"/>
      <c r="O84" s="124"/>
      <c r="P84" s="4"/>
      <c r="Q84" s="4"/>
      <c r="R84" s="124"/>
      <c r="S84" s="94"/>
      <c r="T84" s="94"/>
      <c r="U84" s="29"/>
    </row>
    <row r="85" spans="1:21" ht="11.25">
      <c r="A85" s="211"/>
      <c r="B85" s="212"/>
      <c r="C85" s="44"/>
      <c r="D85" s="43"/>
      <c r="E85" s="43"/>
      <c r="F85" s="43"/>
      <c r="G85" s="43"/>
      <c r="H85" s="43"/>
      <c r="I85" s="43"/>
      <c r="J85" s="43"/>
      <c r="K85" s="45"/>
      <c r="L85" s="113" t="s">
        <v>236</v>
      </c>
      <c r="M85" s="4"/>
      <c r="N85" s="4"/>
      <c r="O85" s="124"/>
      <c r="P85" s="4"/>
      <c r="Q85" s="4"/>
      <c r="R85" s="124"/>
      <c r="S85" s="94"/>
      <c r="T85" s="94"/>
      <c r="U85" s="29"/>
    </row>
    <row r="86" spans="1:21" ht="11.25">
      <c r="A86" s="213"/>
      <c r="B86" s="214"/>
      <c r="C86" s="175"/>
      <c r="D86" s="176"/>
      <c r="E86" s="176"/>
      <c r="F86" s="176"/>
      <c r="G86" s="176"/>
      <c r="H86" s="176"/>
      <c r="I86" s="176"/>
      <c r="J86" s="176"/>
      <c r="K86" s="177"/>
      <c r="L86" s="109" t="s">
        <v>13</v>
      </c>
      <c r="M86" s="6">
        <f>M81-M82-M83</f>
        <v>324000</v>
      </c>
      <c r="N86" s="6"/>
      <c r="O86" s="125"/>
      <c r="P86" s="6"/>
      <c r="Q86" s="6"/>
      <c r="R86" s="125">
        <f>R81-R82</f>
        <v>252720</v>
      </c>
      <c r="S86" s="1"/>
      <c r="T86" s="1"/>
      <c r="U86" s="29"/>
    </row>
    <row r="87" spans="1:20" ht="22.5">
      <c r="A87" s="7" t="s">
        <v>14</v>
      </c>
      <c r="B87" s="7" t="s">
        <v>11</v>
      </c>
      <c r="C87" s="34" t="s">
        <v>24</v>
      </c>
      <c r="D87" s="34" t="s">
        <v>20</v>
      </c>
      <c r="E87" s="41" t="s">
        <v>2</v>
      </c>
      <c r="F87" s="34" t="s">
        <v>19</v>
      </c>
      <c r="G87" s="34" t="s">
        <v>18</v>
      </c>
      <c r="H87" s="41" t="s">
        <v>17</v>
      </c>
      <c r="I87" s="41" t="s">
        <v>16</v>
      </c>
      <c r="J87" s="34" t="s">
        <v>3</v>
      </c>
      <c r="K87" s="34" t="s">
        <v>4</v>
      </c>
      <c r="L87" s="110" t="s">
        <v>5</v>
      </c>
      <c r="M87" s="7" t="s">
        <v>21</v>
      </c>
      <c r="N87" s="7"/>
      <c r="O87" s="110"/>
      <c r="P87" s="7"/>
      <c r="Q87" s="7"/>
      <c r="R87" s="110" t="s">
        <v>22</v>
      </c>
      <c r="S87" s="206" t="s">
        <v>27</v>
      </c>
      <c r="T87" s="206"/>
    </row>
    <row r="88" spans="1:20" ht="11.25">
      <c r="A88" s="58"/>
      <c r="B88" s="8"/>
      <c r="C88" s="9"/>
      <c r="D88" s="16"/>
      <c r="E88" s="8"/>
      <c r="F88" s="8"/>
      <c r="G88" s="17"/>
      <c r="H88" s="18"/>
      <c r="I88" s="19"/>
      <c r="J88" s="12"/>
      <c r="K88" s="12"/>
      <c r="L88" s="116">
        <f>J88+K88</f>
        <v>0</v>
      </c>
      <c r="M88" s="12"/>
      <c r="N88" s="12"/>
      <c r="O88" s="111"/>
      <c r="P88" s="12"/>
      <c r="Q88" s="12"/>
      <c r="R88" s="111">
        <f>M88*0.65</f>
        <v>0</v>
      </c>
      <c r="S88" s="205"/>
      <c r="T88" s="205"/>
    </row>
    <row r="89" spans="1:20" ht="11.25">
      <c r="A89" s="59"/>
      <c r="B89" s="8"/>
      <c r="C89" s="9"/>
      <c r="D89" s="9"/>
      <c r="E89" s="9"/>
      <c r="F89" s="9"/>
      <c r="G89" s="10"/>
      <c r="H89" s="11"/>
      <c r="I89" s="11"/>
      <c r="J89" s="12"/>
      <c r="K89" s="12"/>
      <c r="L89" s="111"/>
      <c r="M89" s="12"/>
      <c r="N89" s="12"/>
      <c r="O89" s="111"/>
      <c r="P89" s="12"/>
      <c r="Q89" s="12"/>
      <c r="R89" s="111"/>
      <c r="S89" s="205"/>
      <c r="T89" s="205"/>
    </row>
    <row r="91" spans="1:20" ht="11.25">
      <c r="A91" s="181" t="s">
        <v>23</v>
      </c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71"/>
      <c r="M91" s="82" t="s">
        <v>107</v>
      </c>
      <c r="N91" s="28" t="s">
        <v>108</v>
      </c>
      <c r="O91" s="122" t="s">
        <v>109</v>
      </c>
      <c r="P91" s="28" t="s">
        <v>110</v>
      </c>
      <c r="Q91" s="28" t="s">
        <v>111</v>
      </c>
      <c r="R91" s="122" t="s">
        <v>112</v>
      </c>
      <c r="S91" s="32" t="s">
        <v>25</v>
      </c>
      <c r="T91" s="33" t="s">
        <v>26</v>
      </c>
    </row>
    <row r="92" spans="1:21" ht="11.25">
      <c r="A92" s="211"/>
      <c r="B92" s="212"/>
      <c r="C92" s="215"/>
      <c r="D92" s="216"/>
      <c r="E92" s="216"/>
      <c r="F92" s="216"/>
      <c r="G92" s="216"/>
      <c r="H92" s="216"/>
      <c r="I92" s="216"/>
      <c r="J92" s="216"/>
      <c r="K92" s="217"/>
      <c r="L92" s="115" t="s">
        <v>12</v>
      </c>
      <c r="M92" s="3">
        <v>323381</v>
      </c>
      <c r="N92" s="3">
        <f>M92*0.2</f>
        <v>64676.200000000004</v>
      </c>
      <c r="O92" s="123">
        <f>SUM(M92:N92)</f>
        <v>388057.2</v>
      </c>
      <c r="P92" s="83">
        <f>M92*0.65</f>
        <v>210197.65</v>
      </c>
      <c r="Q92" s="3">
        <f>P92*0.2</f>
        <v>42039.53</v>
      </c>
      <c r="R92" s="123">
        <f>SUM(P92:Q92)</f>
        <v>252237.18</v>
      </c>
      <c r="S92" s="54"/>
      <c r="T92" s="54"/>
      <c r="U92" s="29"/>
    </row>
    <row r="93" spans="1:21" ht="11.25">
      <c r="A93" s="211"/>
      <c r="B93" s="212"/>
      <c r="C93" s="44"/>
      <c r="D93" s="43"/>
      <c r="E93" s="43"/>
      <c r="F93" s="43"/>
      <c r="G93" s="43"/>
      <c r="H93" s="43"/>
      <c r="I93" s="43"/>
      <c r="J93" s="43"/>
      <c r="K93" s="4">
        <f>SUM(K99)</f>
        <v>0</v>
      </c>
      <c r="L93" s="108" t="s">
        <v>28</v>
      </c>
      <c r="M93" s="4">
        <f>SUM(M99:M100)</f>
        <v>0</v>
      </c>
      <c r="N93" s="4"/>
      <c r="O93" s="124"/>
      <c r="P93" s="4"/>
      <c r="Q93" s="4"/>
      <c r="R93" s="124">
        <f>SUM(R99)</f>
        <v>0</v>
      </c>
      <c r="S93" s="50">
        <f>R93*0.375</f>
        <v>0</v>
      </c>
      <c r="T93" s="5">
        <f>R93-S93</f>
        <v>0</v>
      </c>
      <c r="U93" s="29"/>
    </row>
    <row r="94" spans="1:21" ht="11.25">
      <c r="A94" s="211"/>
      <c r="B94" s="212"/>
      <c r="C94" s="44"/>
      <c r="D94" s="43"/>
      <c r="E94" s="43"/>
      <c r="F94" s="43"/>
      <c r="G94" s="43"/>
      <c r="H94" s="43"/>
      <c r="I94" s="43"/>
      <c r="J94" s="43"/>
      <c r="K94" s="45"/>
      <c r="L94" s="108" t="s">
        <v>29</v>
      </c>
      <c r="M94" s="4">
        <f>SUM(M100:M100)</f>
        <v>0</v>
      </c>
      <c r="N94" s="4"/>
      <c r="O94" s="124"/>
      <c r="P94" s="4"/>
      <c r="Q94" s="4"/>
      <c r="R94" s="124">
        <f>SUM(R100:R100)</f>
        <v>0</v>
      </c>
      <c r="S94" s="50">
        <f>R94*0.375</f>
        <v>0</v>
      </c>
      <c r="T94" s="5">
        <f>R94-S94</f>
        <v>0</v>
      </c>
      <c r="U94" s="29"/>
    </row>
    <row r="95" spans="1:21" ht="11.25">
      <c r="A95" s="211"/>
      <c r="B95" s="212"/>
      <c r="C95" s="44"/>
      <c r="D95" s="43"/>
      <c r="E95" s="43"/>
      <c r="F95" s="43"/>
      <c r="G95" s="43"/>
      <c r="H95" s="43"/>
      <c r="I95" s="43"/>
      <c r="J95" s="43"/>
      <c r="K95" s="45"/>
      <c r="L95" s="108" t="s">
        <v>124</v>
      </c>
      <c r="M95" s="4"/>
      <c r="N95" s="4"/>
      <c r="O95" s="124"/>
      <c r="P95" s="4"/>
      <c r="Q95" s="4"/>
      <c r="R95" s="124"/>
      <c r="S95" s="94"/>
      <c r="T95" s="94"/>
      <c r="U95" s="29"/>
    </row>
    <row r="96" spans="1:21" ht="11.25">
      <c r="A96" s="211"/>
      <c r="B96" s="212"/>
      <c r="C96" s="44"/>
      <c r="D96" s="43"/>
      <c r="E96" s="43"/>
      <c r="F96" s="43"/>
      <c r="G96" s="43"/>
      <c r="H96" s="43"/>
      <c r="I96" s="43"/>
      <c r="J96" s="43"/>
      <c r="K96" s="45"/>
      <c r="L96" s="108" t="s">
        <v>236</v>
      </c>
      <c r="M96" s="4"/>
      <c r="N96" s="4"/>
      <c r="O96" s="124"/>
      <c r="P96" s="4"/>
      <c r="Q96" s="4"/>
      <c r="R96" s="124"/>
      <c r="S96" s="94"/>
      <c r="T96" s="94"/>
      <c r="U96" s="29"/>
    </row>
    <row r="97" spans="1:21" ht="11.25">
      <c r="A97" s="213"/>
      <c r="B97" s="214"/>
      <c r="C97" s="46"/>
      <c r="D97" s="47"/>
      <c r="E97" s="47"/>
      <c r="F97" s="47"/>
      <c r="G97" s="47"/>
      <c r="H97" s="47"/>
      <c r="I97" s="47"/>
      <c r="J97" s="47"/>
      <c r="K97" s="48"/>
      <c r="L97" s="109" t="s">
        <v>13</v>
      </c>
      <c r="M97" s="6">
        <f>M92-M93-M94</f>
        <v>323381</v>
      </c>
      <c r="N97" s="6"/>
      <c r="O97" s="125"/>
      <c r="P97" s="6"/>
      <c r="Q97" s="6"/>
      <c r="R97" s="127">
        <f>R92-R93</f>
        <v>252237.18</v>
      </c>
      <c r="S97" s="1"/>
      <c r="T97" s="1"/>
      <c r="U97" s="29"/>
    </row>
    <row r="98" spans="1:20" ht="33.75">
      <c r="A98" s="7" t="s">
        <v>14</v>
      </c>
      <c r="B98" s="7" t="s">
        <v>11</v>
      </c>
      <c r="C98" s="34" t="s">
        <v>24</v>
      </c>
      <c r="D98" s="34" t="s">
        <v>20</v>
      </c>
      <c r="E98" s="41" t="s">
        <v>2</v>
      </c>
      <c r="F98" s="34" t="s">
        <v>19</v>
      </c>
      <c r="G98" s="34" t="s">
        <v>18</v>
      </c>
      <c r="H98" s="41" t="s">
        <v>17</v>
      </c>
      <c r="I98" s="41" t="s">
        <v>16</v>
      </c>
      <c r="J98" s="34" t="s">
        <v>3</v>
      </c>
      <c r="K98" s="34" t="s">
        <v>4</v>
      </c>
      <c r="L98" s="110" t="s">
        <v>5</v>
      </c>
      <c r="M98" s="7" t="s">
        <v>21</v>
      </c>
      <c r="N98" s="7" t="s">
        <v>88</v>
      </c>
      <c r="O98" s="110" t="s">
        <v>90</v>
      </c>
      <c r="P98" s="7" t="s">
        <v>22</v>
      </c>
      <c r="Q98" s="7" t="s">
        <v>91</v>
      </c>
      <c r="R98" s="110" t="s">
        <v>89</v>
      </c>
      <c r="S98" s="206" t="s">
        <v>27</v>
      </c>
      <c r="T98" s="206"/>
    </row>
    <row r="99" spans="1:20" ht="11.25">
      <c r="A99" s="58"/>
      <c r="B99" s="8"/>
      <c r="C99" s="9"/>
      <c r="D99" s="21"/>
      <c r="E99" s="14"/>
      <c r="F99" s="22"/>
      <c r="G99" s="23"/>
      <c r="H99" s="17"/>
      <c r="I99" s="24"/>
      <c r="J99" s="25"/>
      <c r="K99" s="26">
        <f>+J99*0.2</f>
        <v>0</v>
      </c>
      <c r="L99" s="117">
        <f>+K99+J99</f>
        <v>0</v>
      </c>
      <c r="M99" s="12">
        <f>+L99</f>
        <v>0</v>
      </c>
      <c r="N99" s="12"/>
      <c r="O99" s="111"/>
      <c r="P99" s="12"/>
      <c r="Q99" s="12"/>
      <c r="R99" s="111">
        <f>M99*0.65</f>
        <v>0</v>
      </c>
      <c r="S99" s="205"/>
      <c r="T99" s="205"/>
    </row>
    <row r="100" spans="1:20" ht="11.25">
      <c r="A100" s="58"/>
      <c r="B100" s="8"/>
      <c r="C100" s="9"/>
      <c r="D100" s="9"/>
      <c r="E100" s="9"/>
      <c r="F100" s="8"/>
      <c r="G100" s="17"/>
      <c r="H100" s="17"/>
      <c r="I100" s="24"/>
      <c r="J100" s="20"/>
      <c r="K100" s="26"/>
      <c r="L100" s="117"/>
      <c r="M100" s="12"/>
      <c r="N100" s="12"/>
      <c r="O100" s="111"/>
      <c r="P100" s="12"/>
      <c r="Q100" s="12"/>
      <c r="R100" s="111"/>
      <c r="S100" s="205"/>
      <c r="T100" s="205"/>
    </row>
    <row r="102" spans="1:20" ht="11.25">
      <c r="A102" s="181" t="s">
        <v>9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71"/>
      <c r="M102" s="82" t="s">
        <v>107</v>
      </c>
      <c r="N102" s="28" t="s">
        <v>108</v>
      </c>
      <c r="O102" s="122" t="s">
        <v>109</v>
      </c>
      <c r="P102" s="28" t="s">
        <v>110</v>
      </c>
      <c r="Q102" s="28" t="s">
        <v>111</v>
      </c>
      <c r="R102" s="122" t="s">
        <v>112</v>
      </c>
      <c r="S102" s="32" t="s">
        <v>25</v>
      </c>
      <c r="T102" s="33" t="s">
        <v>26</v>
      </c>
    </row>
    <row r="103" spans="1:21" ht="11.25">
      <c r="A103" s="211"/>
      <c r="B103" s="212"/>
      <c r="C103" s="215"/>
      <c r="D103" s="216"/>
      <c r="E103" s="216"/>
      <c r="F103" s="216"/>
      <c r="G103" s="216"/>
      <c r="H103" s="216"/>
      <c r="I103" s="216"/>
      <c r="J103" s="216"/>
      <c r="K103" s="217"/>
      <c r="L103" s="115" t="s">
        <v>12</v>
      </c>
      <c r="M103" s="3">
        <v>243100</v>
      </c>
      <c r="N103" s="3">
        <f>M103*0.2</f>
        <v>48620</v>
      </c>
      <c r="O103" s="123">
        <f>SUM(M103:N103)</f>
        <v>291720</v>
      </c>
      <c r="P103" s="83">
        <f>M103*0.65</f>
        <v>158015</v>
      </c>
      <c r="Q103" s="3">
        <f>P103*0.2</f>
        <v>31603</v>
      </c>
      <c r="R103" s="123">
        <f>SUM(P103:Q103)</f>
        <v>189618</v>
      </c>
      <c r="S103" s="49"/>
      <c r="T103" s="49"/>
      <c r="U103" s="29"/>
    </row>
    <row r="104" spans="1:21" ht="11.25">
      <c r="A104" s="211"/>
      <c r="B104" s="212"/>
      <c r="C104" s="44"/>
      <c r="D104" s="43"/>
      <c r="E104" s="43"/>
      <c r="F104" s="43"/>
      <c r="G104" s="43"/>
      <c r="H104" s="43"/>
      <c r="I104" s="43"/>
      <c r="J104" s="43"/>
      <c r="K104" s="4"/>
      <c r="L104" s="108" t="s">
        <v>28</v>
      </c>
      <c r="M104" s="4">
        <v>0</v>
      </c>
      <c r="N104" s="4"/>
      <c r="O104" s="124"/>
      <c r="P104" s="4"/>
      <c r="Q104" s="4"/>
      <c r="R104" s="124">
        <v>0</v>
      </c>
      <c r="S104" s="50">
        <f>R104*0.375</f>
        <v>0</v>
      </c>
      <c r="T104" s="5">
        <f>R104-S104</f>
        <v>0</v>
      </c>
      <c r="U104" s="29"/>
    </row>
    <row r="105" spans="1:21" ht="11.25">
      <c r="A105" s="211"/>
      <c r="B105" s="212"/>
      <c r="C105" s="44"/>
      <c r="D105" s="43"/>
      <c r="E105" s="43"/>
      <c r="F105" s="43"/>
      <c r="G105" s="43"/>
      <c r="H105" s="43"/>
      <c r="I105" s="43"/>
      <c r="J105" s="43"/>
      <c r="K105" s="45"/>
      <c r="L105" s="108" t="s">
        <v>29</v>
      </c>
      <c r="M105" s="4"/>
      <c r="N105" s="4"/>
      <c r="O105" s="124"/>
      <c r="P105" s="4"/>
      <c r="Q105" s="4"/>
      <c r="R105" s="124"/>
      <c r="S105" s="50">
        <f>R105*0.375</f>
        <v>0</v>
      </c>
      <c r="T105" s="5">
        <f>R105-S105</f>
        <v>0</v>
      </c>
      <c r="U105" s="29"/>
    </row>
    <row r="106" spans="1:21" ht="11.25">
      <c r="A106" s="211"/>
      <c r="B106" s="212"/>
      <c r="C106" s="44"/>
      <c r="D106" s="43"/>
      <c r="E106" s="43"/>
      <c r="F106" s="43"/>
      <c r="G106" s="43"/>
      <c r="H106" s="43"/>
      <c r="I106" s="43"/>
      <c r="J106" s="43"/>
      <c r="K106" s="45"/>
      <c r="L106" s="108" t="s">
        <v>124</v>
      </c>
      <c r="M106" s="4">
        <f>+M110</f>
        <v>15786</v>
      </c>
      <c r="N106" s="4">
        <f>+N110</f>
        <v>3157.2</v>
      </c>
      <c r="O106" s="124">
        <f>+O110</f>
        <v>18943.2</v>
      </c>
      <c r="P106" s="4">
        <f>+P110</f>
        <v>10260.9</v>
      </c>
      <c r="Q106" s="4">
        <f>+Q110</f>
        <v>2052.18</v>
      </c>
      <c r="R106" s="124">
        <f>+R110</f>
        <v>12313.08</v>
      </c>
      <c r="S106" s="50">
        <f>R106*0.375</f>
        <v>4617.405</v>
      </c>
      <c r="T106" s="5">
        <f>R106-S106</f>
        <v>7695.675</v>
      </c>
      <c r="U106" s="29"/>
    </row>
    <row r="107" spans="1:21" ht="11.25">
      <c r="A107" s="211"/>
      <c r="B107" s="212"/>
      <c r="C107" s="44"/>
      <c r="D107" s="43"/>
      <c r="E107" s="43"/>
      <c r="F107" s="43"/>
      <c r="G107" s="43"/>
      <c r="H107" s="43"/>
      <c r="I107" s="43"/>
      <c r="J107" s="43"/>
      <c r="K107" s="45"/>
      <c r="L107" s="108" t="s">
        <v>236</v>
      </c>
      <c r="M107" s="4">
        <f>+M111</f>
        <v>-14286</v>
      </c>
      <c r="N107" s="4">
        <f>+N111</f>
        <v>-2857.2</v>
      </c>
      <c r="O107" s="4">
        <f>+O111</f>
        <v>-17143.2</v>
      </c>
      <c r="P107" s="4">
        <f>+P111</f>
        <v>-9285.9</v>
      </c>
      <c r="Q107" s="4">
        <f>+Q111</f>
        <v>-1857.1799999999998</v>
      </c>
      <c r="R107" s="4">
        <f>+R111</f>
        <v>-11143.08</v>
      </c>
      <c r="S107" s="50">
        <f>R107*0.375</f>
        <v>-4178.655</v>
      </c>
      <c r="T107" s="5">
        <f>R107-S107</f>
        <v>-6964.425</v>
      </c>
      <c r="U107" s="29"/>
    </row>
    <row r="108" spans="1:21" ht="11.25">
      <c r="A108" s="213"/>
      <c r="B108" s="214"/>
      <c r="C108" s="175"/>
      <c r="D108" s="176"/>
      <c r="E108" s="176"/>
      <c r="F108" s="176"/>
      <c r="G108" s="176"/>
      <c r="H108" s="176"/>
      <c r="I108" s="176"/>
      <c r="J108" s="176"/>
      <c r="K108" s="177"/>
      <c r="L108" s="109" t="s">
        <v>13</v>
      </c>
      <c r="M108" s="6">
        <f aca="true" t="shared" si="22" ref="M108:R108">M103-M104-M105-M106</f>
        <v>227314</v>
      </c>
      <c r="N108" s="6">
        <f t="shared" si="22"/>
        <v>45462.8</v>
      </c>
      <c r="O108" s="125">
        <f t="shared" si="22"/>
        <v>272776.8</v>
      </c>
      <c r="P108" s="6">
        <f t="shared" si="22"/>
        <v>147754.1</v>
      </c>
      <c r="Q108" s="6">
        <f t="shared" si="22"/>
        <v>29550.82</v>
      </c>
      <c r="R108" s="125">
        <f t="shared" si="22"/>
        <v>177304.92</v>
      </c>
      <c r="S108" s="1"/>
      <c r="T108" s="1"/>
      <c r="U108" s="29"/>
    </row>
    <row r="109" spans="1:20" ht="33.75">
      <c r="A109" s="7" t="s">
        <v>14</v>
      </c>
      <c r="B109" s="7" t="s">
        <v>11</v>
      </c>
      <c r="C109" s="34" t="s">
        <v>24</v>
      </c>
      <c r="D109" s="34" t="s">
        <v>20</v>
      </c>
      <c r="E109" s="41" t="s">
        <v>2</v>
      </c>
      <c r="F109" s="34" t="s">
        <v>19</v>
      </c>
      <c r="G109" s="34" t="s">
        <v>18</v>
      </c>
      <c r="H109" s="41" t="s">
        <v>17</v>
      </c>
      <c r="I109" s="41" t="s">
        <v>16</v>
      </c>
      <c r="J109" s="34" t="s">
        <v>3</v>
      </c>
      <c r="K109" s="34" t="s">
        <v>4</v>
      </c>
      <c r="L109" s="110" t="s">
        <v>5</v>
      </c>
      <c r="M109" s="7" t="s">
        <v>21</v>
      </c>
      <c r="N109" s="7" t="s">
        <v>88</v>
      </c>
      <c r="O109" s="110" t="s">
        <v>90</v>
      </c>
      <c r="P109" s="7" t="s">
        <v>22</v>
      </c>
      <c r="Q109" s="7" t="s">
        <v>91</v>
      </c>
      <c r="R109" s="110" t="s">
        <v>89</v>
      </c>
      <c r="S109" s="206" t="s">
        <v>27</v>
      </c>
      <c r="T109" s="206"/>
    </row>
    <row r="110" spans="1:20" ht="17.25" customHeight="1">
      <c r="A110" s="58" t="s">
        <v>119</v>
      </c>
      <c r="B110" s="8"/>
      <c r="C110" s="2" t="s">
        <v>43</v>
      </c>
      <c r="D110" s="14" t="s">
        <v>121</v>
      </c>
      <c r="E110" s="62" t="s">
        <v>122</v>
      </c>
      <c r="F110" s="93">
        <v>1594</v>
      </c>
      <c r="G110" s="15">
        <v>38567</v>
      </c>
      <c r="H110" s="15">
        <v>38574</v>
      </c>
      <c r="I110" s="62" t="s">
        <v>123</v>
      </c>
      <c r="J110" s="62">
        <v>15786</v>
      </c>
      <c r="K110" s="62">
        <v>3157.2</v>
      </c>
      <c r="L110" s="118">
        <f>J110+K110</f>
        <v>18943.2</v>
      </c>
      <c r="M110" s="12">
        <v>15786</v>
      </c>
      <c r="N110" s="12">
        <v>3157.2</v>
      </c>
      <c r="O110" s="111">
        <f>+N110+M110</f>
        <v>18943.2</v>
      </c>
      <c r="P110" s="12">
        <f>+M110*0.65</f>
        <v>10260.9</v>
      </c>
      <c r="Q110" s="12">
        <f>+N110*0.65</f>
        <v>2052.18</v>
      </c>
      <c r="R110" s="111">
        <f>+Q110+P110</f>
        <v>12313.08</v>
      </c>
      <c r="S110" s="226" t="s">
        <v>247</v>
      </c>
      <c r="T110" s="227"/>
    </row>
    <row r="111" spans="1:20" s="230" customFormat="1" ht="27" customHeight="1">
      <c r="A111" s="228" t="s">
        <v>149</v>
      </c>
      <c r="B111" s="229"/>
      <c r="C111" s="230" t="s">
        <v>43</v>
      </c>
      <c r="D111" s="231" t="s">
        <v>121</v>
      </c>
      <c r="E111" s="232" t="s">
        <v>122</v>
      </c>
      <c r="F111" s="233">
        <v>1594</v>
      </c>
      <c r="G111" s="234">
        <v>38567</v>
      </c>
      <c r="H111" s="234">
        <v>38574</v>
      </c>
      <c r="I111" s="232" t="s">
        <v>123</v>
      </c>
      <c r="J111" s="232">
        <v>15786</v>
      </c>
      <c r="K111" s="232">
        <v>3157.2</v>
      </c>
      <c r="L111" s="232">
        <f>J111+K111</f>
        <v>18943.2</v>
      </c>
      <c r="M111" s="235">
        <f>-15786+1500</f>
        <v>-14286</v>
      </c>
      <c r="N111" s="235">
        <f>-3157.2+300</f>
        <v>-2857.2</v>
      </c>
      <c r="O111" s="235">
        <f>+N111+M111</f>
        <v>-17143.2</v>
      </c>
      <c r="P111" s="235">
        <f>+M111*0.65</f>
        <v>-9285.9</v>
      </c>
      <c r="Q111" s="235">
        <f>+N111*0.65</f>
        <v>-1857.1799999999998</v>
      </c>
      <c r="R111" s="235">
        <f>+Q111+P111</f>
        <v>-11143.08</v>
      </c>
      <c r="S111" s="236" t="s">
        <v>246</v>
      </c>
      <c r="T111" s="237"/>
    </row>
    <row r="113" spans="1:20" ht="11.25">
      <c r="A113" s="181" t="s">
        <v>10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71"/>
      <c r="M113" s="82" t="s">
        <v>107</v>
      </c>
      <c r="N113" s="28" t="s">
        <v>108</v>
      </c>
      <c r="O113" s="122" t="s">
        <v>109</v>
      </c>
      <c r="P113" s="28" t="s">
        <v>110</v>
      </c>
      <c r="Q113" s="28" t="s">
        <v>111</v>
      </c>
      <c r="R113" s="122" t="s">
        <v>112</v>
      </c>
      <c r="S113" s="32" t="s">
        <v>25</v>
      </c>
      <c r="T113" s="33" t="s">
        <v>26</v>
      </c>
    </row>
    <row r="114" spans="1:21" ht="11.25">
      <c r="A114" s="211"/>
      <c r="B114" s="212"/>
      <c r="C114" s="215"/>
      <c r="D114" s="216"/>
      <c r="E114" s="216"/>
      <c r="F114" s="216"/>
      <c r="G114" s="216"/>
      <c r="H114" s="216"/>
      <c r="I114" s="216"/>
      <c r="J114" s="216"/>
      <c r="K114" s="217"/>
      <c r="L114" s="115" t="s">
        <v>12</v>
      </c>
      <c r="M114" s="3">
        <f>182.956*1000</f>
        <v>182956</v>
      </c>
      <c r="N114" s="3">
        <f>M114*0.2</f>
        <v>36591.200000000004</v>
      </c>
      <c r="O114" s="123">
        <f>SUM(M114:N114)</f>
        <v>219547.2</v>
      </c>
      <c r="P114" s="83">
        <f>M114*0.65</f>
        <v>118921.40000000001</v>
      </c>
      <c r="Q114" s="3">
        <f>P114*0.2</f>
        <v>23784.280000000002</v>
      </c>
      <c r="R114" s="123">
        <f>SUM(P114:Q114)</f>
        <v>142705.68000000002</v>
      </c>
      <c r="S114" s="49"/>
      <c r="T114" s="49"/>
      <c r="U114" s="29"/>
    </row>
    <row r="115" spans="1:21" ht="11.25">
      <c r="A115" s="211"/>
      <c r="B115" s="212"/>
      <c r="C115" s="44"/>
      <c r="D115" s="43"/>
      <c r="E115" s="43"/>
      <c r="F115" s="43"/>
      <c r="G115" s="43"/>
      <c r="H115" s="43"/>
      <c r="I115" s="43"/>
      <c r="J115" s="43"/>
      <c r="K115" s="4">
        <f>K125</f>
        <v>183.28</v>
      </c>
      <c r="L115" s="108" t="s">
        <v>28</v>
      </c>
      <c r="M115" s="4">
        <f aca="true" t="shared" si="23" ref="M115:R115">SUM(M121:M135)</f>
        <v>16109.19</v>
      </c>
      <c r="N115" s="4">
        <f t="shared" si="23"/>
        <v>0</v>
      </c>
      <c r="O115" s="124">
        <f t="shared" si="23"/>
        <v>16109.19</v>
      </c>
      <c r="P115" s="4">
        <f t="shared" si="23"/>
        <v>10470.9735</v>
      </c>
      <c r="Q115" s="4">
        <f t="shared" si="23"/>
        <v>0</v>
      </c>
      <c r="R115" s="124">
        <f t="shared" si="23"/>
        <v>10470.9735</v>
      </c>
      <c r="S115" s="50">
        <f>R115*0.375</f>
        <v>3926.6150625</v>
      </c>
      <c r="T115" s="5">
        <f>R115-S115</f>
        <v>6544.3584375</v>
      </c>
      <c r="U115" s="29"/>
    </row>
    <row r="116" spans="1:21" ht="11.25">
      <c r="A116" s="211"/>
      <c r="B116" s="212"/>
      <c r="C116" s="44"/>
      <c r="D116" s="43"/>
      <c r="E116" s="43"/>
      <c r="F116" s="43"/>
      <c r="G116" s="43"/>
      <c r="H116" s="43"/>
      <c r="I116" s="43"/>
      <c r="J116" s="43"/>
      <c r="K116" s="45"/>
      <c r="L116" s="108" t="s">
        <v>29</v>
      </c>
      <c r="M116" s="4">
        <f aca="true" t="shared" si="24" ref="M116:R116">SUM(M136)</f>
        <v>204.88</v>
      </c>
      <c r="N116" s="4">
        <f t="shared" si="24"/>
        <v>0</v>
      </c>
      <c r="O116" s="124">
        <f t="shared" si="24"/>
        <v>204.88</v>
      </c>
      <c r="P116" s="4">
        <f t="shared" si="24"/>
        <v>133.172</v>
      </c>
      <c r="Q116" s="4">
        <f t="shared" si="24"/>
        <v>0</v>
      </c>
      <c r="R116" s="124">
        <f t="shared" si="24"/>
        <v>133.172</v>
      </c>
      <c r="S116" s="50">
        <f>R116*0.375</f>
        <v>49.939499999999995</v>
      </c>
      <c r="T116" s="5">
        <f>R116-S116</f>
        <v>83.2325</v>
      </c>
      <c r="U116" s="29"/>
    </row>
    <row r="117" spans="1:21" ht="11.25">
      <c r="A117" s="211"/>
      <c r="B117" s="212"/>
      <c r="C117" s="44"/>
      <c r="D117" s="43"/>
      <c r="E117" s="43"/>
      <c r="F117" s="43"/>
      <c r="G117" s="43"/>
      <c r="H117" s="43"/>
      <c r="I117" s="43"/>
      <c r="J117" s="43"/>
      <c r="K117" s="45"/>
      <c r="L117" s="108" t="s">
        <v>124</v>
      </c>
      <c r="M117" s="4"/>
      <c r="N117" s="4"/>
      <c r="O117" s="124"/>
      <c r="P117" s="4"/>
      <c r="Q117" s="4"/>
      <c r="R117" s="124"/>
      <c r="S117" s="50">
        <f>R117*0.375</f>
        <v>0</v>
      </c>
      <c r="T117" s="5">
        <f>R117-S117</f>
        <v>0</v>
      </c>
      <c r="U117" s="29"/>
    </row>
    <row r="118" spans="1:21" ht="11.25">
      <c r="A118" s="211"/>
      <c r="B118" s="212"/>
      <c r="C118" s="44"/>
      <c r="D118" s="43"/>
      <c r="E118" s="43"/>
      <c r="F118" s="43"/>
      <c r="G118" s="43"/>
      <c r="H118" s="43"/>
      <c r="I118" s="43"/>
      <c r="J118" s="43"/>
      <c r="K118" s="45"/>
      <c r="L118" s="108" t="s">
        <v>236</v>
      </c>
      <c r="M118" s="4">
        <f aca="true" t="shared" si="25" ref="M118:R118">+M185</f>
        <v>651</v>
      </c>
      <c r="N118" s="4">
        <f t="shared" si="25"/>
        <v>116.4</v>
      </c>
      <c r="O118" s="124">
        <f t="shared" si="25"/>
        <v>767.4</v>
      </c>
      <c r="P118" s="4">
        <f t="shared" si="25"/>
        <v>423.15000000000003</v>
      </c>
      <c r="Q118" s="4">
        <f t="shared" si="25"/>
        <v>75.66000000000001</v>
      </c>
      <c r="R118" s="124">
        <f t="shared" si="25"/>
        <v>498.81000000000006</v>
      </c>
      <c r="S118" s="50">
        <f>R118*0.375</f>
        <v>187.05375000000004</v>
      </c>
      <c r="T118" s="5">
        <f>R118-S118</f>
        <v>311.75625</v>
      </c>
      <c r="U118" s="29"/>
    </row>
    <row r="119" spans="1:21" ht="11.25">
      <c r="A119" s="213"/>
      <c r="B119" s="214"/>
      <c r="C119" s="175"/>
      <c r="D119" s="176"/>
      <c r="E119" s="176"/>
      <c r="F119" s="176"/>
      <c r="G119" s="176"/>
      <c r="H119" s="176"/>
      <c r="I119" s="176"/>
      <c r="J119" s="176"/>
      <c r="K119" s="177"/>
      <c r="L119" s="109" t="s">
        <v>13</v>
      </c>
      <c r="M119" s="6">
        <f>M114-M115-M116</f>
        <v>166641.93</v>
      </c>
      <c r="N119" s="6"/>
      <c r="O119" s="125"/>
      <c r="P119" s="6"/>
      <c r="Q119" s="6"/>
      <c r="R119" s="125">
        <f>R114-R115</f>
        <v>132234.70650000003</v>
      </c>
      <c r="S119" s="1"/>
      <c r="T119" s="1"/>
      <c r="U119" s="29"/>
    </row>
    <row r="120" spans="1:20" ht="33.75">
      <c r="A120" s="27" t="s">
        <v>14</v>
      </c>
      <c r="B120" s="27" t="s">
        <v>11</v>
      </c>
      <c r="C120" s="55" t="s">
        <v>24</v>
      </c>
      <c r="D120" s="55" t="s">
        <v>20</v>
      </c>
      <c r="E120" s="56" t="s">
        <v>2</v>
      </c>
      <c r="F120" s="55" t="s">
        <v>19</v>
      </c>
      <c r="G120" s="55" t="s">
        <v>18</v>
      </c>
      <c r="H120" s="56" t="s">
        <v>17</v>
      </c>
      <c r="I120" s="56" t="s">
        <v>16</v>
      </c>
      <c r="J120" s="55" t="s">
        <v>3</v>
      </c>
      <c r="K120" s="55" t="s">
        <v>4</v>
      </c>
      <c r="L120" s="119" t="s">
        <v>5</v>
      </c>
      <c r="M120" s="7" t="s">
        <v>21</v>
      </c>
      <c r="N120" s="7" t="s">
        <v>88</v>
      </c>
      <c r="O120" s="110" t="s">
        <v>90</v>
      </c>
      <c r="P120" s="7" t="s">
        <v>22</v>
      </c>
      <c r="Q120" s="7" t="s">
        <v>91</v>
      </c>
      <c r="R120" s="110" t="s">
        <v>89</v>
      </c>
      <c r="S120" s="218" t="s">
        <v>27</v>
      </c>
      <c r="T120" s="218"/>
    </row>
    <row r="121" spans="1:20" ht="11.25">
      <c r="A121" s="58" t="s">
        <v>15</v>
      </c>
      <c r="B121" s="8"/>
      <c r="C121" s="9" t="s">
        <v>50</v>
      </c>
      <c r="D121" s="14" t="s">
        <v>51</v>
      </c>
      <c r="E121" s="9" t="s">
        <v>52</v>
      </c>
      <c r="F121" s="14">
        <v>293</v>
      </c>
      <c r="G121" s="10">
        <v>38252</v>
      </c>
      <c r="H121" s="15">
        <v>38287</v>
      </c>
      <c r="I121" s="15" t="s">
        <v>53</v>
      </c>
      <c r="J121" s="12">
        <v>382</v>
      </c>
      <c r="K121" s="12">
        <f>+J121*0.2</f>
        <v>76.4</v>
      </c>
      <c r="L121" s="111">
        <f aca="true" t="shared" si="26" ref="L121:L135">SUM(J121:K121)</f>
        <v>458.4</v>
      </c>
      <c r="M121" s="31">
        <v>0</v>
      </c>
      <c r="N121" s="31"/>
      <c r="O121" s="111"/>
      <c r="P121" s="12">
        <f>M121*0.65</f>
        <v>0</v>
      </c>
      <c r="Q121" s="12">
        <f>N121*0.65</f>
        <v>0</v>
      </c>
      <c r="R121" s="111">
        <f>P121+Q121</f>
        <v>0</v>
      </c>
      <c r="S121" s="203" t="s">
        <v>93</v>
      </c>
      <c r="T121" s="204"/>
    </row>
    <row r="122" spans="1:20" ht="33.75">
      <c r="A122" s="58" t="s">
        <v>15</v>
      </c>
      <c r="B122" s="8"/>
      <c r="C122" s="9" t="s">
        <v>50</v>
      </c>
      <c r="D122" s="14" t="s">
        <v>51</v>
      </c>
      <c r="E122" s="9" t="s">
        <v>52</v>
      </c>
      <c r="F122" s="14">
        <v>316</v>
      </c>
      <c r="G122" s="10">
        <v>38266</v>
      </c>
      <c r="H122" s="15">
        <v>38326</v>
      </c>
      <c r="I122" s="15" t="s">
        <v>54</v>
      </c>
      <c r="J122" s="12">
        <v>130</v>
      </c>
      <c r="K122" s="12">
        <f>+J122*0.2</f>
        <v>26</v>
      </c>
      <c r="L122" s="111">
        <f t="shared" si="26"/>
        <v>156</v>
      </c>
      <c r="M122" s="31">
        <v>0</v>
      </c>
      <c r="N122" s="31"/>
      <c r="O122" s="111"/>
      <c r="P122" s="12">
        <f aca="true" t="shared" si="27" ref="P122:P135">M122*0.65</f>
        <v>0</v>
      </c>
      <c r="Q122" s="12">
        <f aca="true" t="shared" si="28" ref="Q122:Q135">N122*0.65</f>
        <v>0</v>
      </c>
      <c r="R122" s="111">
        <f aca="true" t="shared" si="29" ref="R122:R135">P122+Q122</f>
        <v>0</v>
      </c>
      <c r="S122" s="203" t="s">
        <v>93</v>
      </c>
      <c r="T122" s="204"/>
    </row>
    <row r="123" spans="1:20" ht="33.75">
      <c r="A123" s="58" t="s">
        <v>15</v>
      </c>
      <c r="B123" s="8"/>
      <c r="C123" s="9" t="s">
        <v>50</v>
      </c>
      <c r="D123" s="14" t="s">
        <v>51</v>
      </c>
      <c r="E123" s="9" t="s">
        <v>52</v>
      </c>
      <c r="F123" s="14">
        <v>401</v>
      </c>
      <c r="G123" s="10">
        <v>38320</v>
      </c>
      <c r="H123" s="15">
        <v>38326</v>
      </c>
      <c r="I123" s="15" t="s">
        <v>54</v>
      </c>
      <c r="J123" s="12">
        <v>180</v>
      </c>
      <c r="K123" s="12">
        <f>+J123*0.2</f>
        <v>36</v>
      </c>
      <c r="L123" s="111">
        <f t="shared" si="26"/>
        <v>216</v>
      </c>
      <c r="M123" s="31">
        <v>0</v>
      </c>
      <c r="N123" s="31"/>
      <c r="O123" s="111"/>
      <c r="P123" s="12">
        <f t="shared" si="27"/>
        <v>0</v>
      </c>
      <c r="Q123" s="12">
        <f t="shared" si="28"/>
        <v>0</v>
      </c>
      <c r="R123" s="111">
        <f t="shared" si="29"/>
        <v>0</v>
      </c>
      <c r="S123" s="203" t="s">
        <v>93</v>
      </c>
      <c r="T123" s="204"/>
    </row>
    <row r="124" spans="1:20" ht="33.75">
      <c r="A124" s="58" t="s">
        <v>15</v>
      </c>
      <c r="B124" s="8"/>
      <c r="C124" s="9" t="s">
        <v>50</v>
      </c>
      <c r="D124" s="14" t="s">
        <v>51</v>
      </c>
      <c r="E124" s="9" t="s">
        <v>52</v>
      </c>
      <c r="F124" s="14">
        <v>329</v>
      </c>
      <c r="G124" s="10">
        <v>38274</v>
      </c>
      <c r="H124" s="15">
        <v>38326</v>
      </c>
      <c r="I124" s="15" t="s">
        <v>54</v>
      </c>
      <c r="J124" s="12">
        <v>90</v>
      </c>
      <c r="K124" s="12">
        <f>+J124*0.2</f>
        <v>18</v>
      </c>
      <c r="L124" s="111">
        <f t="shared" si="26"/>
        <v>108</v>
      </c>
      <c r="M124" s="31">
        <v>0</v>
      </c>
      <c r="N124" s="31"/>
      <c r="O124" s="111"/>
      <c r="P124" s="12">
        <f t="shared" si="27"/>
        <v>0</v>
      </c>
      <c r="Q124" s="12">
        <f t="shared" si="28"/>
        <v>0</v>
      </c>
      <c r="R124" s="111">
        <f t="shared" si="29"/>
        <v>0</v>
      </c>
      <c r="S124" s="203" t="s">
        <v>93</v>
      </c>
      <c r="T124" s="204"/>
    </row>
    <row r="125" spans="1:20" ht="48.75" customHeight="1">
      <c r="A125" s="58" t="s">
        <v>15</v>
      </c>
      <c r="B125" s="8"/>
      <c r="C125" s="9" t="s">
        <v>50</v>
      </c>
      <c r="D125" s="14" t="s">
        <v>51</v>
      </c>
      <c r="E125" s="9" t="s">
        <v>52</v>
      </c>
      <c r="F125" s="67">
        <v>319</v>
      </c>
      <c r="G125" s="15">
        <v>38268</v>
      </c>
      <c r="H125" s="15">
        <v>38324</v>
      </c>
      <c r="I125" s="15" t="s">
        <v>53</v>
      </c>
      <c r="J125" s="62">
        <f>916.4+8</f>
        <v>924.4</v>
      </c>
      <c r="K125" s="12">
        <f>183.28</f>
        <v>183.28</v>
      </c>
      <c r="L125" s="111">
        <f t="shared" si="26"/>
        <v>1107.68</v>
      </c>
      <c r="M125" s="31"/>
      <c r="N125" s="31"/>
      <c r="O125" s="111"/>
      <c r="P125" s="12">
        <f t="shared" si="27"/>
        <v>0</v>
      </c>
      <c r="Q125" s="12">
        <f t="shared" si="28"/>
        <v>0</v>
      </c>
      <c r="R125" s="111">
        <f t="shared" si="29"/>
        <v>0</v>
      </c>
      <c r="S125" s="203" t="s">
        <v>102</v>
      </c>
      <c r="T125" s="204"/>
    </row>
    <row r="126" spans="1:20" ht="48.75" customHeight="1">
      <c r="A126" s="58" t="s">
        <v>15</v>
      </c>
      <c r="B126" s="8"/>
      <c r="C126" s="9" t="s">
        <v>50</v>
      </c>
      <c r="D126" s="14" t="s">
        <v>51</v>
      </c>
      <c r="E126" s="9" t="s">
        <v>52</v>
      </c>
      <c r="F126" s="67">
        <v>349</v>
      </c>
      <c r="G126" s="15">
        <v>38289</v>
      </c>
      <c r="H126" s="15">
        <v>38336</v>
      </c>
      <c r="I126" s="15" t="s">
        <v>54</v>
      </c>
      <c r="J126" s="62">
        <v>156</v>
      </c>
      <c r="K126" s="12">
        <f>+J126*0.2</f>
        <v>31.200000000000003</v>
      </c>
      <c r="L126" s="111">
        <f t="shared" si="26"/>
        <v>187.2</v>
      </c>
      <c r="M126" s="31"/>
      <c r="N126" s="31"/>
      <c r="O126" s="111"/>
      <c r="P126" s="12">
        <f t="shared" si="27"/>
        <v>0</v>
      </c>
      <c r="Q126" s="12">
        <f t="shared" si="28"/>
        <v>0</v>
      </c>
      <c r="R126" s="111">
        <f t="shared" si="29"/>
        <v>0</v>
      </c>
      <c r="S126" s="203" t="s">
        <v>93</v>
      </c>
      <c r="T126" s="204"/>
    </row>
    <row r="127" spans="1:20" ht="38.25" customHeight="1">
      <c r="A127" s="58" t="s">
        <v>15</v>
      </c>
      <c r="B127" s="8"/>
      <c r="C127" s="9" t="s">
        <v>55</v>
      </c>
      <c r="D127" s="14" t="s">
        <v>56</v>
      </c>
      <c r="E127" s="9" t="s">
        <v>57</v>
      </c>
      <c r="F127" s="67">
        <v>328</v>
      </c>
      <c r="G127" s="15">
        <v>38352</v>
      </c>
      <c r="H127" s="15" t="s">
        <v>58</v>
      </c>
      <c r="I127" s="15" t="s">
        <v>59</v>
      </c>
      <c r="J127" s="62">
        <v>401.7</v>
      </c>
      <c r="K127" s="12">
        <v>0</v>
      </c>
      <c r="L127" s="111">
        <f t="shared" si="26"/>
        <v>401.7</v>
      </c>
      <c r="M127" s="31">
        <v>0</v>
      </c>
      <c r="N127" s="31"/>
      <c r="O127" s="111"/>
      <c r="P127" s="12">
        <f t="shared" si="27"/>
        <v>0</v>
      </c>
      <c r="Q127" s="12">
        <f t="shared" si="28"/>
        <v>0</v>
      </c>
      <c r="R127" s="111">
        <f t="shared" si="29"/>
        <v>0</v>
      </c>
      <c r="S127" s="203" t="s">
        <v>101</v>
      </c>
      <c r="T127" s="204"/>
    </row>
    <row r="128" spans="1:20" ht="38.25" customHeight="1">
      <c r="A128" s="58" t="s">
        <v>15</v>
      </c>
      <c r="B128" s="8"/>
      <c r="C128" s="9" t="s">
        <v>55</v>
      </c>
      <c r="D128" s="14" t="s">
        <v>56</v>
      </c>
      <c r="E128" s="9" t="s">
        <v>60</v>
      </c>
      <c r="F128" s="67" t="s">
        <v>61</v>
      </c>
      <c r="G128" s="15" t="s">
        <v>59</v>
      </c>
      <c r="H128" s="15" t="s">
        <v>59</v>
      </c>
      <c r="I128" s="15" t="s">
        <v>59</v>
      </c>
      <c r="J128" s="62">
        <v>741.18</v>
      </c>
      <c r="K128" s="12"/>
      <c r="L128" s="111">
        <f t="shared" si="26"/>
        <v>741.18</v>
      </c>
      <c r="M128" s="31">
        <v>0</v>
      </c>
      <c r="N128" s="31"/>
      <c r="O128" s="111"/>
      <c r="P128" s="12">
        <f t="shared" si="27"/>
        <v>0</v>
      </c>
      <c r="Q128" s="12">
        <f t="shared" si="28"/>
        <v>0</v>
      </c>
      <c r="R128" s="111">
        <f t="shared" si="29"/>
        <v>0</v>
      </c>
      <c r="S128" s="203" t="s">
        <v>101</v>
      </c>
      <c r="T128" s="204"/>
    </row>
    <row r="129" spans="1:20" ht="22.5">
      <c r="A129" s="58" t="s">
        <v>15</v>
      </c>
      <c r="B129" s="8"/>
      <c r="C129" s="9" t="s">
        <v>43</v>
      </c>
      <c r="D129" s="2" t="s">
        <v>66</v>
      </c>
      <c r="E129" s="14" t="s">
        <v>65</v>
      </c>
      <c r="F129" s="80" t="s">
        <v>67</v>
      </c>
      <c r="G129" s="15">
        <v>38317</v>
      </c>
      <c r="H129" s="15">
        <v>38322</v>
      </c>
      <c r="I129" s="15" t="s">
        <v>64</v>
      </c>
      <c r="J129" s="62">
        <v>17975</v>
      </c>
      <c r="K129" s="12">
        <v>0</v>
      </c>
      <c r="L129" s="111">
        <f t="shared" si="26"/>
        <v>17975</v>
      </c>
      <c r="M129" s="12">
        <v>15977.78</v>
      </c>
      <c r="N129" s="12"/>
      <c r="O129" s="111">
        <f>M129+N129</f>
        <v>15977.78</v>
      </c>
      <c r="P129" s="12">
        <f t="shared" si="27"/>
        <v>10385.557</v>
      </c>
      <c r="Q129" s="12">
        <f t="shared" si="28"/>
        <v>0</v>
      </c>
      <c r="R129" s="111">
        <f t="shared" si="29"/>
        <v>10385.557</v>
      </c>
      <c r="S129" s="205" t="s">
        <v>106</v>
      </c>
      <c r="T129" s="205"/>
    </row>
    <row r="130" spans="1:20" ht="11.25">
      <c r="A130" s="58" t="s">
        <v>15</v>
      </c>
      <c r="B130" s="8"/>
      <c r="C130" s="9" t="s">
        <v>43</v>
      </c>
      <c r="D130" s="14" t="s">
        <v>68</v>
      </c>
      <c r="E130" s="9" t="s">
        <v>69</v>
      </c>
      <c r="F130" s="80" t="s">
        <v>70</v>
      </c>
      <c r="G130" s="15">
        <v>38321</v>
      </c>
      <c r="H130" s="15" t="s">
        <v>59</v>
      </c>
      <c r="I130" s="15" t="s">
        <v>71</v>
      </c>
      <c r="J130" s="62">
        <v>45</v>
      </c>
      <c r="K130" s="12">
        <f>+J130*0.2</f>
        <v>9</v>
      </c>
      <c r="L130" s="111">
        <f t="shared" si="26"/>
        <v>54</v>
      </c>
      <c r="M130" s="31">
        <v>0</v>
      </c>
      <c r="N130" s="31"/>
      <c r="O130" s="111"/>
      <c r="P130" s="12">
        <f t="shared" si="27"/>
        <v>0</v>
      </c>
      <c r="Q130" s="12">
        <f t="shared" si="28"/>
        <v>0</v>
      </c>
      <c r="R130" s="111">
        <f t="shared" si="29"/>
        <v>0</v>
      </c>
      <c r="S130" s="205" t="s">
        <v>72</v>
      </c>
      <c r="T130" s="205"/>
    </row>
    <row r="131" spans="1:20" ht="24.75" customHeight="1">
      <c r="A131" s="58" t="s">
        <v>15</v>
      </c>
      <c r="B131" s="8"/>
      <c r="C131" s="9" t="s">
        <v>43</v>
      </c>
      <c r="D131" s="14" t="s">
        <v>73</v>
      </c>
      <c r="E131" s="9" t="s">
        <v>74</v>
      </c>
      <c r="F131" s="67" t="s">
        <v>59</v>
      </c>
      <c r="G131" s="15" t="s">
        <v>59</v>
      </c>
      <c r="H131" s="15">
        <v>38293</v>
      </c>
      <c r="I131" s="15" t="s">
        <v>75</v>
      </c>
      <c r="J131" s="62">
        <v>145.6</v>
      </c>
      <c r="K131" s="12">
        <v>0</v>
      </c>
      <c r="L131" s="111">
        <f t="shared" si="26"/>
        <v>145.6</v>
      </c>
      <c r="M131" s="31">
        <v>0</v>
      </c>
      <c r="N131" s="31"/>
      <c r="O131" s="111"/>
      <c r="P131" s="12">
        <f t="shared" si="27"/>
        <v>0</v>
      </c>
      <c r="Q131" s="12">
        <f t="shared" si="28"/>
        <v>0</v>
      </c>
      <c r="R131" s="111">
        <f t="shared" si="29"/>
        <v>0</v>
      </c>
      <c r="S131" s="203" t="s">
        <v>103</v>
      </c>
      <c r="T131" s="204"/>
    </row>
    <row r="132" spans="1:20" ht="21" customHeight="1">
      <c r="A132" s="58" t="s">
        <v>15</v>
      </c>
      <c r="B132" s="8"/>
      <c r="C132" s="9" t="s">
        <v>43</v>
      </c>
      <c r="D132" s="14" t="s">
        <v>73</v>
      </c>
      <c r="E132" s="9" t="s">
        <v>74</v>
      </c>
      <c r="F132" s="67" t="s">
        <v>59</v>
      </c>
      <c r="G132" s="15" t="s">
        <v>59</v>
      </c>
      <c r="H132" s="15">
        <v>38343</v>
      </c>
      <c r="I132" s="15" t="s">
        <v>75</v>
      </c>
      <c r="J132" s="62">
        <v>266.5</v>
      </c>
      <c r="K132" s="12">
        <v>0</v>
      </c>
      <c r="L132" s="111">
        <f t="shared" si="26"/>
        <v>266.5</v>
      </c>
      <c r="M132" s="31">
        <v>0</v>
      </c>
      <c r="N132" s="31"/>
      <c r="O132" s="111"/>
      <c r="P132" s="12">
        <f t="shared" si="27"/>
        <v>0</v>
      </c>
      <c r="Q132" s="12">
        <f t="shared" si="28"/>
        <v>0</v>
      </c>
      <c r="R132" s="111">
        <f t="shared" si="29"/>
        <v>0</v>
      </c>
      <c r="S132" s="203" t="s">
        <v>104</v>
      </c>
      <c r="T132" s="204"/>
    </row>
    <row r="133" spans="1:20" ht="35.25" customHeight="1">
      <c r="A133" s="58" t="s">
        <v>15</v>
      </c>
      <c r="B133" s="8"/>
      <c r="C133" s="9" t="s">
        <v>43</v>
      </c>
      <c r="D133" s="14" t="s">
        <v>51</v>
      </c>
      <c r="E133" s="9" t="s">
        <v>76</v>
      </c>
      <c r="F133" s="80" t="s">
        <v>77</v>
      </c>
      <c r="G133" s="15">
        <v>38280</v>
      </c>
      <c r="H133" s="15">
        <v>38280</v>
      </c>
      <c r="I133" s="15" t="s">
        <v>71</v>
      </c>
      <c r="J133" s="62">
        <v>50.11</v>
      </c>
      <c r="K133" s="12">
        <f>+J133*0.2</f>
        <v>10.022</v>
      </c>
      <c r="L133" s="111">
        <f t="shared" si="26"/>
        <v>60.132</v>
      </c>
      <c r="M133" s="31">
        <v>0</v>
      </c>
      <c r="N133" s="31"/>
      <c r="O133" s="111"/>
      <c r="P133" s="12">
        <f t="shared" si="27"/>
        <v>0</v>
      </c>
      <c r="Q133" s="12">
        <f t="shared" si="28"/>
        <v>0</v>
      </c>
      <c r="R133" s="111">
        <f t="shared" si="29"/>
        <v>0</v>
      </c>
      <c r="S133" s="203" t="s">
        <v>105</v>
      </c>
      <c r="T133" s="204"/>
    </row>
    <row r="134" spans="1:20" ht="22.5">
      <c r="A134" s="58" t="s">
        <v>15</v>
      </c>
      <c r="B134" s="8"/>
      <c r="C134" s="9" t="s">
        <v>43</v>
      </c>
      <c r="D134" s="14" t="s">
        <v>78</v>
      </c>
      <c r="E134" s="9" t="s">
        <v>59</v>
      </c>
      <c r="F134" s="67" t="s">
        <v>59</v>
      </c>
      <c r="G134" s="15" t="s">
        <v>59</v>
      </c>
      <c r="H134" s="15" t="s">
        <v>59</v>
      </c>
      <c r="I134" s="15" t="s">
        <v>79</v>
      </c>
      <c r="J134" s="62">
        <v>364</v>
      </c>
      <c r="K134" s="12"/>
      <c r="L134" s="111">
        <f t="shared" si="26"/>
        <v>364</v>
      </c>
      <c r="M134" s="31">
        <v>0</v>
      </c>
      <c r="N134" s="31"/>
      <c r="O134" s="111"/>
      <c r="P134" s="12">
        <f t="shared" si="27"/>
        <v>0</v>
      </c>
      <c r="Q134" s="12">
        <f t="shared" si="28"/>
        <v>0</v>
      </c>
      <c r="R134" s="111">
        <f t="shared" si="29"/>
        <v>0</v>
      </c>
      <c r="S134" s="205" t="s">
        <v>87</v>
      </c>
      <c r="T134" s="205"/>
    </row>
    <row r="135" spans="1:20" ht="33.75">
      <c r="A135" s="58" t="s">
        <v>15</v>
      </c>
      <c r="B135" s="8"/>
      <c r="C135" s="9" t="s">
        <v>43</v>
      </c>
      <c r="D135" s="14" t="s">
        <v>80</v>
      </c>
      <c r="E135" s="9" t="s">
        <v>81</v>
      </c>
      <c r="F135" s="80" t="s">
        <v>82</v>
      </c>
      <c r="G135" s="15">
        <v>38265</v>
      </c>
      <c r="H135" s="15">
        <v>38265</v>
      </c>
      <c r="I135" s="15" t="s">
        <v>83</v>
      </c>
      <c r="J135" s="62">
        <v>131.41</v>
      </c>
      <c r="K135" s="12"/>
      <c r="L135" s="111">
        <f t="shared" si="26"/>
        <v>131.41</v>
      </c>
      <c r="M135" s="31">
        <f>L135</f>
        <v>131.41</v>
      </c>
      <c r="N135" s="31"/>
      <c r="O135" s="111">
        <f>M135+N135</f>
        <v>131.41</v>
      </c>
      <c r="P135" s="12">
        <f t="shared" si="27"/>
        <v>85.4165</v>
      </c>
      <c r="Q135" s="12">
        <f t="shared" si="28"/>
        <v>0</v>
      </c>
      <c r="R135" s="111">
        <f t="shared" si="29"/>
        <v>85.4165</v>
      </c>
      <c r="S135" s="205" t="s">
        <v>94</v>
      </c>
      <c r="T135" s="205"/>
    </row>
    <row r="136" spans="1:20" s="103" customFormat="1" ht="45.75" customHeight="1">
      <c r="A136" s="97" t="s">
        <v>113</v>
      </c>
      <c r="B136" s="98"/>
      <c r="C136" s="99" t="s">
        <v>114</v>
      </c>
      <c r="D136" s="104"/>
      <c r="E136" s="99"/>
      <c r="F136" s="128"/>
      <c r="G136" s="129"/>
      <c r="H136" s="129"/>
      <c r="I136" s="129"/>
      <c r="J136" s="130"/>
      <c r="K136" s="102"/>
      <c r="L136" s="111">
        <v>725.93</v>
      </c>
      <c r="M136" s="102">
        <f>L136-521.05</f>
        <v>204.88</v>
      </c>
      <c r="N136" s="102"/>
      <c r="O136" s="111">
        <f>M136+N136</f>
        <v>204.88</v>
      </c>
      <c r="P136" s="102">
        <f>M136*0.65</f>
        <v>133.172</v>
      </c>
      <c r="Q136" s="102">
        <f>N136*0.65</f>
        <v>0</v>
      </c>
      <c r="R136" s="111">
        <f>P136+Q136</f>
        <v>133.172</v>
      </c>
      <c r="S136" s="179" t="s">
        <v>116</v>
      </c>
      <c r="T136" s="180"/>
    </row>
    <row r="137" spans="1:20" s="91" customFormat="1" ht="36.75" customHeight="1">
      <c r="A137" s="85" t="s">
        <v>113</v>
      </c>
      <c r="B137" s="86"/>
      <c r="C137" s="9" t="s">
        <v>55</v>
      </c>
      <c r="D137" s="67"/>
      <c r="E137" s="87"/>
      <c r="F137" s="80"/>
      <c r="G137" s="90"/>
      <c r="H137" s="90"/>
      <c r="I137" s="90"/>
      <c r="J137" s="92">
        <v>521.05</v>
      </c>
      <c r="K137" s="31"/>
      <c r="L137" s="111">
        <f>+K137+J137</f>
        <v>521.05</v>
      </c>
      <c r="M137" s="31"/>
      <c r="N137" s="31"/>
      <c r="O137" s="111"/>
      <c r="P137" s="31"/>
      <c r="Q137" s="31"/>
      <c r="R137" s="111"/>
      <c r="S137" s="203" t="s">
        <v>95</v>
      </c>
      <c r="T137" s="204"/>
    </row>
    <row r="138" spans="1:20" s="91" customFormat="1" ht="45.75" customHeight="1">
      <c r="A138" s="85" t="s">
        <v>113</v>
      </c>
      <c r="B138" s="86"/>
      <c r="C138" s="9" t="s">
        <v>43</v>
      </c>
      <c r="D138" s="67" t="s">
        <v>148</v>
      </c>
      <c r="E138" s="87"/>
      <c r="F138" s="80"/>
      <c r="G138" s="90"/>
      <c r="H138" s="90"/>
      <c r="I138" s="90"/>
      <c r="J138" s="92">
        <v>204.88</v>
      </c>
      <c r="K138" s="31"/>
      <c r="L138" s="111">
        <f>+K138+J138</f>
        <v>204.88</v>
      </c>
      <c r="M138" s="31">
        <v>204.88</v>
      </c>
      <c r="N138" s="31"/>
      <c r="O138" s="111">
        <f>+N138+M138</f>
        <v>204.88</v>
      </c>
      <c r="P138" s="31">
        <f>+M138*0.65</f>
        <v>133.172</v>
      </c>
      <c r="Q138" s="31"/>
      <c r="R138" s="111">
        <f>+Q138+P138</f>
        <v>133.172</v>
      </c>
      <c r="S138" s="95"/>
      <c r="T138" s="96"/>
    </row>
    <row r="139" spans="1:20" s="103" customFormat="1" ht="34.5" customHeight="1">
      <c r="A139" s="97" t="s">
        <v>119</v>
      </c>
      <c r="B139" s="98"/>
      <c r="C139" s="99" t="s">
        <v>43</v>
      </c>
      <c r="D139" s="99" t="s">
        <v>114</v>
      </c>
      <c r="E139" s="130"/>
      <c r="F139" s="131"/>
      <c r="G139" s="129"/>
      <c r="H139" s="129"/>
      <c r="I139" s="130"/>
      <c r="J139" s="130"/>
      <c r="K139" s="130"/>
      <c r="L139" s="118">
        <v>18445.83</v>
      </c>
      <c r="M139" s="102"/>
      <c r="N139" s="102"/>
      <c r="O139" s="111"/>
      <c r="P139" s="102"/>
      <c r="Q139" s="102"/>
      <c r="R139" s="111"/>
      <c r="S139" s="179" t="s">
        <v>125</v>
      </c>
      <c r="T139" s="180"/>
    </row>
    <row r="140" spans="1:20" s="91" customFormat="1" ht="16.5" customHeight="1">
      <c r="A140" s="85" t="s">
        <v>119</v>
      </c>
      <c r="B140" s="86"/>
      <c r="C140" s="87" t="s">
        <v>43</v>
      </c>
      <c r="D140" s="145" t="s">
        <v>153</v>
      </c>
      <c r="E140" s="12" t="s">
        <v>154</v>
      </c>
      <c r="F140" s="146" t="s">
        <v>155</v>
      </c>
      <c r="G140" s="10">
        <v>38475</v>
      </c>
      <c r="H140" s="10">
        <f>G140</f>
        <v>38475</v>
      </c>
      <c r="I140" s="12" t="s">
        <v>156</v>
      </c>
      <c r="J140" s="12">
        <v>100.82</v>
      </c>
      <c r="K140" s="12">
        <v>20.16</v>
      </c>
      <c r="L140" s="111">
        <f>+K140+J140</f>
        <v>120.97999999999999</v>
      </c>
      <c r="M140" s="31"/>
      <c r="N140" s="31"/>
      <c r="O140" s="111"/>
      <c r="P140" s="31"/>
      <c r="Q140" s="31"/>
      <c r="R140" s="111"/>
      <c r="S140" s="199" t="s">
        <v>157</v>
      </c>
      <c r="T140" s="200"/>
    </row>
    <row r="141" spans="1:20" s="91" customFormat="1" ht="24.75" customHeight="1">
      <c r="A141" s="85" t="s">
        <v>119</v>
      </c>
      <c r="B141" s="86"/>
      <c r="C141" s="87" t="s">
        <v>43</v>
      </c>
      <c r="D141" s="149" t="s">
        <v>158</v>
      </c>
      <c r="E141" s="150" t="s">
        <v>159</v>
      </c>
      <c r="F141" s="151">
        <v>100</v>
      </c>
      <c r="G141" s="152">
        <v>38496</v>
      </c>
      <c r="H141" s="15">
        <f>G141</f>
        <v>38496</v>
      </c>
      <c r="I141" s="150" t="s">
        <v>160</v>
      </c>
      <c r="J141" s="153">
        <v>582</v>
      </c>
      <c r="K141" s="150">
        <v>116.4</v>
      </c>
      <c r="L141" s="118">
        <f>+K141+J141</f>
        <v>698.4</v>
      </c>
      <c r="M141" s="31">
        <v>582</v>
      </c>
      <c r="N141" s="31">
        <v>116.4</v>
      </c>
      <c r="O141" s="111">
        <f>+N141+M141</f>
        <v>698.4</v>
      </c>
      <c r="P141" s="31">
        <f>+M141*0.65</f>
        <v>378.3</v>
      </c>
      <c r="Q141" s="31">
        <f>+N141*0.65</f>
        <v>75.66000000000001</v>
      </c>
      <c r="R141" s="111">
        <f>+P141+Q141</f>
        <v>453.96000000000004</v>
      </c>
      <c r="S141" s="201"/>
      <c r="T141" s="202"/>
    </row>
    <row r="142" spans="1:20" s="91" customFormat="1" ht="23.25" customHeight="1">
      <c r="A142" s="85" t="s">
        <v>119</v>
      </c>
      <c r="B142" s="86"/>
      <c r="C142" s="87" t="s">
        <v>43</v>
      </c>
      <c r="D142" s="149" t="s">
        <v>161</v>
      </c>
      <c r="E142" s="150" t="s">
        <v>162</v>
      </c>
      <c r="F142" s="151">
        <v>25</v>
      </c>
      <c r="G142" s="152">
        <v>38541</v>
      </c>
      <c r="H142" s="152">
        <f>G142</f>
        <v>38541</v>
      </c>
      <c r="I142" s="150" t="s">
        <v>163</v>
      </c>
      <c r="J142" s="153">
        <v>384</v>
      </c>
      <c r="K142" s="150">
        <v>77</v>
      </c>
      <c r="L142" s="118">
        <f>+K142+J142</f>
        <v>461</v>
      </c>
      <c r="M142" s="31"/>
      <c r="N142" s="31"/>
      <c r="O142" s="111"/>
      <c r="P142" s="31"/>
      <c r="Q142" s="31"/>
      <c r="R142" s="111"/>
      <c r="S142" s="191" t="s">
        <v>238</v>
      </c>
      <c r="T142" s="192"/>
    </row>
    <row r="143" spans="1:20" s="91" customFormat="1" ht="21.75" customHeight="1">
      <c r="A143" s="85" t="s">
        <v>119</v>
      </c>
      <c r="B143" s="86"/>
      <c r="C143" s="87" t="s">
        <v>43</v>
      </c>
      <c r="D143" s="149" t="s">
        <v>164</v>
      </c>
      <c r="E143" s="150" t="s">
        <v>165</v>
      </c>
      <c r="F143" s="154" t="s">
        <v>172</v>
      </c>
      <c r="G143" s="152">
        <v>38521</v>
      </c>
      <c r="H143" s="152">
        <v>38541</v>
      </c>
      <c r="I143" s="150" t="s">
        <v>166</v>
      </c>
      <c r="J143" s="153"/>
      <c r="K143" s="150"/>
      <c r="L143" s="118">
        <v>3044</v>
      </c>
      <c r="M143" s="31"/>
      <c r="N143" s="31"/>
      <c r="O143" s="111"/>
      <c r="P143" s="31"/>
      <c r="Q143" s="31"/>
      <c r="R143" s="111"/>
      <c r="S143" s="191" t="s">
        <v>239</v>
      </c>
      <c r="T143" s="192"/>
    </row>
    <row r="144" spans="1:20" s="91" customFormat="1" ht="16.5" customHeight="1">
      <c r="A144" s="85" t="s">
        <v>119</v>
      </c>
      <c r="B144" s="86"/>
      <c r="C144" s="87" t="s">
        <v>43</v>
      </c>
      <c r="D144" s="149" t="s">
        <v>161</v>
      </c>
      <c r="E144" s="150" t="s">
        <v>167</v>
      </c>
      <c r="F144" s="151">
        <v>287</v>
      </c>
      <c r="G144" s="152">
        <v>38548</v>
      </c>
      <c r="H144" s="152">
        <f aca="true" t="shared" si="30" ref="H144:H149">G144</f>
        <v>38548</v>
      </c>
      <c r="I144" s="150" t="s">
        <v>156</v>
      </c>
      <c r="J144" s="153">
        <v>230</v>
      </c>
      <c r="K144" s="150">
        <f>+J144*0.2</f>
        <v>46</v>
      </c>
      <c r="L144" s="118">
        <f>+K144+J144</f>
        <v>276</v>
      </c>
      <c r="M144" s="31"/>
      <c r="N144" s="31"/>
      <c r="O144" s="111"/>
      <c r="P144" s="31"/>
      <c r="Q144" s="31"/>
      <c r="R144" s="111"/>
      <c r="S144" s="199" t="s">
        <v>157</v>
      </c>
      <c r="T144" s="200"/>
    </row>
    <row r="145" spans="1:20" s="91" customFormat="1" ht="21.75" customHeight="1">
      <c r="A145" s="85" t="s">
        <v>119</v>
      </c>
      <c r="B145" s="86"/>
      <c r="C145" s="87" t="s">
        <v>43</v>
      </c>
      <c r="D145" s="149" t="s">
        <v>153</v>
      </c>
      <c r="E145" s="150" t="s">
        <v>168</v>
      </c>
      <c r="F145" s="151">
        <v>397</v>
      </c>
      <c r="G145" s="152">
        <v>38548</v>
      </c>
      <c r="H145" s="152">
        <f t="shared" si="30"/>
        <v>38548</v>
      </c>
      <c r="I145" s="150" t="s">
        <v>169</v>
      </c>
      <c r="J145" s="153">
        <v>152</v>
      </c>
      <c r="K145" s="150">
        <f>+J145*0.2</f>
        <v>30.400000000000002</v>
      </c>
      <c r="L145" s="118">
        <f>+K145+J145</f>
        <v>182.4</v>
      </c>
      <c r="M145" s="31"/>
      <c r="N145" s="31"/>
      <c r="O145" s="111"/>
      <c r="P145" s="31"/>
      <c r="Q145" s="31"/>
      <c r="R145" s="111"/>
      <c r="S145" s="191" t="s">
        <v>240</v>
      </c>
      <c r="T145" s="192"/>
    </row>
    <row r="146" spans="1:20" s="91" customFormat="1" ht="21.75" customHeight="1">
      <c r="A146" s="85" t="s">
        <v>119</v>
      </c>
      <c r="B146" s="86"/>
      <c r="C146" s="87" t="s">
        <v>43</v>
      </c>
      <c r="D146" s="149" t="s">
        <v>164</v>
      </c>
      <c r="E146" s="150" t="s">
        <v>170</v>
      </c>
      <c r="F146" s="151" t="s">
        <v>171</v>
      </c>
      <c r="G146" s="152">
        <v>38510</v>
      </c>
      <c r="H146" s="152">
        <f t="shared" si="30"/>
        <v>38510</v>
      </c>
      <c r="I146" s="150" t="s">
        <v>166</v>
      </c>
      <c r="J146" s="153"/>
      <c r="K146" s="150"/>
      <c r="L146" s="118">
        <v>778</v>
      </c>
      <c r="M146" s="31"/>
      <c r="N146" s="31"/>
      <c r="O146" s="111"/>
      <c r="P146" s="31"/>
      <c r="Q146" s="31"/>
      <c r="R146" s="111"/>
      <c r="S146" s="191" t="s">
        <v>241</v>
      </c>
      <c r="T146" s="192"/>
    </row>
    <row r="147" spans="1:20" s="91" customFormat="1" ht="24.75" customHeight="1">
      <c r="A147" s="85" t="s">
        <v>119</v>
      </c>
      <c r="B147" s="86"/>
      <c r="C147" s="87" t="s">
        <v>43</v>
      </c>
      <c r="D147" s="149" t="s">
        <v>164</v>
      </c>
      <c r="E147" s="150" t="s">
        <v>170</v>
      </c>
      <c r="F147" s="151" t="s">
        <v>173</v>
      </c>
      <c r="G147" s="152">
        <v>38510</v>
      </c>
      <c r="H147" s="152">
        <f t="shared" si="30"/>
        <v>38510</v>
      </c>
      <c r="I147" s="150" t="s">
        <v>166</v>
      </c>
      <c r="J147" s="153"/>
      <c r="K147" s="150"/>
      <c r="L147" s="118">
        <v>159.5</v>
      </c>
      <c r="M147" s="31"/>
      <c r="N147" s="31"/>
      <c r="O147" s="111"/>
      <c r="P147" s="31"/>
      <c r="Q147" s="31"/>
      <c r="R147" s="111"/>
      <c r="S147" s="191" t="s">
        <v>241</v>
      </c>
      <c r="T147" s="192"/>
    </row>
    <row r="148" spans="1:20" s="91" customFormat="1" ht="25.5" customHeight="1">
      <c r="A148" s="85" t="s">
        <v>119</v>
      </c>
      <c r="B148" s="86"/>
      <c r="C148" s="87" t="s">
        <v>43</v>
      </c>
      <c r="D148" s="149" t="s">
        <v>158</v>
      </c>
      <c r="E148" s="150" t="s">
        <v>174</v>
      </c>
      <c r="F148" s="151">
        <v>3390</v>
      </c>
      <c r="G148" s="152">
        <v>38551</v>
      </c>
      <c r="H148" s="152">
        <f t="shared" si="30"/>
        <v>38551</v>
      </c>
      <c r="I148" s="150" t="s">
        <v>166</v>
      </c>
      <c r="J148" s="153">
        <v>159.08</v>
      </c>
      <c r="K148" s="150">
        <f>+J148*0.2</f>
        <v>31.816000000000003</v>
      </c>
      <c r="L148" s="118">
        <f>+K148+J148</f>
        <v>190.89600000000002</v>
      </c>
      <c r="M148" s="31"/>
      <c r="N148" s="31"/>
      <c r="O148" s="111"/>
      <c r="P148" s="31"/>
      <c r="Q148" s="31"/>
      <c r="R148" s="111"/>
      <c r="S148" s="191" t="s">
        <v>240</v>
      </c>
      <c r="T148" s="192"/>
    </row>
    <row r="149" spans="1:20" s="91" customFormat="1" ht="20.25" customHeight="1">
      <c r="A149" s="85" t="s">
        <v>119</v>
      </c>
      <c r="B149" s="86"/>
      <c r="C149" s="87" t="s">
        <v>43</v>
      </c>
      <c r="D149" s="149" t="s">
        <v>175</v>
      </c>
      <c r="E149" s="150" t="s">
        <v>176</v>
      </c>
      <c r="F149" s="151" t="s">
        <v>177</v>
      </c>
      <c r="G149" s="152">
        <v>38554</v>
      </c>
      <c r="H149" s="152">
        <f t="shared" si="30"/>
        <v>38554</v>
      </c>
      <c r="I149" s="150" t="s">
        <v>178</v>
      </c>
      <c r="J149" s="153">
        <v>245.45</v>
      </c>
      <c r="K149" s="150">
        <v>24.55</v>
      </c>
      <c r="L149" s="118">
        <f>+K149+J149</f>
        <v>270</v>
      </c>
      <c r="M149" s="31"/>
      <c r="N149" s="31"/>
      <c r="O149" s="111">
        <f>+M149+N149</f>
        <v>0</v>
      </c>
      <c r="P149" s="31">
        <f>+M149*0.65</f>
        <v>0</v>
      </c>
      <c r="Q149" s="31">
        <f>+N149*0.65</f>
        <v>0</v>
      </c>
      <c r="R149" s="111">
        <f>+P149+Q149</f>
        <v>0</v>
      </c>
      <c r="S149" s="191" t="s">
        <v>242</v>
      </c>
      <c r="T149" s="192"/>
    </row>
    <row r="150" spans="1:20" s="91" customFormat="1" ht="72" customHeight="1">
      <c r="A150" s="85" t="s">
        <v>119</v>
      </c>
      <c r="B150" s="86"/>
      <c r="C150" s="87" t="s">
        <v>43</v>
      </c>
      <c r="D150" s="149" t="s">
        <v>164</v>
      </c>
      <c r="E150" s="150" t="s">
        <v>179</v>
      </c>
      <c r="F150" s="151" t="s">
        <v>180</v>
      </c>
      <c r="G150" s="152">
        <v>38518</v>
      </c>
      <c r="H150" s="152">
        <v>38558</v>
      </c>
      <c r="I150" s="150" t="s">
        <v>166</v>
      </c>
      <c r="J150" s="153"/>
      <c r="K150" s="150"/>
      <c r="L150" s="118">
        <v>345.27</v>
      </c>
      <c r="M150" s="31"/>
      <c r="N150" s="31"/>
      <c r="O150" s="111"/>
      <c r="P150" s="31"/>
      <c r="Q150" s="31"/>
      <c r="R150" s="111"/>
      <c r="S150" s="191" t="s">
        <v>205</v>
      </c>
      <c r="T150" s="192"/>
    </row>
    <row r="151" spans="1:20" s="91" customFormat="1" ht="48.75" customHeight="1">
      <c r="A151" s="85" t="s">
        <v>119</v>
      </c>
      <c r="B151" s="86"/>
      <c r="C151" s="87" t="s">
        <v>43</v>
      </c>
      <c r="D151" s="149" t="s">
        <v>181</v>
      </c>
      <c r="E151" s="150" t="s">
        <v>182</v>
      </c>
      <c r="F151" s="151">
        <v>8</v>
      </c>
      <c r="G151" s="152">
        <v>38569</v>
      </c>
      <c r="H151" s="152">
        <v>38574</v>
      </c>
      <c r="I151" s="150" t="s">
        <v>183</v>
      </c>
      <c r="J151" s="153"/>
      <c r="K151" s="150"/>
      <c r="L151" s="118">
        <v>320</v>
      </c>
      <c r="M151" s="31"/>
      <c r="N151" s="31"/>
      <c r="O151" s="111"/>
      <c r="P151" s="31"/>
      <c r="Q151" s="31"/>
      <c r="R151" s="111"/>
      <c r="S151" s="191" t="s">
        <v>243</v>
      </c>
      <c r="T151" s="192"/>
    </row>
    <row r="152" spans="1:20" s="91" customFormat="1" ht="23.25" customHeight="1">
      <c r="A152" s="85" t="s">
        <v>119</v>
      </c>
      <c r="B152" s="86"/>
      <c r="C152" s="87" t="s">
        <v>43</v>
      </c>
      <c r="D152" s="149" t="s">
        <v>184</v>
      </c>
      <c r="E152" s="150" t="s">
        <v>185</v>
      </c>
      <c r="F152" s="151"/>
      <c r="G152" s="152"/>
      <c r="H152" s="152">
        <v>38574</v>
      </c>
      <c r="I152" s="150" t="s">
        <v>166</v>
      </c>
      <c r="J152" s="153"/>
      <c r="K152" s="150"/>
      <c r="L152" s="118">
        <v>5</v>
      </c>
      <c r="M152" s="31"/>
      <c r="N152" s="31"/>
      <c r="O152" s="111"/>
      <c r="P152" s="31"/>
      <c r="Q152" s="31"/>
      <c r="R152" s="111"/>
      <c r="S152" s="191" t="s">
        <v>200</v>
      </c>
      <c r="T152" s="192"/>
    </row>
    <row r="153" spans="1:20" s="91" customFormat="1" ht="32.25" customHeight="1">
      <c r="A153" s="85" t="s">
        <v>119</v>
      </c>
      <c r="B153" s="86"/>
      <c r="C153" s="87" t="s">
        <v>43</v>
      </c>
      <c r="D153" s="149" t="s">
        <v>186</v>
      </c>
      <c r="E153" s="157" t="s">
        <v>187</v>
      </c>
      <c r="F153" s="151">
        <v>-4611</v>
      </c>
      <c r="G153" s="152">
        <v>38559</v>
      </c>
      <c r="H153" s="152">
        <v>38575</v>
      </c>
      <c r="I153" s="150" t="s">
        <v>188</v>
      </c>
      <c r="J153" s="153"/>
      <c r="K153" s="150"/>
      <c r="L153" s="118">
        <v>862.92</v>
      </c>
      <c r="M153" s="31"/>
      <c r="N153" s="31"/>
      <c r="O153" s="111"/>
      <c r="P153" s="31"/>
      <c r="Q153" s="31"/>
      <c r="R153" s="111"/>
      <c r="S153" s="191" t="s">
        <v>243</v>
      </c>
      <c r="T153" s="192"/>
    </row>
    <row r="154" spans="1:20" s="91" customFormat="1" ht="22.5" customHeight="1">
      <c r="A154" s="85" t="s">
        <v>119</v>
      </c>
      <c r="B154" s="86"/>
      <c r="C154" s="87" t="s">
        <v>43</v>
      </c>
      <c r="D154" s="149" t="s">
        <v>153</v>
      </c>
      <c r="E154" s="157" t="s">
        <v>154</v>
      </c>
      <c r="F154" s="151" t="s">
        <v>189</v>
      </c>
      <c r="G154" s="152">
        <v>38594</v>
      </c>
      <c r="H154" s="152">
        <v>38594</v>
      </c>
      <c r="I154" s="150" t="s">
        <v>190</v>
      </c>
      <c r="J154" s="153">
        <v>97.08</v>
      </c>
      <c r="K154" s="150">
        <f>+J154*0.2</f>
        <v>19.416</v>
      </c>
      <c r="L154" s="118">
        <f>+K154+J154</f>
        <v>116.496</v>
      </c>
      <c r="M154" s="31"/>
      <c r="N154" s="31"/>
      <c r="O154" s="111"/>
      <c r="P154" s="31"/>
      <c r="Q154" s="31"/>
      <c r="R154" s="111"/>
      <c r="S154" s="191" t="s">
        <v>240</v>
      </c>
      <c r="T154" s="192"/>
    </row>
    <row r="155" spans="1:20" s="91" customFormat="1" ht="23.25" customHeight="1">
      <c r="A155" s="85" t="s">
        <v>119</v>
      </c>
      <c r="B155" s="86"/>
      <c r="C155" s="87" t="s">
        <v>43</v>
      </c>
      <c r="D155" s="149" t="s">
        <v>158</v>
      </c>
      <c r="E155" s="157" t="s">
        <v>174</v>
      </c>
      <c r="F155" s="151">
        <v>3950</v>
      </c>
      <c r="G155" s="152">
        <v>38595</v>
      </c>
      <c r="H155" s="152">
        <v>38595</v>
      </c>
      <c r="I155" s="150" t="s">
        <v>191</v>
      </c>
      <c r="J155" s="153">
        <v>130</v>
      </c>
      <c r="K155" s="150">
        <v>21.87</v>
      </c>
      <c r="L155" s="118">
        <f>+K155+J155</f>
        <v>151.87</v>
      </c>
      <c r="M155" s="31"/>
      <c r="N155" s="31"/>
      <c r="O155" s="111"/>
      <c r="P155" s="31"/>
      <c r="Q155" s="31"/>
      <c r="R155" s="111"/>
      <c r="S155" s="191" t="s">
        <v>240</v>
      </c>
      <c r="T155" s="192"/>
    </row>
    <row r="156" spans="1:20" s="91" customFormat="1" ht="35.25" customHeight="1">
      <c r="A156" s="85" t="s">
        <v>119</v>
      </c>
      <c r="B156" s="86"/>
      <c r="C156" s="87" t="s">
        <v>43</v>
      </c>
      <c r="D156" s="149" t="s">
        <v>192</v>
      </c>
      <c r="E156" s="158" t="s">
        <v>193</v>
      </c>
      <c r="F156" s="151">
        <v>1444</v>
      </c>
      <c r="G156" s="159">
        <v>38595</v>
      </c>
      <c r="H156" s="152">
        <v>38565</v>
      </c>
      <c r="I156" s="150" t="s">
        <v>194</v>
      </c>
      <c r="J156" s="160">
        <v>600</v>
      </c>
      <c r="K156" s="150">
        <f>+J156*0.2</f>
        <v>120</v>
      </c>
      <c r="L156" s="118">
        <f>+K156+J156</f>
        <v>720</v>
      </c>
      <c r="M156" s="31"/>
      <c r="N156" s="31"/>
      <c r="O156" s="111"/>
      <c r="P156" s="31"/>
      <c r="Q156" s="31"/>
      <c r="R156" s="111"/>
      <c r="S156" s="191" t="s">
        <v>243</v>
      </c>
      <c r="T156" s="192"/>
    </row>
    <row r="157" spans="1:20" s="91" customFormat="1" ht="22.5" customHeight="1">
      <c r="A157" s="85" t="s">
        <v>119</v>
      </c>
      <c r="B157" s="86"/>
      <c r="C157" s="87" t="s">
        <v>43</v>
      </c>
      <c r="D157" s="149" t="s">
        <v>164</v>
      </c>
      <c r="E157" s="158" t="s">
        <v>165</v>
      </c>
      <c r="F157" s="164" t="s">
        <v>202</v>
      </c>
      <c r="G157" s="159">
        <v>38581</v>
      </c>
      <c r="H157" s="152">
        <v>38601</v>
      </c>
      <c r="I157" s="150" t="s">
        <v>166</v>
      </c>
      <c r="J157" s="161"/>
      <c r="K157" s="150"/>
      <c r="L157" s="118">
        <v>3275</v>
      </c>
      <c r="M157" s="31"/>
      <c r="N157" s="31"/>
      <c r="O157" s="111"/>
      <c r="P157" s="31"/>
      <c r="Q157" s="31"/>
      <c r="R157" s="111"/>
      <c r="S157" s="191" t="s">
        <v>203</v>
      </c>
      <c r="T157" s="192"/>
    </row>
    <row r="158" spans="1:20" s="91" customFormat="1" ht="21.75" customHeight="1">
      <c r="A158" s="85" t="s">
        <v>119</v>
      </c>
      <c r="B158" s="86"/>
      <c r="C158" s="87" t="s">
        <v>43</v>
      </c>
      <c r="D158" s="149" t="s">
        <v>164</v>
      </c>
      <c r="E158" s="158" t="s">
        <v>170</v>
      </c>
      <c r="F158" s="93" t="s">
        <v>195</v>
      </c>
      <c r="G158" s="18">
        <v>38569</v>
      </c>
      <c r="H158" s="152">
        <v>38610</v>
      </c>
      <c r="I158" s="150" t="s">
        <v>196</v>
      </c>
      <c r="J158" s="162"/>
      <c r="K158" s="150"/>
      <c r="L158" s="118">
        <v>136.5</v>
      </c>
      <c r="M158" s="31"/>
      <c r="N158" s="31"/>
      <c r="O158" s="111"/>
      <c r="P158" s="31"/>
      <c r="Q158" s="31"/>
      <c r="R158" s="111"/>
      <c r="S158" s="191" t="s">
        <v>201</v>
      </c>
      <c r="T158" s="192"/>
    </row>
    <row r="159" spans="1:20" s="91" customFormat="1" ht="34.5" customHeight="1">
      <c r="A159" s="85" t="s">
        <v>119</v>
      </c>
      <c r="B159" s="86"/>
      <c r="C159" s="87" t="s">
        <v>43</v>
      </c>
      <c r="D159" s="149" t="s">
        <v>164</v>
      </c>
      <c r="E159" s="158" t="s">
        <v>170</v>
      </c>
      <c r="F159" s="93" t="s">
        <v>197</v>
      </c>
      <c r="G159" s="18">
        <v>38569</v>
      </c>
      <c r="H159" s="152">
        <v>38610</v>
      </c>
      <c r="I159" s="150"/>
      <c r="J159" s="162"/>
      <c r="K159" s="150"/>
      <c r="L159" s="118">
        <v>149</v>
      </c>
      <c r="M159" s="31"/>
      <c r="N159" s="31"/>
      <c r="O159" s="111"/>
      <c r="P159" s="31"/>
      <c r="Q159" s="31"/>
      <c r="R159" s="111"/>
      <c r="S159" s="191" t="s">
        <v>204</v>
      </c>
      <c r="T159" s="192"/>
    </row>
    <row r="160" spans="1:20" s="91" customFormat="1" ht="21.75" customHeight="1">
      <c r="A160" s="85" t="s">
        <v>119</v>
      </c>
      <c r="B160" s="86"/>
      <c r="C160" s="87" t="s">
        <v>43</v>
      </c>
      <c r="D160" s="149" t="s">
        <v>181</v>
      </c>
      <c r="E160" s="150" t="s">
        <v>182</v>
      </c>
      <c r="F160" s="93">
        <v>9</v>
      </c>
      <c r="G160" s="18">
        <v>38615</v>
      </c>
      <c r="H160" s="152">
        <v>38617</v>
      </c>
      <c r="I160" s="150" t="s">
        <v>183</v>
      </c>
      <c r="J160" s="162"/>
      <c r="K160" s="150"/>
      <c r="L160" s="118">
        <v>160</v>
      </c>
      <c r="M160" s="31"/>
      <c r="N160" s="31"/>
      <c r="O160" s="111"/>
      <c r="P160" s="31"/>
      <c r="Q160" s="31"/>
      <c r="R160" s="111"/>
      <c r="S160" s="191" t="s">
        <v>204</v>
      </c>
      <c r="T160" s="192"/>
    </row>
    <row r="161" spans="1:20" s="91" customFormat="1" ht="23.25" customHeight="1">
      <c r="A161" s="85" t="s">
        <v>119</v>
      </c>
      <c r="B161" s="86"/>
      <c r="C161" s="87" t="s">
        <v>43</v>
      </c>
      <c r="D161" s="149" t="s">
        <v>186</v>
      </c>
      <c r="E161" s="158" t="s">
        <v>187</v>
      </c>
      <c r="F161" s="93">
        <v>-44612</v>
      </c>
      <c r="G161" s="18">
        <v>38597</v>
      </c>
      <c r="H161" s="152">
        <v>38614</v>
      </c>
      <c r="I161" s="150" t="s">
        <v>196</v>
      </c>
      <c r="J161" s="162"/>
      <c r="K161" s="150"/>
      <c r="L161" s="118">
        <v>95.16</v>
      </c>
      <c r="M161" s="31"/>
      <c r="N161" s="31"/>
      <c r="O161" s="111"/>
      <c r="P161" s="31"/>
      <c r="Q161" s="31"/>
      <c r="R161" s="111"/>
      <c r="S161" s="191" t="s">
        <v>204</v>
      </c>
      <c r="T161" s="192"/>
    </row>
    <row r="162" spans="1:20" s="91" customFormat="1" ht="70.5" customHeight="1">
      <c r="A162" s="85" t="s">
        <v>119</v>
      </c>
      <c r="B162" s="86"/>
      <c r="C162" s="87" t="s">
        <v>43</v>
      </c>
      <c r="D162" s="149" t="s">
        <v>164</v>
      </c>
      <c r="E162" s="158" t="s">
        <v>179</v>
      </c>
      <c r="F162" s="93" t="s">
        <v>198</v>
      </c>
      <c r="G162" s="18">
        <v>38576</v>
      </c>
      <c r="H162" s="152">
        <v>38621</v>
      </c>
      <c r="I162" s="150" t="s">
        <v>166</v>
      </c>
      <c r="J162" s="162"/>
      <c r="K162" s="150"/>
      <c r="L162" s="118">
        <v>241.69</v>
      </c>
      <c r="M162" s="31"/>
      <c r="N162" s="31"/>
      <c r="O162" s="111"/>
      <c r="P162" s="31"/>
      <c r="Q162" s="31"/>
      <c r="R162" s="111"/>
      <c r="S162" s="191" t="s">
        <v>205</v>
      </c>
      <c r="T162" s="192"/>
    </row>
    <row r="163" spans="1:20" s="91" customFormat="1" ht="23.25" customHeight="1">
      <c r="A163" s="85" t="s">
        <v>119</v>
      </c>
      <c r="B163" s="86"/>
      <c r="C163" s="87" t="s">
        <v>43</v>
      </c>
      <c r="D163" s="14" t="s">
        <v>164</v>
      </c>
      <c r="E163" s="163" t="s">
        <v>170</v>
      </c>
      <c r="F163" s="93" t="s">
        <v>199</v>
      </c>
      <c r="G163" s="18">
        <v>38603</v>
      </c>
      <c r="H163" s="152">
        <v>38635</v>
      </c>
      <c r="I163" s="150" t="s">
        <v>196</v>
      </c>
      <c r="J163" s="162"/>
      <c r="K163" s="150"/>
      <c r="L163" s="118">
        <v>76</v>
      </c>
      <c r="M163" s="31"/>
      <c r="N163" s="31"/>
      <c r="O163" s="111"/>
      <c r="P163" s="31"/>
      <c r="Q163" s="31"/>
      <c r="R163" s="111"/>
      <c r="S163" s="191" t="s">
        <v>201</v>
      </c>
      <c r="T163" s="192"/>
    </row>
    <row r="164" spans="1:20" s="91" customFormat="1" ht="83.25" customHeight="1">
      <c r="A164" s="85" t="s">
        <v>119</v>
      </c>
      <c r="B164" s="86"/>
      <c r="C164" s="87" t="s">
        <v>43</v>
      </c>
      <c r="D164" s="9" t="s">
        <v>206</v>
      </c>
      <c r="E164" s="156" t="s">
        <v>207</v>
      </c>
      <c r="F164" s="146">
        <v>10</v>
      </c>
      <c r="G164" s="17">
        <v>38506</v>
      </c>
      <c r="H164" s="148">
        <v>38631</v>
      </c>
      <c r="I164" s="147" t="s">
        <v>183</v>
      </c>
      <c r="J164" s="155"/>
      <c r="K164" s="147">
        <f>+J164*0.2</f>
        <v>0</v>
      </c>
      <c r="L164" s="111">
        <v>4007.72</v>
      </c>
      <c r="M164" s="31"/>
      <c r="N164" s="31"/>
      <c r="O164" s="111"/>
      <c r="P164" s="31"/>
      <c r="Q164" s="31"/>
      <c r="R164" s="111"/>
      <c r="S164" s="191" t="s">
        <v>244</v>
      </c>
      <c r="T164" s="192"/>
    </row>
    <row r="165" spans="1:20" s="91" customFormat="1" ht="23.25" customHeight="1">
      <c r="A165" s="85" t="s">
        <v>119</v>
      </c>
      <c r="B165" s="86"/>
      <c r="C165" s="87" t="s">
        <v>43</v>
      </c>
      <c r="D165" s="9" t="s">
        <v>184</v>
      </c>
      <c r="E165" s="156" t="s">
        <v>208</v>
      </c>
      <c r="F165" s="146"/>
      <c r="G165" s="17">
        <v>38506</v>
      </c>
      <c r="H165" s="148">
        <v>38631</v>
      </c>
      <c r="I165" s="150" t="s">
        <v>166</v>
      </c>
      <c r="J165" s="155"/>
      <c r="K165" s="147"/>
      <c r="L165" s="111">
        <v>5</v>
      </c>
      <c r="M165" s="31"/>
      <c r="N165" s="31"/>
      <c r="O165" s="111"/>
      <c r="P165" s="31"/>
      <c r="Q165" s="31"/>
      <c r="R165" s="111"/>
      <c r="S165" s="193" t="s">
        <v>211</v>
      </c>
      <c r="T165" s="194"/>
    </row>
    <row r="166" spans="1:20" s="91" customFormat="1" ht="23.25" customHeight="1">
      <c r="A166" s="85" t="s">
        <v>119</v>
      </c>
      <c r="B166" s="86"/>
      <c r="C166" s="87" t="s">
        <v>43</v>
      </c>
      <c r="D166" s="9" t="s">
        <v>209</v>
      </c>
      <c r="E166" s="165" t="s">
        <v>210</v>
      </c>
      <c r="F166" s="146"/>
      <c r="G166" s="17">
        <v>38476</v>
      </c>
      <c r="H166" s="148">
        <v>38476</v>
      </c>
      <c r="I166" s="150" t="s">
        <v>166</v>
      </c>
      <c r="J166" s="155"/>
      <c r="K166" s="147"/>
      <c r="L166" s="111">
        <v>7.75</v>
      </c>
      <c r="M166" s="31"/>
      <c r="N166" s="31"/>
      <c r="O166" s="111"/>
      <c r="P166" s="31"/>
      <c r="Q166" s="31"/>
      <c r="R166" s="111"/>
      <c r="S166" s="195"/>
      <c r="T166" s="196"/>
    </row>
    <row r="167" spans="1:20" s="91" customFormat="1" ht="23.25" customHeight="1">
      <c r="A167" s="85" t="s">
        <v>119</v>
      </c>
      <c r="B167" s="86"/>
      <c r="C167" s="87" t="s">
        <v>43</v>
      </c>
      <c r="D167" s="9" t="s">
        <v>209</v>
      </c>
      <c r="E167" s="156" t="s">
        <v>210</v>
      </c>
      <c r="F167" s="146"/>
      <c r="G167" s="17">
        <v>38476</v>
      </c>
      <c r="H167" s="148">
        <v>38476</v>
      </c>
      <c r="I167" s="150" t="s">
        <v>166</v>
      </c>
      <c r="J167" s="155"/>
      <c r="K167" s="147"/>
      <c r="L167" s="111">
        <v>7.75</v>
      </c>
      <c r="M167" s="31"/>
      <c r="N167" s="31"/>
      <c r="O167" s="111"/>
      <c r="P167" s="31"/>
      <c r="Q167" s="31"/>
      <c r="R167" s="111"/>
      <c r="S167" s="195"/>
      <c r="T167" s="196"/>
    </row>
    <row r="168" spans="1:20" s="91" customFormat="1" ht="23.25" customHeight="1">
      <c r="A168" s="85" t="s">
        <v>119</v>
      </c>
      <c r="B168" s="86"/>
      <c r="C168" s="87" t="s">
        <v>43</v>
      </c>
      <c r="D168" s="9" t="s">
        <v>209</v>
      </c>
      <c r="E168" s="156" t="s">
        <v>210</v>
      </c>
      <c r="F168" s="146"/>
      <c r="G168" s="17">
        <v>38537</v>
      </c>
      <c r="H168" s="166">
        <v>38537</v>
      </c>
      <c r="I168" s="150" t="s">
        <v>166</v>
      </c>
      <c r="J168" s="155"/>
      <c r="K168" s="147"/>
      <c r="L168" s="111">
        <v>8.55</v>
      </c>
      <c r="M168" s="31"/>
      <c r="N168" s="31"/>
      <c r="O168" s="111"/>
      <c r="P168" s="31"/>
      <c r="Q168" s="31"/>
      <c r="R168" s="111"/>
      <c r="S168" s="195"/>
      <c r="T168" s="196"/>
    </row>
    <row r="169" spans="1:20" s="91" customFormat="1" ht="23.25" customHeight="1">
      <c r="A169" s="85" t="s">
        <v>119</v>
      </c>
      <c r="B169" s="86"/>
      <c r="C169" s="87" t="s">
        <v>43</v>
      </c>
      <c r="D169" s="9" t="s">
        <v>209</v>
      </c>
      <c r="E169" s="156" t="s">
        <v>210</v>
      </c>
      <c r="F169" s="146"/>
      <c r="G169" s="17">
        <v>38538</v>
      </c>
      <c r="H169" s="166">
        <v>38538</v>
      </c>
      <c r="I169" s="150" t="s">
        <v>166</v>
      </c>
      <c r="J169" s="155"/>
      <c r="K169" s="147"/>
      <c r="L169" s="111">
        <v>7.75</v>
      </c>
      <c r="M169" s="31"/>
      <c r="N169" s="31"/>
      <c r="O169" s="111"/>
      <c r="P169" s="31"/>
      <c r="Q169" s="31"/>
      <c r="R169" s="111"/>
      <c r="S169" s="195"/>
      <c r="T169" s="196"/>
    </row>
    <row r="170" spans="1:20" s="91" customFormat="1" ht="23.25" customHeight="1">
      <c r="A170" s="85" t="s">
        <v>119</v>
      </c>
      <c r="B170" s="86"/>
      <c r="C170" s="87" t="s">
        <v>43</v>
      </c>
      <c r="D170" s="9" t="s">
        <v>209</v>
      </c>
      <c r="E170" s="156" t="s">
        <v>210</v>
      </c>
      <c r="F170" s="146"/>
      <c r="G170" s="17">
        <v>38567</v>
      </c>
      <c r="H170" s="166">
        <v>38567</v>
      </c>
      <c r="I170" s="150" t="s">
        <v>166</v>
      </c>
      <c r="J170" s="155"/>
      <c r="K170" s="147"/>
      <c r="L170" s="111">
        <v>7.75</v>
      </c>
      <c r="M170" s="31"/>
      <c r="N170" s="31"/>
      <c r="O170" s="111"/>
      <c r="P170" s="31"/>
      <c r="Q170" s="31"/>
      <c r="R170" s="111"/>
      <c r="S170" s="197"/>
      <c r="T170" s="198"/>
    </row>
    <row r="171" spans="1:20" s="91" customFormat="1" ht="34.5" customHeight="1">
      <c r="A171" s="85" t="s">
        <v>119</v>
      </c>
      <c r="B171" s="86"/>
      <c r="C171" s="87" t="s">
        <v>43</v>
      </c>
      <c r="D171" s="14" t="s">
        <v>164</v>
      </c>
      <c r="E171" s="163" t="s">
        <v>170</v>
      </c>
      <c r="F171" s="93" t="s">
        <v>212</v>
      </c>
      <c r="G171" s="18">
        <v>38569</v>
      </c>
      <c r="H171" s="152">
        <v>38610</v>
      </c>
      <c r="I171" s="150" t="s">
        <v>166</v>
      </c>
      <c r="J171" s="162"/>
      <c r="K171" s="150"/>
      <c r="L171" s="118">
        <v>583.5</v>
      </c>
      <c r="M171" s="31"/>
      <c r="N171" s="31"/>
      <c r="O171" s="111"/>
      <c r="P171" s="31"/>
      <c r="Q171" s="31"/>
      <c r="R171" s="111"/>
      <c r="S171" s="191" t="s">
        <v>204</v>
      </c>
      <c r="T171" s="192"/>
    </row>
    <row r="172" spans="1:20" s="91" customFormat="1" ht="16.5" customHeight="1">
      <c r="A172" s="85" t="s">
        <v>119</v>
      </c>
      <c r="B172" s="86"/>
      <c r="C172" s="87" t="s">
        <v>43</v>
      </c>
      <c r="D172" s="145" t="s">
        <v>181</v>
      </c>
      <c r="E172" s="147" t="s">
        <v>182</v>
      </c>
      <c r="F172" s="146">
        <v>5</v>
      </c>
      <c r="G172" s="17">
        <v>38481</v>
      </c>
      <c r="H172" s="17">
        <v>38481</v>
      </c>
      <c r="I172" s="147" t="s">
        <v>156</v>
      </c>
      <c r="J172" s="155"/>
      <c r="K172" s="147"/>
      <c r="L172" s="111">
        <v>53</v>
      </c>
      <c r="M172" s="31"/>
      <c r="N172" s="31"/>
      <c r="O172" s="111"/>
      <c r="P172" s="31"/>
      <c r="Q172" s="31"/>
      <c r="R172" s="111"/>
      <c r="S172" s="193" t="s">
        <v>245</v>
      </c>
      <c r="T172" s="194"/>
    </row>
    <row r="173" spans="1:20" s="91" customFormat="1" ht="16.5" customHeight="1">
      <c r="A173" s="85" t="s">
        <v>119</v>
      </c>
      <c r="B173" s="86"/>
      <c r="C173" s="87" t="s">
        <v>43</v>
      </c>
      <c r="D173" s="145" t="s">
        <v>181</v>
      </c>
      <c r="E173" s="147" t="s">
        <v>182</v>
      </c>
      <c r="F173" s="146">
        <v>6</v>
      </c>
      <c r="G173" s="17">
        <v>38512</v>
      </c>
      <c r="H173" s="17">
        <v>38512</v>
      </c>
      <c r="I173" s="147" t="s">
        <v>156</v>
      </c>
      <c r="J173" s="155"/>
      <c r="K173" s="147"/>
      <c r="L173" s="111">
        <v>69.24</v>
      </c>
      <c r="M173" s="31"/>
      <c r="N173" s="31"/>
      <c r="O173" s="111"/>
      <c r="P173" s="31"/>
      <c r="Q173" s="31"/>
      <c r="R173" s="111"/>
      <c r="S173" s="195"/>
      <c r="T173" s="196"/>
    </row>
    <row r="174" spans="1:20" s="91" customFormat="1" ht="16.5" customHeight="1">
      <c r="A174" s="85" t="s">
        <v>119</v>
      </c>
      <c r="B174" s="86"/>
      <c r="C174" s="87" t="s">
        <v>43</v>
      </c>
      <c r="D174" s="145" t="s">
        <v>181</v>
      </c>
      <c r="E174" s="147" t="s">
        <v>182</v>
      </c>
      <c r="F174" s="146">
        <v>7</v>
      </c>
      <c r="G174" s="17">
        <v>38540</v>
      </c>
      <c r="H174" s="17">
        <v>38540</v>
      </c>
      <c r="I174" s="147" t="s">
        <v>156</v>
      </c>
      <c r="J174" s="155"/>
      <c r="K174" s="147"/>
      <c r="L174" s="111">
        <v>95.44</v>
      </c>
      <c r="M174" s="31"/>
      <c r="N174" s="31"/>
      <c r="O174" s="111"/>
      <c r="P174" s="31"/>
      <c r="Q174" s="31"/>
      <c r="R174" s="111"/>
      <c r="S174" s="195"/>
      <c r="T174" s="196"/>
    </row>
    <row r="175" spans="1:20" s="91" customFormat="1" ht="16.5" customHeight="1">
      <c r="A175" s="85" t="s">
        <v>119</v>
      </c>
      <c r="B175" s="86"/>
      <c r="C175" s="87" t="s">
        <v>43</v>
      </c>
      <c r="D175" s="145" t="s">
        <v>181</v>
      </c>
      <c r="E175" s="147" t="s">
        <v>182</v>
      </c>
      <c r="F175" s="146">
        <v>8</v>
      </c>
      <c r="G175" s="17">
        <v>38540</v>
      </c>
      <c r="H175" s="17">
        <v>38540</v>
      </c>
      <c r="I175" s="147" t="s">
        <v>156</v>
      </c>
      <c r="J175" s="155"/>
      <c r="K175" s="147"/>
      <c r="L175" s="111">
        <v>53</v>
      </c>
      <c r="M175" s="31"/>
      <c r="N175" s="31"/>
      <c r="O175" s="111"/>
      <c r="P175" s="31"/>
      <c r="Q175" s="31"/>
      <c r="R175" s="111"/>
      <c r="S175" s="197"/>
      <c r="T175" s="198"/>
    </row>
    <row r="176" spans="1:20" s="91" customFormat="1" ht="21.75" customHeight="1">
      <c r="A176" s="85" t="s">
        <v>119</v>
      </c>
      <c r="B176" s="86"/>
      <c r="C176" s="87" t="s">
        <v>43</v>
      </c>
      <c r="D176" s="14" t="s">
        <v>213</v>
      </c>
      <c r="E176" s="62" t="s">
        <v>214</v>
      </c>
      <c r="F176" s="146">
        <v>509</v>
      </c>
      <c r="G176" s="17">
        <v>38524</v>
      </c>
      <c r="H176" s="17">
        <v>38524</v>
      </c>
      <c r="I176" s="12" t="s">
        <v>156</v>
      </c>
      <c r="J176" s="155"/>
      <c r="K176" s="12"/>
      <c r="L176" s="111">
        <v>45</v>
      </c>
      <c r="M176" s="31"/>
      <c r="N176" s="31"/>
      <c r="O176" s="111">
        <f>+N176+M176</f>
        <v>0</v>
      </c>
      <c r="P176" s="31">
        <f>+M176*0.65</f>
        <v>0</v>
      </c>
      <c r="Q176" s="31"/>
      <c r="R176" s="111">
        <f>+Q176+P176</f>
        <v>0</v>
      </c>
      <c r="S176" s="191" t="s">
        <v>245</v>
      </c>
      <c r="T176" s="192"/>
    </row>
    <row r="177" spans="1:20" s="91" customFormat="1" ht="21.75" customHeight="1">
      <c r="A177" s="85" t="s">
        <v>119</v>
      </c>
      <c r="B177" s="86"/>
      <c r="C177" s="87" t="s">
        <v>43</v>
      </c>
      <c r="D177" s="14" t="s">
        <v>213</v>
      </c>
      <c r="E177" s="62" t="s">
        <v>214</v>
      </c>
      <c r="F177" s="146">
        <v>572</v>
      </c>
      <c r="G177" s="17">
        <v>38572</v>
      </c>
      <c r="H177" s="17">
        <v>38572</v>
      </c>
      <c r="I177" s="12" t="s">
        <v>156</v>
      </c>
      <c r="J177" s="155"/>
      <c r="K177" s="12"/>
      <c r="L177" s="111">
        <v>54</v>
      </c>
      <c r="M177" s="31">
        <v>54</v>
      </c>
      <c r="N177" s="31"/>
      <c r="O177" s="111">
        <f>+N177+M177</f>
        <v>54</v>
      </c>
      <c r="P177" s="31">
        <f>+M177*0.65</f>
        <v>35.1</v>
      </c>
      <c r="Q177" s="31"/>
      <c r="R177" s="111">
        <f>+Q177+P177</f>
        <v>35.1</v>
      </c>
      <c r="S177" s="191" t="s">
        <v>245</v>
      </c>
      <c r="T177" s="192"/>
    </row>
    <row r="178" spans="1:20" s="91" customFormat="1" ht="21.75" customHeight="1">
      <c r="A178" s="85" t="s">
        <v>119</v>
      </c>
      <c r="B178" s="86"/>
      <c r="C178" s="87" t="s">
        <v>43</v>
      </c>
      <c r="D178" s="14" t="s">
        <v>215</v>
      </c>
      <c r="E178" s="62" t="s">
        <v>216</v>
      </c>
      <c r="F178" s="146">
        <v>162</v>
      </c>
      <c r="G178" s="17">
        <v>38593</v>
      </c>
      <c r="H178" s="17">
        <v>38593</v>
      </c>
      <c r="I178" s="12" t="s">
        <v>156</v>
      </c>
      <c r="J178" s="155"/>
      <c r="K178" s="12"/>
      <c r="L178" s="111">
        <v>5.8</v>
      </c>
      <c r="M178" s="31"/>
      <c r="N178" s="31"/>
      <c r="O178" s="111"/>
      <c r="P178" s="31"/>
      <c r="Q178" s="31"/>
      <c r="R178" s="111"/>
      <c r="S178" s="191" t="s">
        <v>245</v>
      </c>
      <c r="T178" s="192"/>
    </row>
    <row r="179" spans="1:20" s="91" customFormat="1" ht="21.75" customHeight="1">
      <c r="A179" s="85" t="s">
        <v>119</v>
      </c>
      <c r="B179" s="86"/>
      <c r="C179" s="87" t="s">
        <v>43</v>
      </c>
      <c r="D179" s="14" t="s">
        <v>213</v>
      </c>
      <c r="E179" s="62" t="s">
        <v>214</v>
      </c>
      <c r="F179" s="146">
        <v>447</v>
      </c>
      <c r="G179" s="17">
        <v>38581</v>
      </c>
      <c r="H179" s="17">
        <v>38489</v>
      </c>
      <c r="I179" s="12" t="s">
        <v>156</v>
      </c>
      <c r="J179" s="155"/>
      <c r="K179" s="12"/>
      <c r="L179" s="111">
        <v>15</v>
      </c>
      <c r="M179" s="31">
        <v>15</v>
      </c>
      <c r="N179" s="31"/>
      <c r="O179" s="111">
        <f>+N179+M179</f>
        <v>15</v>
      </c>
      <c r="P179" s="31">
        <f>+M179*0.65</f>
        <v>9.75</v>
      </c>
      <c r="Q179" s="31"/>
      <c r="R179" s="111">
        <f>+Q179+P179</f>
        <v>9.75</v>
      </c>
      <c r="S179" s="191" t="s">
        <v>245</v>
      </c>
      <c r="T179" s="192"/>
    </row>
    <row r="180" spans="1:20" s="91" customFormat="1" ht="21.75" customHeight="1">
      <c r="A180" s="85" t="s">
        <v>119</v>
      </c>
      <c r="B180" s="86"/>
      <c r="C180" s="87" t="s">
        <v>43</v>
      </c>
      <c r="D180" s="14" t="s">
        <v>161</v>
      </c>
      <c r="E180" s="62" t="s">
        <v>217</v>
      </c>
      <c r="F180" s="167" t="s">
        <v>218</v>
      </c>
      <c r="G180" s="17">
        <v>38584</v>
      </c>
      <c r="H180" s="17">
        <v>38584</v>
      </c>
      <c r="I180" s="12" t="s">
        <v>156</v>
      </c>
      <c r="J180" s="155"/>
      <c r="K180" s="12"/>
      <c r="L180" s="111">
        <v>24</v>
      </c>
      <c r="M180" s="31"/>
      <c r="N180" s="31"/>
      <c r="O180" s="111"/>
      <c r="P180" s="31"/>
      <c r="Q180" s="31"/>
      <c r="R180" s="111"/>
      <c r="S180" s="183" t="s">
        <v>245</v>
      </c>
      <c r="T180" s="184"/>
    </row>
    <row r="181" spans="1:20" s="91" customFormat="1" ht="21.75" customHeight="1">
      <c r="A181" s="85" t="s">
        <v>119</v>
      </c>
      <c r="B181" s="86"/>
      <c r="C181" s="87" t="s">
        <v>43</v>
      </c>
      <c r="D181" s="14" t="s">
        <v>175</v>
      </c>
      <c r="E181" s="62" t="s">
        <v>219</v>
      </c>
      <c r="F181" s="167" t="s">
        <v>220</v>
      </c>
      <c r="G181" s="17">
        <v>38520</v>
      </c>
      <c r="H181" s="17">
        <v>38520</v>
      </c>
      <c r="I181" s="12" t="s">
        <v>156</v>
      </c>
      <c r="J181" s="155"/>
      <c r="K181" s="12"/>
      <c r="L181" s="111">
        <v>149.5</v>
      </c>
      <c r="M181" s="31"/>
      <c r="N181" s="31"/>
      <c r="O181" s="111"/>
      <c r="P181" s="31"/>
      <c r="Q181" s="31"/>
      <c r="R181" s="111"/>
      <c r="S181" s="185"/>
      <c r="T181" s="186"/>
    </row>
    <row r="182" spans="1:20" s="91" customFormat="1" ht="21.75" customHeight="1">
      <c r="A182" s="85" t="s">
        <v>119</v>
      </c>
      <c r="B182" s="86"/>
      <c r="C182" s="87" t="s">
        <v>43</v>
      </c>
      <c r="D182" s="14" t="s">
        <v>175</v>
      </c>
      <c r="E182" s="62" t="s">
        <v>221</v>
      </c>
      <c r="F182" s="167" t="s">
        <v>222</v>
      </c>
      <c r="G182" s="17">
        <v>38555</v>
      </c>
      <c r="H182" s="17">
        <v>38555</v>
      </c>
      <c r="I182" s="12" t="s">
        <v>156</v>
      </c>
      <c r="J182" s="155"/>
      <c r="K182" s="12"/>
      <c r="L182" s="111">
        <v>110</v>
      </c>
      <c r="M182" s="31"/>
      <c r="N182" s="31"/>
      <c r="O182" s="111"/>
      <c r="P182" s="31"/>
      <c r="Q182" s="31"/>
      <c r="R182" s="111"/>
      <c r="S182" s="185"/>
      <c r="T182" s="186"/>
    </row>
    <row r="183" spans="1:20" s="91" customFormat="1" ht="21.75" customHeight="1">
      <c r="A183" s="85" t="s">
        <v>119</v>
      </c>
      <c r="B183" s="86"/>
      <c r="C183" s="87" t="s">
        <v>43</v>
      </c>
      <c r="D183" s="14" t="s">
        <v>175</v>
      </c>
      <c r="E183" s="62" t="s">
        <v>223</v>
      </c>
      <c r="F183" s="167" t="s">
        <v>224</v>
      </c>
      <c r="G183" s="17">
        <v>38527</v>
      </c>
      <c r="H183" s="17">
        <v>38527</v>
      </c>
      <c r="I183" s="12" t="s">
        <v>156</v>
      </c>
      <c r="J183" s="155"/>
      <c r="K183" s="12"/>
      <c r="L183" s="111">
        <v>175</v>
      </c>
      <c r="M183" s="31"/>
      <c r="N183" s="31"/>
      <c r="O183" s="111"/>
      <c r="P183" s="31"/>
      <c r="Q183" s="31"/>
      <c r="R183" s="111"/>
      <c r="S183" s="185"/>
      <c r="T183" s="186"/>
    </row>
    <row r="184" spans="1:20" s="91" customFormat="1" ht="21.75" customHeight="1">
      <c r="A184" s="85" t="s">
        <v>119</v>
      </c>
      <c r="B184" s="86"/>
      <c r="C184" s="87" t="s">
        <v>43</v>
      </c>
      <c r="D184" s="14" t="s">
        <v>175</v>
      </c>
      <c r="E184" s="62" t="s">
        <v>225</v>
      </c>
      <c r="F184" s="167">
        <v>3205</v>
      </c>
      <c r="G184" s="17">
        <v>38527</v>
      </c>
      <c r="H184" s="17">
        <v>38496</v>
      </c>
      <c r="I184" s="12" t="s">
        <v>156</v>
      </c>
      <c r="J184" s="155"/>
      <c r="K184" s="12"/>
      <c r="L184" s="111">
        <v>125</v>
      </c>
      <c r="M184" s="31"/>
      <c r="N184" s="31"/>
      <c r="O184" s="111"/>
      <c r="P184" s="31"/>
      <c r="Q184" s="31"/>
      <c r="R184" s="111"/>
      <c r="S184" s="187"/>
      <c r="T184" s="188"/>
    </row>
    <row r="185" spans="1:20" s="137" customFormat="1" ht="16.5" customHeight="1">
      <c r="A185" s="132" t="s">
        <v>149</v>
      </c>
      <c r="B185" s="138"/>
      <c r="C185" s="189" t="s">
        <v>226</v>
      </c>
      <c r="D185" s="190"/>
      <c r="E185" s="168"/>
      <c r="F185" s="169"/>
      <c r="G185" s="170"/>
      <c r="H185" s="170"/>
      <c r="I185" s="168"/>
      <c r="J185" s="168"/>
      <c r="K185" s="168"/>
      <c r="L185" s="136"/>
      <c r="M185" s="136">
        <f>SUM(M140:M184)-M139</f>
        <v>651</v>
      </c>
      <c r="N185" s="136">
        <f>SUM(N140:N184)-N139</f>
        <v>116.4</v>
      </c>
      <c r="O185" s="136">
        <f>SUM(O140:O184)-O139</f>
        <v>767.4</v>
      </c>
      <c r="P185" s="136">
        <f>SUM(P140:P184)-P139</f>
        <v>423.15000000000003</v>
      </c>
      <c r="Q185" s="136">
        <f>SUM(Q140:Q184)-Q139</f>
        <v>75.66000000000001</v>
      </c>
      <c r="R185" s="136">
        <f>SUM(R140:R184)-R139</f>
        <v>498.81000000000006</v>
      </c>
      <c r="S185" s="189" t="s">
        <v>226</v>
      </c>
      <c r="T185" s="190"/>
    </row>
    <row r="186" spans="1:20" s="91" customFormat="1" ht="9" customHeight="1">
      <c r="A186" s="85"/>
      <c r="B186" s="86"/>
      <c r="C186" s="87"/>
      <c r="D186" s="87"/>
      <c r="E186" s="92"/>
      <c r="F186" s="144"/>
      <c r="G186" s="90"/>
      <c r="H186" s="90"/>
      <c r="I186" s="92"/>
      <c r="J186" s="92"/>
      <c r="K186" s="92"/>
      <c r="L186" s="118"/>
      <c r="M186" s="31"/>
      <c r="N186" s="31"/>
      <c r="O186" s="111"/>
      <c r="P186" s="31"/>
      <c r="Q186" s="31"/>
      <c r="R186" s="111"/>
      <c r="S186" s="95"/>
      <c r="T186" s="96"/>
    </row>
    <row r="187" spans="1:20" ht="9" customHeight="1">
      <c r="A187" s="58"/>
      <c r="B187" s="8"/>
      <c r="C187" s="9"/>
      <c r="D187" s="14"/>
      <c r="E187" s="9"/>
      <c r="F187" s="80"/>
      <c r="G187" s="15"/>
      <c r="H187" s="15"/>
      <c r="I187" s="15"/>
      <c r="J187" s="62"/>
      <c r="K187" s="12"/>
      <c r="L187" s="111"/>
      <c r="M187" s="31"/>
      <c r="N187" s="31"/>
      <c r="O187" s="111"/>
      <c r="P187" s="12"/>
      <c r="Q187" s="12"/>
      <c r="R187" s="111"/>
      <c r="S187" s="224"/>
      <c r="T187" s="225"/>
    </row>
    <row r="188" ht="11.25">
      <c r="J188" s="65"/>
    </row>
  </sheetData>
  <autoFilter ref="A8:T187"/>
  <mergeCells count="140">
    <mergeCell ref="F2:G2"/>
    <mergeCell ref="F3:G3"/>
    <mergeCell ref="F4:G4"/>
    <mergeCell ref="F5:G5"/>
    <mergeCell ref="S149:T149"/>
    <mergeCell ref="S176:T176"/>
    <mergeCell ref="S177:T177"/>
    <mergeCell ref="S179:T179"/>
    <mergeCell ref="S131:T131"/>
    <mergeCell ref="S136:T136"/>
    <mergeCell ref="S187:T187"/>
    <mergeCell ref="S127:T127"/>
    <mergeCell ref="S128:T128"/>
    <mergeCell ref="S129:T129"/>
    <mergeCell ref="S130:T130"/>
    <mergeCell ref="S135:T135"/>
    <mergeCell ref="S132:T132"/>
    <mergeCell ref="S133:T133"/>
    <mergeCell ref="S125:T125"/>
    <mergeCell ref="S126:T126"/>
    <mergeCell ref="S111:T111"/>
    <mergeCell ref="S120:T120"/>
    <mergeCell ref="S122:T122"/>
    <mergeCell ref="S123:T123"/>
    <mergeCell ref="S109:T109"/>
    <mergeCell ref="S121:T121"/>
    <mergeCell ref="S100:T100"/>
    <mergeCell ref="S89:T89"/>
    <mergeCell ref="S99:T99"/>
    <mergeCell ref="S98:T98"/>
    <mergeCell ref="S110:T110"/>
    <mergeCell ref="S28:T28"/>
    <mergeCell ref="S29:T29"/>
    <mergeCell ref="S87:T87"/>
    <mergeCell ref="S88:T88"/>
    <mergeCell ref="S77:T77"/>
    <mergeCell ref="S30:T30"/>
    <mergeCell ref="S45:T45"/>
    <mergeCell ref="S67:T67"/>
    <mergeCell ref="S44:T44"/>
    <mergeCell ref="A9:L9"/>
    <mergeCell ref="S78:T78"/>
    <mergeCell ref="A70:B75"/>
    <mergeCell ref="C70:K70"/>
    <mergeCell ref="S17:T17"/>
    <mergeCell ref="S18:T18"/>
    <mergeCell ref="S19:T19"/>
    <mergeCell ref="S20:T20"/>
    <mergeCell ref="S26:T26"/>
    <mergeCell ref="S27:T27"/>
    <mergeCell ref="S21:T21"/>
    <mergeCell ref="S66:T66"/>
    <mergeCell ref="A1:T1"/>
    <mergeCell ref="A10:B15"/>
    <mergeCell ref="A60:B65"/>
    <mergeCell ref="C60:K60"/>
    <mergeCell ref="C65:K65"/>
    <mergeCell ref="S22:T22"/>
    <mergeCell ref="S23:T23"/>
    <mergeCell ref="S25:T25"/>
    <mergeCell ref="S24:T24"/>
    <mergeCell ref="A114:B119"/>
    <mergeCell ref="C114:K114"/>
    <mergeCell ref="C119:K119"/>
    <mergeCell ref="C75:K75"/>
    <mergeCell ref="A103:B108"/>
    <mergeCell ref="C103:K103"/>
    <mergeCell ref="C108:K108"/>
    <mergeCell ref="A92:B97"/>
    <mergeCell ref="C92:K92"/>
    <mergeCell ref="A102:L102"/>
    <mergeCell ref="A113:L113"/>
    <mergeCell ref="A59:L59"/>
    <mergeCell ref="A69:L69"/>
    <mergeCell ref="A80:L80"/>
    <mergeCell ref="A91:L91"/>
    <mergeCell ref="C86:K86"/>
    <mergeCell ref="C81:K81"/>
    <mergeCell ref="A81:B86"/>
    <mergeCell ref="S31:T31"/>
    <mergeCell ref="S32:T32"/>
    <mergeCell ref="S33:T33"/>
    <mergeCell ref="S34:T34"/>
    <mergeCell ref="S139:T139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35:T35"/>
    <mergeCell ref="S36:T36"/>
    <mergeCell ref="S37:T37"/>
    <mergeCell ref="C56:D56"/>
    <mergeCell ref="S56:T56"/>
    <mergeCell ref="S38:T38"/>
    <mergeCell ref="S137:T137"/>
    <mergeCell ref="S39:T39"/>
    <mergeCell ref="S40:T40"/>
    <mergeCell ref="S41:T41"/>
    <mergeCell ref="S42:T42"/>
    <mergeCell ref="S43:T43"/>
    <mergeCell ref="S55:T55"/>
    <mergeCell ref="S134:T134"/>
    <mergeCell ref="S76:T76"/>
    <mergeCell ref="S124:T124"/>
    <mergeCell ref="S140:T140"/>
    <mergeCell ref="S142:T142"/>
    <mergeCell ref="S143:T143"/>
    <mergeCell ref="S144:T144"/>
    <mergeCell ref="S141:T141"/>
    <mergeCell ref="S145:T145"/>
    <mergeCell ref="S146:T146"/>
    <mergeCell ref="S147:T147"/>
    <mergeCell ref="S148:T148"/>
    <mergeCell ref="S150:T150"/>
    <mergeCell ref="S151:T151"/>
    <mergeCell ref="S152:T152"/>
    <mergeCell ref="S153:T153"/>
    <mergeCell ref="S154:T154"/>
    <mergeCell ref="S155:T155"/>
    <mergeCell ref="S156:T156"/>
    <mergeCell ref="S157:T157"/>
    <mergeCell ref="S158:T158"/>
    <mergeCell ref="S159:T159"/>
    <mergeCell ref="S160:T160"/>
    <mergeCell ref="S161:T161"/>
    <mergeCell ref="S162:T162"/>
    <mergeCell ref="S163:T163"/>
    <mergeCell ref="S164:T164"/>
    <mergeCell ref="S165:T170"/>
    <mergeCell ref="S180:T184"/>
    <mergeCell ref="C185:D185"/>
    <mergeCell ref="S185:T185"/>
    <mergeCell ref="S171:T171"/>
    <mergeCell ref="S172:T175"/>
    <mergeCell ref="S178:T178"/>
  </mergeCells>
  <printOptions horizontalCentered="1"/>
  <pageMargins left="0.1968503937007874" right="0.15748031496062992" top="0.23" bottom="0.22" header="0.17" footer="0.15748031496062992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sciacovelli</cp:lastModifiedBy>
  <cp:lastPrinted>2006-02-23T09:57:45Z</cp:lastPrinted>
  <dcterms:created xsi:type="dcterms:W3CDTF">2005-04-28T08:10:49Z</dcterms:created>
  <dcterms:modified xsi:type="dcterms:W3CDTF">2006-02-23T09:57:46Z</dcterms:modified>
  <cp:category/>
  <cp:version/>
  <cp:contentType/>
  <cp:contentStatus/>
</cp:coreProperties>
</file>