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omplessivo" sheetId="1" r:id="rId1"/>
    <sheet name="Foglio1" sheetId="2" r:id="rId2"/>
  </sheets>
  <definedNames>
    <definedName name="_xlnm.Print_Area" localSheetId="0">'Complessivo'!$A$1:$T$224</definedName>
    <definedName name="_xlnm.Print_Titles" localSheetId="0">'Complessivo'!$1:$4</definedName>
  </definedNames>
  <calcPr fullCalcOnLoad="1"/>
</workbook>
</file>

<file path=xl/comments1.xml><?xml version="1.0" encoding="utf-8"?>
<comments xmlns="http://schemas.openxmlformats.org/spreadsheetml/2006/main">
  <authors>
    <author>MD</author>
  </authors>
  <commentList>
    <comment ref="S210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Le tabelle firmate sono in fotocopia/fax  OK 07/04/08</t>
        </r>
      </text>
    </comment>
    <comment ref="S211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Le tabelle firmate sono in fotocopia/fax  OK 07/04/08</t>
        </r>
      </text>
    </comment>
    <comment ref="S212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Le tabelle firmate sono in fotocopia/fax  OK 07/04/08</t>
        </r>
      </text>
    </comment>
    <comment ref="S189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Esibire dimostrazione del pagamento (estratto conto bancario) OK 07/04/08</t>
        </r>
      </text>
    </comment>
    <comment ref="S174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Esibire dimostrazione del pagamento (estratto conto bancario) OK 07/04/08</t>
        </r>
      </text>
    </comment>
    <comment ref="S175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Esibire dimostrazione del pagamento (estratto conto bancario) OK 07/04/08</t>
        </r>
      </text>
    </comment>
    <comment ref="S176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Esibire dimostrazione del pagamento (estratto conto bancario) OK 07/04/08</t>
        </r>
      </text>
    </comment>
    <comment ref="S177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Esibire dimostrazione del pagamento (estratto conto bancario) OK 07/04/08</t>
        </r>
      </text>
    </comment>
    <comment ref="S178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Esibire dimostrazione del pagamento (estratto conto bancario) OK 07/04/08</t>
        </r>
      </text>
    </comment>
    <comment ref="S179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Esibire dimostrazione del pagamento (estratto conto bancario) OK 07/04/08</t>
        </r>
      </text>
    </comment>
    <comment ref="S180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Esibire dimostrazione del pagamento (estratto conto bancario) OK 07/04/08</t>
        </r>
      </text>
    </comment>
    <comment ref="S181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Esibire dimostrazione del pagamento (estratto conto bancario) OK 07/04/08</t>
        </r>
      </text>
    </comment>
    <comment ref="S182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Esibire dimostrazione del pagamento (estratto conto bancario) OK 07/04/08</t>
        </r>
      </text>
    </comment>
    <comment ref="S183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Esibire dimostrazione del pagamento (estratto conto bancario) OK 07/04/08</t>
        </r>
      </text>
    </comment>
    <comment ref="S184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Esibire dimostrazione del pagamento (estratto conto bancario) OK 07/04/08</t>
        </r>
      </text>
    </comment>
    <comment ref="S185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Esibire dimostrazione del pagamento (estratto conto bancario) OK 07/04/08</t>
        </r>
      </text>
    </comment>
    <comment ref="S186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Esibire dimostrazione del pagamento (estratto conto bancario) OK 07/04/08</t>
        </r>
      </text>
    </comment>
    <comment ref="S187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Esibire dimostrazione del pagamento (estratto conto bancario) OK 07/04/08</t>
        </r>
      </text>
    </comment>
    <comment ref="S188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Esibire dimostrazione del pagamento (estratto conto bancario) OK 07/04/08</t>
        </r>
      </text>
    </comment>
    <comment ref="S120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Esibire dimostrazione del pagamento (estratto conto bancario) OK 07/04/08</t>
        </r>
      </text>
    </comment>
    <comment ref="S121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Esibire dimostrazione del pagamento (estratto conto bancario) OK 07/04/08</t>
        </r>
      </text>
    </comment>
    <comment ref="S122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Esibire dimostrazione del pagamento (estratto conto bancario) OK 07/04/08</t>
        </r>
      </text>
    </comment>
    <comment ref="S123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Esibire dimostrazione del pagamento (estratto conto bancario) OK 07/04/08</t>
        </r>
      </text>
    </comment>
    <comment ref="S124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Esibire dimostrazione del pagamento (estratto conto bancario) OK 07/04/08</t>
        </r>
      </text>
    </comment>
    <comment ref="S125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Esibire dimostrazione del pagamento (estratto conto bancario) OK 07/04/08</t>
        </r>
      </text>
    </comment>
    <comment ref="S126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Esibire dimostrazione del pagamento (estratto conto bancario) OK 07/04/08</t>
        </r>
      </text>
    </comment>
    <comment ref="S127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Esibire dimostrazione del pagamento (estratto conto bancario) OK 07/04/08</t>
        </r>
      </text>
    </comment>
    <comment ref="S128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Esibire dimostrazione del pagamento (estratto conto bancario) OK 07/04/08</t>
        </r>
      </text>
    </comment>
    <comment ref="S129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Esibire dimostrazione del pagamento (estratto conto bancario) OK 07/04/08</t>
        </r>
      </text>
    </comment>
    <comment ref="S130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Esibire dimostrazione del pagamento (estratto conto bancario) OK 07/04/08</t>
        </r>
      </text>
    </comment>
    <comment ref="S131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Esibire dimostrazione del pagamento (estratto conto bancario) OK 07/04/08</t>
        </r>
      </text>
    </comment>
    <comment ref="S132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Esibire dimostrazione del pagamento (estratto conto bancario) OK 07/04/08</t>
        </r>
      </text>
    </comment>
    <comment ref="S133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Esibire dimostrazione del pagamento (estratto conto bancario) OK 07/04/08</t>
        </r>
      </text>
    </comment>
    <comment ref="S134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Esibire dimostrazione del pagamento (estratto conto bancario) OK 07/04/08</t>
        </r>
      </text>
    </comment>
    <comment ref="S135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Esibire dimostrazione del pagamento (estratto conto bancario) OK 07/04/08</t>
        </r>
      </text>
    </comment>
    <comment ref="S136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Esibire dimostrazione del pagamento (estratto conto bancario) OK 07/04/08</t>
        </r>
      </text>
    </comment>
    <comment ref="S137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Esibire dimostrazione del pagamento (estratto conto bancario) OK 07/04/08</t>
        </r>
      </text>
    </comment>
    <comment ref="S138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Esibire dimostrazione del pagamento (estratto conto bancario) OK 07/04/08</t>
        </r>
      </text>
    </comment>
    <comment ref="S139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Esibire dimostrazione del pagamento (estratto conto bancario) OK 07/04/08</t>
        </r>
      </text>
    </comment>
    <comment ref="S140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Esibire dimostrazione del pagamento (estratto conto bancario) OK 07/04/08</t>
        </r>
      </text>
    </comment>
    <comment ref="S141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Esibire dimostrazione del pagamento (estratto conto bancario) OK 07/04/08</t>
        </r>
      </text>
    </comment>
    <comment ref="S142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Esibire dimostrazione del pagamento (estratto conto bancario) OK 07/04/08</t>
        </r>
      </text>
    </comment>
    <comment ref="S143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Esibire dimostrazione del pagamento (estratto conto bancario) OK 07/04/08</t>
        </r>
      </text>
    </comment>
    <comment ref="S144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Esibire dimostrazione del pagamento (estratto conto bancario) OK 07/04/08</t>
        </r>
      </text>
    </comment>
    <comment ref="S145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Esibire dimostrazione del pagamento (estratto conto bancario) OK 07/04/08</t>
        </r>
      </text>
    </comment>
    <comment ref="S146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Esibire dimostrazione del pagamento (estratto conto bancario) OK 07/04/08</t>
        </r>
      </text>
    </comment>
    <comment ref="S147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Esibire dimostrazione del pagamento (estratto conto bancario) OK 07/04/08</t>
        </r>
      </text>
    </comment>
    <comment ref="S148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Esibire dimostrazione del pagamento (estratto conto bancario) OK 07/04/08</t>
        </r>
      </text>
    </comment>
    <comment ref="S149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Esibire dimostrazione del pagamento (estratto conto bancario) OK 07/04/08</t>
        </r>
      </text>
    </comment>
    <comment ref="S150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Esibire dimostrazione del pagamento (estratto conto bancario) OK 07/04/08</t>
        </r>
      </text>
    </comment>
    <comment ref="S151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Esibire dimostrazione del pagamento (estratto conto bancario) OK 07/04/08</t>
        </r>
      </text>
    </comment>
    <comment ref="S152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Esibire dimostrazione del pagamento (estratto conto bancario) OK 07/04/08</t>
        </r>
      </text>
    </comment>
    <comment ref="S153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Esibire dimostrazione del pagamento (estratto conto bancario) OK 07/04/08</t>
        </r>
      </text>
    </comment>
    <comment ref="S154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Esibire dimostrazione del pagamento (estratto conto bancario) OK 07/04/08</t>
        </r>
      </text>
    </comment>
    <comment ref="S155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Esibire dimostrazione del pagamento (estratto conto bancario) OK 07/04/08</t>
        </r>
      </text>
    </comment>
    <comment ref="S156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Esibire dimostrazione del pagamento (estratto conto bancario) OK 07/04/08</t>
        </r>
      </text>
    </comment>
    <comment ref="S157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Esibire dimostrazione del pagamento (estratto conto bancario) OK 07/04/08</t>
        </r>
      </text>
    </comment>
    <comment ref="S158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Esibire dimostrazione del pagamento (estratto conto bancario) OK 07/04/08</t>
        </r>
      </text>
    </comment>
    <comment ref="S159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Esibire dimostrazione del pagamento (estratto conto bancario) OK 07/04/08</t>
        </r>
      </text>
    </comment>
    <comment ref="S160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Esibire dimostrazione del pagamento (estratto conto bancario) OK 07/04/08</t>
        </r>
      </text>
    </comment>
    <comment ref="S161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Esibire dimostrazione del pagamento (estratto conto bancario) OK 07/04/08</t>
        </r>
      </text>
    </comment>
    <comment ref="S162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Esibire dimostrazione del pagamento (estratto conto bancario) OK 07/04/08</t>
        </r>
      </text>
    </comment>
    <comment ref="S163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Esibire dimostrazione del pagamento (estratto conto bancario) OK 07/04/08</t>
        </r>
      </text>
    </comment>
    <comment ref="S164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Esibire dimostrazione del pagamento (estratto conto bancario) OK 07/04/08</t>
        </r>
      </text>
    </comment>
    <comment ref="S165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Esibire dimostrazione del pagamento (estratto conto bancario) OK 07/04/08</t>
        </r>
      </text>
    </comment>
    <comment ref="S166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Esibire dimostrazione del pagamento (estratto conto bancario) OK 07/04/08</t>
        </r>
      </text>
    </comment>
    <comment ref="S167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Esibire dimostrazione del pagamento (estratto conto bancario) OK 07/04/08</t>
        </r>
      </text>
    </comment>
    <comment ref="S168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Esibire dimostrazione del pagamento (estratto conto bancario) OK 07/04/08</t>
        </r>
      </text>
    </comment>
    <comment ref="S169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Esibire dimostrazione del pagamento (estratto conto bancario) OK 07/04/08</t>
        </r>
      </text>
    </comment>
    <comment ref="S170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Esibire dimostrazione del pagamento (estratto conto bancario) OK 07/04/08</t>
        </r>
      </text>
    </comment>
    <comment ref="S119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 dimostrazione di pagamento. OK 5-12-05</t>
        </r>
      </text>
    </comment>
    <comment ref="S118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Non riconosciute imposte. Pagamento effettuato da altro c/c</t>
        </r>
      </text>
    </comment>
    <comment ref="S73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 dimostrazione di pagamento. OK 5-12-05
</t>
        </r>
      </text>
    </comment>
  </commentList>
</comments>
</file>

<file path=xl/sharedStrings.xml><?xml version="1.0" encoding="utf-8"?>
<sst xmlns="http://schemas.openxmlformats.org/spreadsheetml/2006/main" count="1054" uniqueCount="309">
  <si>
    <t>PROGETTO</t>
  </si>
  <si>
    <t>LICENZE</t>
  </si>
  <si>
    <t>Fornitore</t>
  </si>
  <si>
    <t>Imponibile</t>
  </si>
  <si>
    <t>Iva</t>
  </si>
  <si>
    <t>Totale fattura</t>
  </si>
  <si>
    <t>PERSONALE</t>
  </si>
  <si>
    <t>CONSULENZE</t>
  </si>
  <si>
    <t>SOFTWARE</t>
  </si>
  <si>
    <t>INFRASTRUTTURE</t>
  </si>
  <si>
    <t>SPESE GENERALI</t>
  </si>
  <si>
    <t>Att.</t>
  </si>
  <si>
    <t>Previsto</t>
  </si>
  <si>
    <t>Residuo</t>
  </si>
  <si>
    <t>SAL</t>
  </si>
  <si>
    <t>Modalità</t>
  </si>
  <si>
    <t>Data Pag</t>
  </si>
  <si>
    <t>Data fatt</t>
  </si>
  <si>
    <t>N. fattura</t>
  </si>
  <si>
    <t>Descr.</t>
  </si>
  <si>
    <t>Costi ammessi</t>
  </si>
  <si>
    <t>Contributo</t>
  </si>
  <si>
    <t>Partner</t>
  </si>
  <si>
    <t>Ant.</t>
  </si>
  <si>
    <t>Erogare</t>
  </si>
  <si>
    <t>Note</t>
  </si>
  <si>
    <t>SAL 1</t>
  </si>
  <si>
    <t>SAL 2</t>
  </si>
  <si>
    <t>TOT GEN</t>
  </si>
  <si>
    <t>TOT SAL 1</t>
  </si>
  <si>
    <t>TOT SAL 2</t>
  </si>
  <si>
    <t>Avvio PR</t>
  </si>
  <si>
    <t>TOT PROGETTO=</t>
  </si>
  <si>
    <t>CONTRIBUTO=</t>
  </si>
  <si>
    <t>CONTRIBUTO IVA=</t>
  </si>
  <si>
    <t>TOT CONTRIBUTO=</t>
  </si>
  <si>
    <t xml:space="preserve">SAL 2 - </t>
  </si>
  <si>
    <t>IVA=</t>
  </si>
  <si>
    <t>Res IVA=</t>
  </si>
  <si>
    <t>IVA Ammessa</t>
  </si>
  <si>
    <t>Totale ammesso</t>
  </si>
  <si>
    <t>IVA Contributo</t>
  </si>
  <si>
    <t>Totale Contributo</t>
  </si>
  <si>
    <t xml:space="preserve">SAL 1 - </t>
  </si>
  <si>
    <t>NOLO, LEASING, AMMORTAMENTI</t>
  </si>
  <si>
    <t>I</t>
  </si>
  <si>
    <t>GEOMETRIPUGLIA2NET</t>
  </si>
  <si>
    <t>02/11/2004-25/11/2005</t>
  </si>
  <si>
    <t>COLL. GEOMETRI PROV.BARI</t>
  </si>
  <si>
    <t>PROFIN SERVICE S.r.l.</t>
  </si>
  <si>
    <t xml:space="preserve">Bonifico </t>
  </si>
  <si>
    <t>STAR SERVICE S.r.l.</t>
  </si>
  <si>
    <t xml:space="preserve"> 15/05</t>
  </si>
  <si>
    <t>Bonifico</t>
  </si>
  <si>
    <t xml:space="preserve"> 20/05 </t>
  </si>
  <si>
    <t xml:space="preserve">Polizza fideiussoria a favore REGIONE PUGLIA a garanzia anticipazione 30% del contributo </t>
  </si>
  <si>
    <t>Polizza fideiussoria a favore REGIONE PUGLIA a garanzia anticipazione 30% del contributo (I° rinnovo)</t>
  </si>
  <si>
    <t>MILANO ASSICURAZIONI S.p.A.</t>
  </si>
  <si>
    <t>Polizza n. 3239200308089</t>
  </si>
  <si>
    <t>Data Polizza 23/11/2004</t>
  </si>
  <si>
    <t>Ø Attività A1.0 - A2.0 - "Assistenza tecnica ed affiancamento" (acconti)
Ø Attività A1.1 "Predisposizione tools di rilevazione ed analisi"</t>
  </si>
  <si>
    <t>Ø Attività A2.1 "Progettazione infrastruttura"
Ø Attività A3.1 "Progettazione e sviluppo del portale" (I° acconto)</t>
  </si>
  <si>
    <t>Ø Attività A3.1 "Progettazione e sviluppo del portale" (II° acconto)</t>
  </si>
  <si>
    <t>Spesa ammessa</t>
  </si>
  <si>
    <t>Spesa effettuata</t>
  </si>
  <si>
    <t>Collegio dei Geometri della Provincia di Bari -  cod  31   - RIEPILOGO SPESE</t>
  </si>
  <si>
    <t>25/11/2005-28/02/2006</t>
  </si>
  <si>
    <t>II</t>
  </si>
  <si>
    <t>Annarita Dentico</t>
  </si>
  <si>
    <t>Ø Attività WPA1 - A1.0 "Assistenza tecnica ed affiancamento" (saldo)
Ø Attività WPA2 - A2.0 "Assistenza tecnica ed affiancamento" (acconto)
Ø Attività WPA3 - A3.0 "Assistenza tecnica ed affiancamento" (acconto)</t>
  </si>
  <si>
    <t>Canone fitto immobile sede legale Novembre/2004</t>
  </si>
  <si>
    <t>GROMA S.r.l.</t>
  </si>
  <si>
    <t xml:space="preserve"> ////////// </t>
  </si>
  <si>
    <t>Addebito R.I.D.</t>
  </si>
  <si>
    <t>Canone fitto immobile sede legale Dicembre/2004</t>
  </si>
  <si>
    <t>Canone fitto immobile sede legale Gennaio/2005</t>
  </si>
  <si>
    <t>Canone fitto immobile sede legale Febbraio/2005</t>
  </si>
  <si>
    <t>Canone fitto immobile sede legale Marzo/2005</t>
  </si>
  <si>
    <t>Canone fitto immobile sede legale Aprile/2005</t>
  </si>
  <si>
    <t>Canone fitto immobile sede legale Maggio/2005</t>
  </si>
  <si>
    <t>Canone fitto immobile sede legale Giugno/2005</t>
  </si>
  <si>
    <t>Canone fitto immobile sede legale Luglio/2005</t>
  </si>
  <si>
    <t>Canone fitto immobile sede legale Agosto/2005</t>
  </si>
  <si>
    <t>Canone fitto immobile sede legale Settembre/2005</t>
  </si>
  <si>
    <t>Canone fitto immobile sede legale Ottobre/2005</t>
  </si>
  <si>
    <t>Luperto Luisa</t>
  </si>
  <si>
    <t>COLL. GEOMETRI PROV.LECCE</t>
  </si>
  <si>
    <t>COLL. GEOMETRI PROV.TARANTO</t>
  </si>
  <si>
    <t>Putzolu Giovanna</t>
  </si>
  <si>
    <t xml:space="preserve">C.A.T. - Confcommercio </t>
  </si>
  <si>
    <t>Assegno</t>
  </si>
  <si>
    <t>Ø Attività WPA1 - A1.2 "Somministrazione quest ed interviste"</t>
  </si>
  <si>
    <t>COLL. GEOMETRI PROV.Brindisi</t>
  </si>
  <si>
    <t>COLL. GEOMETRI PROV.FOGGIA</t>
  </si>
  <si>
    <t>Rutigliano Filotea</t>
  </si>
  <si>
    <t>COLL. CIRCONDARIALE GEOMETRI LUCERA</t>
  </si>
  <si>
    <t>De Nitto Luigia</t>
  </si>
  <si>
    <t>Canone fitto immobile sede legale Novembre/2005</t>
  </si>
  <si>
    <t>Canone fitto immobile sede legale Dicembre/2005</t>
  </si>
  <si>
    <t>Canone fitto immobile sede legale Gennaio/2006</t>
  </si>
  <si>
    <t>Canone fitto immobile sede legale Febbraio/2006</t>
  </si>
  <si>
    <t>Spese per utenza elettrica relativa alla sede legale - Dic/2004 - Gen/2005</t>
  </si>
  <si>
    <t>ENEL DISTRIBUZIONE S.p.A.</t>
  </si>
  <si>
    <t>720380033615418</t>
  </si>
  <si>
    <t>Spese per utenza elettrica relativa alla sede legale - Febbraio-Marzo/2005</t>
  </si>
  <si>
    <t>20380033615419</t>
  </si>
  <si>
    <t>Spese per utenza elettrica relativa alla sede legale - Aprile-Maggio/2005</t>
  </si>
  <si>
    <t>720380033615411</t>
  </si>
  <si>
    <t>Spese per utenza elettrica relativa alla sede legale - Giugno-Luglio/2005</t>
  </si>
  <si>
    <t>720380033615412</t>
  </si>
  <si>
    <t>Spese per utenza elettrica relativa alla sede legale - Agosto-Settembre/2005</t>
  </si>
  <si>
    <t>Spese per utenza elettrica relativa alla sede legale - Ottobre-Novembre/2005</t>
  </si>
  <si>
    <t>Spese per utenza elettrica relativa alla sede legale - Dic/2005 - Gen/2006</t>
  </si>
  <si>
    <t>Spese per utenza telefonica 0805482219 relativa alla sede legale - Bim. 01/05</t>
  </si>
  <si>
    <t>TELECOM ITALIA S.p.A.</t>
  </si>
  <si>
    <t>8S00081626</t>
  </si>
  <si>
    <t>Spese per utenza telefonica 0805482235 relativa alla sede legale - Bim. 01/05</t>
  </si>
  <si>
    <t>8S00086755</t>
  </si>
  <si>
    <t>Spese per utenza telefonica 0805482219 relativa alla sede legale - Bim. 02/05</t>
  </si>
  <si>
    <t>8S00267227</t>
  </si>
  <si>
    <t>Spese per utenza telefonica 0805482235 relativa alla sede legale - Bim. 02/05</t>
  </si>
  <si>
    <t>8S00271602</t>
  </si>
  <si>
    <t>Spese per utenza telefonica 0805482219 relativa alla sede legale - Bim. 03/05</t>
  </si>
  <si>
    <t>8S00446138</t>
  </si>
  <si>
    <t>Spese per utenza telefonica 0805482235 relativa alla sede legale - Bim. 03/05</t>
  </si>
  <si>
    <t>8S00448081</t>
  </si>
  <si>
    <t>8S00596658</t>
  </si>
  <si>
    <t>8S00597124</t>
  </si>
  <si>
    <t>Spese per utenza telefonica 0805482219 relativa alla sede legale - Bim. 04/05</t>
  </si>
  <si>
    <t>8S00788047</t>
  </si>
  <si>
    <t>Spese per utenza telefonica 0805482235 relativa alla sede legale - Bim. 04/05</t>
  </si>
  <si>
    <t>8S00789588</t>
  </si>
  <si>
    <t>Spese per utenza telefonica 0805482219 relativa alla sede legale - Bim. 05/05</t>
  </si>
  <si>
    <t>8S01002046</t>
  </si>
  <si>
    <t>Spese per utenza telefonica 0805482235 relativa alla sede legale - Bim. 05/05</t>
  </si>
  <si>
    <t>8S01001906</t>
  </si>
  <si>
    <t>Spese per utenza telefonica 0805482219 relativa alla sede legale - Bim. 06/05</t>
  </si>
  <si>
    <t>8S01214457</t>
  </si>
  <si>
    <t>Spese per utenza telefonica 0805482235 relativa alla sede legale - Bim. 06/05</t>
  </si>
  <si>
    <t>8S01212138</t>
  </si>
  <si>
    <t>Lavori di pulizia relativi alla sede legale - Gennaio/2005</t>
  </si>
  <si>
    <t>GENERALE SERVIZI S.c.r.l.</t>
  </si>
  <si>
    <t>Assengo n. 3086638553 
BANCA INTESA</t>
  </si>
  <si>
    <t>Lavori di pulizia relativi alla sede legale - Febbraio/2005</t>
  </si>
  <si>
    <t>Assegno n. 5123829912
POSTE ITALIANE</t>
  </si>
  <si>
    <t>Lavori di pulizia relativi alla sede legale - Marzo/2005</t>
  </si>
  <si>
    <t>Assegno n. 5123830001
POSTE ITALIANE</t>
  </si>
  <si>
    <t>Lavori di pulizia relativi alla sede legale - Aprile/2005</t>
  </si>
  <si>
    <t>Assegno n. 3086638559
BANCA INTESA</t>
  </si>
  <si>
    <t>Lavori di pulizia relativi alla sede legale - Maggio/2005</t>
  </si>
  <si>
    <t>Assegno n. 5125491026
POSTE ITALIANE</t>
  </si>
  <si>
    <t>Lavori di pulizia relativi alla sede legale - Giugno/2005</t>
  </si>
  <si>
    <t>Assegnio n. 5000255284
BANCA CARIME</t>
  </si>
  <si>
    <t>Lavori di pulizia relativi alla sede legale - Luglio/2005</t>
  </si>
  <si>
    <t>Assegno n. 3131593471 BANCA INTESA</t>
  </si>
  <si>
    <t>Lavori di pulizia relativi alla sede legale - Agosto/2005</t>
  </si>
  <si>
    <t>Lavori di pulizia relativi alla sede legale - Settembre/2005</t>
  </si>
  <si>
    <t>Contante</t>
  </si>
  <si>
    <t>Lavori di pulizia relativi alla sede legale - Ottobre/2005</t>
  </si>
  <si>
    <t>Assegno n. 5000255297 
BANCA CARIME</t>
  </si>
  <si>
    <t>Lavori di pulizia relativi alla sede legale - Novembre/2005</t>
  </si>
  <si>
    <t>Assegno n. 5000255309 
BANCA CARIME</t>
  </si>
  <si>
    <t>Lavori di pulizia relativi alla sede legale - Dicembre/2005</t>
  </si>
  <si>
    <t>Assegno n. 3131593481
BANCA INTESA</t>
  </si>
  <si>
    <t>Lavori di pulizia relativi alla sede legale - Gennaio/2006</t>
  </si>
  <si>
    <t>Assegno n. 5211635361 
POSTE ITALIANE</t>
  </si>
  <si>
    <t>Lavori di pulizia relativi alla sede legale - Febbraio/2006</t>
  </si>
  <si>
    <t>Assegno n. 3131593488
BANCA INTESA</t>
  </si>
  <si>
    <t xml:space="preserve">Spese postali per affrancature </t>
  </si>
  <si>
    <t>Direzione Generale POSTE ITALIANE - Ragion. Di Bari</t>
  </si>
  <si>
    <t>Bollettino Postale</t>
  </si>
  <si>
    <t xml:space="preserve">Spese per cancelleria </t>
  </si>
  <si>
    <t>COSTANZO RANIERI</t>
  </si>
  <si>
    <t>Bonifico Bancario</t>
  </si>
  <si>
    <t>PUBBLICITA' &amp; STAMPA S.n.c.</t>
  </si>
  <si>
    <t>Assistenza e manutenzione apparecchiature informatiche</t>
  </si>
  <si>
    <t>SISMET S.r.l.</t>
  </si>
  <si>
    <t>Cartucce per affrancatrice postale</t>
  </si>
  <si>
    <t>ORGANIZZAZIONE APRILE  S.n.c.</t>
  </si>
  <si>
    <t>Assegno n. 5123829946 
POSTE ITALIANE</t>
  </si>
  <si>
    <t>Assegno n. 5123829946
POSTE ITALIANE</t>
  </si>
  <si>
    <t>Assegno n. 5000253290 
BANCA CARIME</t>
  </si>
  <si>
    <t>7203800 33615413</t>
  </si>
  <si>
    <t>7203800 33615415</t>
  </si>
  <si>
    <t>7203800 33615414</t>
  </si>
  <si>
    <t>La prima fascia puo essere rendicontata max euro 350, quindi l'iva non e' riconoscibile</t>
  </si>
  <si>
    <t>Si rettifica l'importo ammesso nel primo sal in quanto la prima fascia puo essere rendicontata max euro 350, quindi l'iva non e' riconoscibile</t>
  </si>
  <si>
    <t>Esibire dimostrazione del pagamento (estratto conto bancario)</t>
  </si>
  <si>
    <t>inizio</t>
  </si>
  <si>
    <t>fine</t>
  </si>
  <si>
    <t>CONTRIBUTO</t>
  </si>
  <si>
    <t>PREVISTO</t>
  </si>
  <si>
    <t>RESIDUO</t>
  </si>
  <si>
    <t>AMMESSO</t>
  </si>
  <si>
    <t>NOLO LEASING AMM</t>
  </si>
  <si>
    <t>Anticip. corrisposta</t>
  </si>
  <si>
    <t>Liquidazione s.a.l.</t>
  </si>
  <si>
    <t>Totale</t>
  </si>
  <si>
    <t>ATS</t>
  </si>
  <si>
    <t>IVA ESPOSTA</t>
  </si>
  <si>
    <t>Ritenuta d'acconto 4%</t>
  </si>
  <si>
    <t>ANTIMAFIA</t>
  </si>
  <si>
    <t>STATO DELLA DOCUMENTAZIONE TECNICA</t>
  </si>
  <si>
    <t>Relazione S.A.L. Quadrimestrale</t>
  </si>
  <si>
    <t>Rapporti Tecnici</t>
  </si>
  <si>
    <t>P.D.A.</t>
  </si>
  <si>
    <t>NOTE</t>
  </si>
  <si>
    <t>DATE</t>
  </si>
  <si>
    <t>ISTRUTTORI</t>
  </si>
  <si>
    <t>FIRME</t>
  </si>
  <si>
    <t>Michele Divella</t>
  </si>
  <si>
    <t>Collegio dei Geometri della Provincia di Bari -  cod  31</t>
  </si>
  <si>
    <t>SAL 1 - 02/11/04-25/11/05</t>
  </si>
  <si>
    <t>SAL 2 - 25/11/05-28/02/06</t>
  </si>
  <si>
    <t xml:space="preserve">SAL 3 - </t>
  </si>
  <si>
    <t>01/03/2006-28/02/2007</t>
  </si>
  <si>
    <t>SAL 3 - 01/03/06-28/02/07</t>
  </si>
  <si>
    <t>III</t>
  </si>
  <si>
    <t>Ø Attività WPA1 - A2.0 "Assistenza tecnica ed affiancamento" (III° acconto)
Ø Attività WPA2 - A3.0 "Assistenza tecnica ed affiancamento" (II° acconto)
Ø Attività WPA3 - A4.0 "Assistenza tecnica ed affiancamento" (I° acconto)</t>
  </si>
  <si>
    <t xml:space="preserve"> 02/06 </t>
  </si>
  <si>
    <t>16/03/2006 19/07/2006 10/11/2006</t>
  </si>
  <si>
    <t xml:space="preserve"> 01/07 </t>
  </si>
  <si>
    <t>Ø Attività A3.1 "Progettazione e sviluppo del portale" (II° acconto)
Ø Attività A3.2 "Progettazione e sviluppo del portale" (I° acconto)
Ø Attività A4.1 "Progettazione e sviluppo del portale" (I° acconto)</t>
  </si>
  <si>
    <t>Ø Attività A3.1 "Progettazione e sviluppo del portale" (saldo)
Ø Attività A3.2 "Progettazione e sviluppo del portale" (II° acconto)
Ø Attività A4.1 "Progettazione e sviluppo del portale" (saldo)
Ø Attività A4.1 "Progettazione e sviluppo del portale" (I° acconto)
Ø Attività A4.1 "Progettazione e sviluppo del portale" (I° acconto)</t>
  </si>
  <si>
    <t>Polizza fideiussoria a favore REGIONE PUGLIA a garanzia anticipazione 30% del contributo (II° rinnovo)</t>
  </si>
  <si>
    <t>MILANO ASSICURAZIONE</t>
  </si>
  <si>
    <t>Abbonamento servizi Internet di tipo Dominio Professional (WPA3)</t>
  </si>
  <si>
    <t>TESEO.IT S.r.l.</t>
  </si>
  <si>
    <t>Spese pubblicazione bandi di gara per "realizzazione piattaforma" (WPA2)</t>
  </si>
  <si>
    <t>PUBLIKOMPASS S.p.A.</t>
  </si>
  <si>
    <t>RCS PUBBLICITA' S.p.A.</t>
  </si>
  <si>
    <t>Canone fitto immobile sede legale Marzo/2006</t>
  </si>
  <si>
    <t>Canone fitto immobile sede legale Aprile/2006</t>
  </si>
  <si>
    <t>Canone fitto immobile sede legale Maggio/2006</t>
  </si>
  <si>
    <t>Canone fitto immobile sede legale Giugno/2006</t>
  </si>
  <si>
    <t>Canone fitto immobile sede legale Luglio/2006</t>
  </si>
  <si>
    <t>Canone fitto immobile sede legale Agosto/2006</t>
  </si>
  <si>
    <t>Canone fitto immobile sede legale Settembre/2006</t>
  </si>
  <si>
    <t>Canone fitto immobile sede legale Ottobre/2006</t>
  </si>
  <si>
    <t>Canone fitto immobile sede legale Novembre/2006</t>
  </si>
  <si>
    <t>Canone fitto immobile sede legale Dicembre/2006</t>
  </si>
  <si>
    <t>Canone fitto immobile sede legale Gennaio/2007</t>
  </si>
  <si>
    <t>Canone fitto immobile sede legale Febbraio/2007</t>
  </si>
  <si>
    <t>COLL. GEOMETRI PROV.BRINDISI</t>
  </si>
  <si>
    <t>Ø Attività WPA3 - A3.3 "Inserimento dati e gestione servizi"</t>
  </si>
  <si>
    <t>Assegno Bancario n. 714714274</t>
  </si>
  <si>
    <t>Assegno Bancario n. 714714273</t>
  </si>
  <si>
    <t>Ø Attività WPA3 - A3.3 "Inserimento dati e gestione servizi"
Ø Attività WPA5 - A5.1 "Definizione Piano di Comunicazione"</t>
  </si>
  <si>
    <t>Assegno Bancario n. 732446051</t>
  </si>
  <si>
    <t>SAL 3</t>
  </si>
  <si>
    <t>TOT SAL 3</t>
  </si>
  <si>
    <t>wpa1</t>
  </si>
  <si>
    <t>DECURTAZIONE PER RENDICONTAZIONE SUPERIORE AL PREVISTO (MAX EURO 16.916,00)</t>
  </si>
  <si>
    <t>verificare calcolo 5%</t>
  </si>
  <si>
    <t>IV</t>
  </si>
  <si>
    <t>Ø Attività WPA2 - A2.0 "Assistenza tecnica ed affiancamento" (saldo)
Ø Attività WPA3 - A3.0 "Assistenza tecnica ed affiancamento" (saldo)
Ø Attività WPA4 - A4.0 "Assistenza tecnica ed affiancamento" (saldo)
Ø Attività WPA5 - A5.0 "Assistenza tecnica ed affiancamento" (I^ acconto)</t>
  </si>
  <si>
    <t>Ø Attività WPA5 - A5.1 "Definizione piano di comunicazione"</t>
  </si>
  <si>
    <t>CISEL ISSEL - Centro Studi per gli Enti Locali</t>
  </si>
  <si>
    <t xml:space="preserve">CENTRO SERVIZI 
di Murgolo Michele </t>
  </si>
  <si>
    <t>Ø Attività WPA5 - A5.1  -  Definizione piano di comunicazione</t>
  </si>
  <si>
    <t>NUOVA VILLA ROMANAZZI CARDUCCI S.p.A.</t>
  </si>
  <si>
    <t>11/07/2007 - 27/07/2007</t>
  </si>
  <si>
    <t>Ø Attività WPA5 - A5.0 "Assistenza tecnica ed affiancamento" (saldo)
Ø Attività WPA5 - A5.3 "Azioni di informazione e sensibilizzazione" (saldo)</t>
  </si>
  <si>
    <t>SEC MEDITERRANEA S.r.l.</t>
  </si>
  <si>
    <t>54/2007</t>
  </si>
  <si>
    <t>A. MANZONI &amp; C. S.p.A.</t>
  </si>
  <si>
    <t>PUBLIKOMPASS S.,p.A.</t>
  </si>
  <si>
    <t>Ø WPA2 - A2.2  -  Acquisizione strumentazione ed installazione dei software e servizi di base (saldo)</t>
  </si>
  <si>
    <t>H.S. SYSTEM S.r.l.</t>
  </si>
  <si>
    <t>295/FD #</t>
  </si>
  <si>
    <t>29/06/2007 07/08/2007 24/12/2007</t>
  </si>
  <si>
    <t>Ø Attività A4.2 "Realizzazione delle funzioni informative-formative per la FAD" (II° acconto)
Ø Attività A4.3 "Realizzazione moduli multimediali" (II° acconto)</t>
  </si>
  <si>
    <t xml:space="preserve"> 02/07 </t>
  </si>
  <si>
    <t>Ø Attività A4.2 "Realizzazione delle funzioni informative-formative per la FAD" (III° acconto)
Ø Attività A4.3 "Realizzazione moduli multimediali" (III° acconto)</t>
  </si>
  <si>
    <t xml:space="preserve"> 06/07 </t>
  </si>
  <si>
    <t>Ø WPA2 - A2.3  -  Realizzazione infrastruttura (saldo)</t>
  </si>
  <si>
    <t>SAL 4</t>
  </si>
  <si>
    <t>P</t>
  </si>
  <si>
    <t>TOT SAL 4</t>
  </si>
  <si>
    <t xml:space="preserve">SAL 4 - </t>
  </si>
  <si>
    <t>01/03/2007-31/10/2007</t>
  </si>
  <si>
    <t>SAL 4 - 01/03/07-31/10/07</t>
  </si>
  <si>
    <t>sal al 31/10/2007</t>
  </si>
  <si>
    <t>80% MAX</t>
  </si>
  <si>
    <t>progetto di 24 + 6 + 6 mesi</t>
  </si>
  <si>
    <t>EROGATO</t>
  </si>
  <si>
    <t>max 80%</t>
  </si>
  <si>
    <t xml:space="preserve">SAL 5 - </t>
  </si>
  <si>
    <t>01/11/2007-01/02/2008</t>
  </si>
  <si>
    <t>TOT SAL 5</t>
  </si>
  <si>
    <t>SAL 5</t>
  </si>
  <si>
    <t>V</t>
  </si>
  <si>
    <t>Verificare</t>
  </si>
  <si>
    <t>Ø Attività WPA5 - A5.1 "ATTIVITA' DI COLLAUDO"</t>
  </si>
  <si>
    <t>Dott. CARLO ADDABBO</t>
  </si>
  <si>
    <t xml:space="preserve">Verificare  </t>
  </si>
  <si>
    <t>Ø Attività A3.2 - "Progettazione e sviluppo tools di back-office" (SALDO)
Ø Attività A4.2 - "Realizzazione delle funzioni informative-formative per la FAD" (SALDO)
Ø Attività A4.3 - "Realizzazione moduli multimediali" (SALDO)</t>
  </si>
  <si>
    <t xml:space="preserve"> 10/07 </t>
  </si>
  <si>
    <t>WIND TELECOMUNICAZIONI S.p.A.</t>
  </si>
  <si>
    <t>Ø WPA2 - A2.3  -  Realizzazione infrastruttura</t>
  </si>
  <si>
    <t>21/FD</t>
  </si>
  <si>
    <t>22/FD</t>
  </si>
  <si>
    <t>851 101258</t>
  </si>
  <si>
    <t>R.C.S. Pubblicità S.p.A.</t>
  </si>
  <si>
    <t>Varificare</t>
  </si>
  <si>
    <t>20070 78218</t>
  </si>
  <si>
    <t>SAL 5 - 01/11/07-01/02/08</t>
  </si>
  <si>
    <t>max 95%</t>
  </si>
  <si>
    <t>contr. ammissibile  ------&gt;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</si>
</sst>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_-* #,##0.00_-;\-* #,##0.00_-;_-* &quot;-&quot;_-;_-@_-"/>
    <numFmt numFmtId="172" formatCode="#,##0.00_ ;\-#,##0.00\ "/>
    <numFmt numFmtId="173" formatCode="mmm\-yyyy"/>
    <numFmt numFmtId="174" formatCode="[$-410]dddd\ d\ mmmm\ yyyy"/>
    <numFmt numFmtId="175" formatCode="0.000"/>
    <numFmt numFmtId="176" formatCode="0.0000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b/>
      <sz val="8"/>
      <color indexed="10"/>
      <name val="Tahoma"/>
      <family val="2"/>
    </font>
    <font>
      <b/>
      <sz val="8"/>
      <color indexed="61"/>
      <name val="Tahoma"/>
      <family val="2"/>
    </font>
    <font>
      <sz val="8"/>
      <color indexed="10"/>
      <name val="Tahoma"/>
      <family val="2"/>
    </font>
    <font>
      <b/>
      <sz val="8"/>
      <color indexed="20"/>
      <name val="Tahoma"/>
      <family val="2"/>
    </font>
    <font>
      <b/>
      <sz val="8"/>
      <color indexed="12"/>
      <name val="Tahoma"/>
      <family val="2"/>
    </font>
    <font>
      <b/>
      <sz val="8"/>
      <color indexed="16"/>
      <name val="Tahoma"/>
      <family val="2"/>
    </font>
    <font>
      <b/>
      <sz val="8"/>
      <color indexed="17"/>
      <name val="Tahoma"/>
      <family val="2"/>
    </font>
    <font>
      <b/>
      <sz val="8"/>
      <color indexed="8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8"/>
      <color indexed="8"/>
      <name val="Tahoma"/>
      <family val="2"/>
    </font>
    <font>
      <sz val="8"/>
      <color indexed="57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0" xfId="0" applyFont="1" applyBorder="1" applyAlignment="1">
      <alignment wrapText="1"/>
    </xf>
    <xf numFmtId="4" fontId="3" fillId="0" borderId="1" xfId="17" applyNumberFormat="1" applyFont="1" applyBorder="1" applyAlignment="1">
      <alignment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wrapText="1" shrinkToFit="1"/>
    </xf>
    <xf numFmtId="14" fontId="3" fillId="0" borderId="3" xfId="0" applyNumberFormat="1" applyFont="1" applyBorder="1" applyAlignment="1">
      <alignment horizontal="center" wrapText="1"/>
    </xf>
    <xf numFmtId="43" fontId="3" fillId="0" borderId="3" xfId="18" applyFont="1" applyBorder="1" applyAlignment="1">
      <alignment wrapText="1"/>
    </xf>
    <xf numFmtId="4" fontId="3" fillId="0" borderId="1" xfId="0" applyNumberFormat="1" applyFont="1" applyBorder="1" applyAlignment="1">
      <alignment/>
    </xf>
    <xf numFmtId="14" fontId="3" fillId="0" borderId="1" xfId="0" applyNumberFormat="1" applyFont="1" applyBorder="1" applyAlignment="1">
      <alignment horizontal="center" wrapText="1"/>
    </xf>
    <xf numFmtId="43" fontId="3" fillId="0" borderId="1" xfId="18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 wrapText="1" shrinkToFit="1"/>
    </xf>
    <xf numFmtId="14" fontId="3" fillId="0" borderId="4" xfId="0" applyNumberFormat="1" applyFont="1" applyBorder="1" applyAlignment="1">
      <alignment horizontal="center" wrapText="1"/>
    </xf>
    <xf numFmtId="0" fontId="3" fillId="0" borderId="3" xfId="0" applyNumberFormat="1" applyFont="1" applyBorder="1" applyAlignment="1">
      <alignment horizontal="center" wrapText="1"/>
    </xf>
    <xf numFmtId="43" fontId="3" fillId="0" borderId="4" xfId="18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4" fontId="3" fillId="2" borderId="1" xfId="0" applyNumberFormat="1" applyFont="1" applyFill="1" applyBorder="1" applyAlignment="1">
      <alignment/>
    </xf>
    <xf numFmtId="170" fontId="3" fillId="2" borderId="1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4" fontId="4" fillId="0" borderId="5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left" vertical="center" wrapText="1"/>
    </xf>
    <xf numFmtId="4" fontId="6" fillId="0" borderId="5" xfId="0" applyNumberFormat="1" applyFont="1" applyBorder="1" applyAlignment="1">
      <alignment horizontal="left"/>
    </xf>
    <xf numFmtId="4" fontId="6" fillId="0" borderId="0" xfId="0" applyNumberFormat="1" applyFont="1" applyBorder="1" applyAlignment="1">
      <alignment horizontal="left"/>
    </xf>
    <xf numFmtId="4" fontId="6" fillId="0" borderId="0" xfId="0" applyNumberFormat="1" applyFont="1" applyBorder="1" applyAlignment="1">
      <alignment horizontal="right"/>
    </xf>
    <xf numFmtId="4" fontId="6" fillId="0" borderId="6" xfId="0" applyNumberFormat="1" applyFont="1" applyBorder="1" applyAlignment="1">
      <alignment horizontal="right"/>
    </xf>
    <xf numFmtId="9" fontId="7" fillId="0" borderId="6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14" fontId="8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9" fillId="2" borderId="0" xfId="0" applyFont="1" applyFill="1" applyBorder="1" applyAlignment="1">
      <alignment/>
    </xf>
    <xf numFmtId="4" fontId="9" fillId="0" borderId="1" xfId="0" applyNumberFormat="1" applyFont="1" applyBorder="1" applyAlignment="1">
      <alignment/>
    </xf>
    <xf numFmtId="4" fontId="9" fillId="2" borderId="1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5" xfId="0" applyFont="1" applyBorder="1" applyAlignment="1">
      <alignment horizontal="left" vertical="center" wrapText="1"/>
    </xf>
    <xf numFmtId="4" fontId="9" fillId="0" borderId="5" xfId="0" applyNumberFormat="1" applyFont="1" applyBorder="1" applyAlignment="1">
      <alignment horizontal="left"/>
    </xf>
    <xf numFmtId="4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14" fontId="9" fillId="0" borderId="0" xfId="0" applyNumberFormat="1" applyFont="1" applyBorder="1" applyAlignment="1">
      <alignment horizontal="left"/>
    </xf>
    <xf numFmtId="4" fontId="9" fillId="0" borderId="0" xfId="0" applyNumberFormat="1" applyFont="1" applyBorder="1" applyAlignment="1">
      <alignment horizontal="right"/>
    </xf>
    <xf numFmtId="9" fontId="7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14" fontId="9" fillId="0" borderId="0" xfId="0" applyNumberFormat="1" applyFont="1" applyBorder="1" applyAlignment="1">
      <alignment/>
    </xf>
    <xf numFmtId="0" fontId="4" fillId="0" borderId="7" xfId="0" applyFont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center" vertical="center" wrapText="1"/>
    </xf>
    <xf numFmtId="4" fontId="8" fillId="3" borderId="9" xfId="0" applyNumberFormat="1" applyFont="1" applyFill="1" applyBorder="1" applyAlignment="1">
      <alignment horizontal="left"/>
    </xf>
    <xf numFmtId="4" fontId="4" fillId="3" borderId="1" xfId="0" applyNumberFormat="1" applyFont="1" applyFill="1" applyBorder="1" applyAlignment="1">
      <alignment horizontal="center"/>
    </xf>
    <xf numFmtId="4" fontId="4" fillId="3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4" fontId="6" fillId="0" borderId="5" xfId="0" applyNumberFormat="1" applyFont="1" applyBorder="1" applyAlignment="1" applyProtection="1">
      <alignment horizontal="right"/>
      <protection/>
    </xf>
    <xf numFmtId="4" fontId="6" fillId="0" borderId="0" xfId="0" applyNumberFormat="1" applyFont="1" applyBorder="1" applyAlignment="1" applyProtection="1">
      <alignment horizontal="right"/>
      <protection/>
    </xf>
    <xf numFmtId="4" fontId="6" fillId="0" borderId="11" xfId="0" applyNumberFormat="1" applyFont="1" applyBorder="1" applyAlignment="1" applyProtection="1">
      <alignment horizontal="right"/>
      <protection/>
    </xf>
    <xf numFmtId="4" fontId="6" fillId="2" borderId="12" xfId="0" applyNumberFormat="1" applyFont="1" applyFill="1" applyBorder="1" applyAlignment="1" applyProtection="1">
      <alignment horizontal="right"/>
      <protection/>
    </xf>
    <xf numFmtId="4" fontId="6" fillId="0" borderId="12" xfId="0" applyNumberFormat="1" applyFont="1" applyBorder="1" applyAlignment="1">
      <alignment/>
    </xf>
    <xf numFmtId="4" fontId="6" fillId="2" borderId="12" xfId="0" applyNumberFormat="1" applyFont="1" applyFill="1" applyBorder="1" applyAlignment="1">
      <alignment/>
    </xf>
    <xf numFmtId="4" fontId="6" fillId="2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4" fontId="10" fillId="0" borderId="5" xfId="0" applyNumberFormat="1" applyFont="1" applyBorder="1" applyAlignment="1" applyProtection="1">
      <alignment horizontal="right"/>
      <protection/>
    </xf>
    <xf numFmtId="4" fontId="10" fillId="0" borderId="0" xfId="0" applyNumberFormat="1" applyFont="1" applyBorder="1" applyAlignment="1" applyProtection="1">
      <alignment horizontal="right"/>
      <protection/>
    </xf>
    <xf numFmtId="4" fontId="10" fillId="0" borderId="1" xfId="0" applyNumberFormat="1" applyFont="1" applyBorder="1" applyAlignment="1">
      <alignment/>
    </xf>
    <xf numFmtId="4" fontId="10" fillId="2" borderId="9" xfId="0" applyNumberFormat="1" applyFont="1" applyFill="1" applyBorder="1" applyAlignment="1" applyProtection="1">
      <alignment horizontal="right"/>
      <protection/>
    </xf>
    <xf numFmtId="4" fontId="10" fillId="2" borderId="1" xfId="0" applyNumberFormat="1" applyFont="1" applyFill="1" applyBorder="1" applyAlignment="1">
      <alignment/>
    </xf>
    <xf numFmtId="4" fontId="11" fillId="0" borderId="1" xfId="0" applyNumberFormat="1" applyFont="1" applyBorder="1" applyAlignment="1">
      <alignment/>
    </xf>
    <xf numFmtId="4" fontId="4" fillId="0" borderId="0" xfId="0" applyNumberFormat="1" applyFont="1" applyBorder="1" applyAlignment="1">
      <alignment wrapText="1"/>
    </xf>
    <xf numFmtId="4" fontId="10" fillId="0" borderId="11" xfId="0" applyNumberFormat="1" applyFont="1" applyBorder="1" applyAlignment="1" applyProtection="1">
      <alignment horizontal="right"/>
      <protection/>
    </xf>
    <xf numFmtId="4" fontId="12" fillId="0" borderId="13" xfId="0" applyNumberFormat="1" applyFont="1" applyBorder="1" applyAlignment="1" applyProtection="1">
      <alignment horizontal="right"/>
      <protection/>
    </xf>
    <xf numFmtId="4" fontId="12" fillId="0" borderId="14" xfId="0" applyNumberFormat="1" applyFont="1" applyBorder="1" applyAlignment="1" applyProtection="1">
      <alignment horizontal="right"/>
      <protection/>
    </xf>
    <xf numFmtId="4" fontId="12" fillId="0" borderId="7" xfId="0" applyNumberFormat="1" applyFont="1" applyBorder="1" applyAlignment="1" applyProtection="1">
      <alignment horizontal="right"/>
      <protection/>
    </xf>
    <xf numFmtId="4" fontId="12" fillId="2" borderId="9" xfId="0" applyNumberFormat="1" applyFont="1" applyFill="1" applyBorder="1" applyAlignment="1" applyProtection="1">
      <alignment horizontal="right"/>
      <protection/>
    </xf>
    <xf numFmtId="4" fontId="12" fillId="0" borderId="1" xfId="0" applyNumberFormat="1" applyFont="1" applyBorder="1" applyAlignment="1">
      <alignment/>
    </xf>
    <xf numFmtId="4" fontId="12" fillId="2" borderId="1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0" fontId="13" fillId="0" borderId="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 shrinkToFit="1"/>
    </xf>
    <xf numFmtId="14" fontId="14" fillId="0" borderId="3" xfId="0" applyNumberFormat="1" applyFont="1" applyBorder="1" applyAlignment="1">
      <alignment horizontal="center" vertical="center" wrapText="1"/>
    </xf>
    <xf numFmtId="43" fontId="14" fillId="0" borderId="3" xfId="18" applyFont="1" applyBorder="1" applyAlignment="1">
      <alignment vertical="center" wrapText="1"/>
    </xf>
    <xf numFmtId="4" fontId="3" fillId="2" borderId="1" xfId="0" applyNumberFormat="1" applyFont="1" applyFill="1" applyBorder="1" applyAlignment="1">
      <alignment/>
    </xf>
    <xf numFmtId="4" fontId="3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left" wrapText="1"/>
    </xf>
    <xf numFmtId="0" fontId="3" fillId="0" borderId="15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 shrinkToFit="1"/>
    </xf>
    <xf numFmtId="14" fontId="14" fillId="0" borderId="15" xfId="0" applyNumberFormat="1" applyFont="1" applyBorder="1" applyAlignment="1">
      <alignment horizontal="center" vertical="center" wrapText="1"/>
    </xf>
    <xf numFmtId="43" fontId="14" fillId="0" borderId="15" xfId="18" applyFont="1" applyBorder="1" applyAlignment="1">
      <alignment vertical="center" wrapText="1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14" fontId="3" fillId="0" borderId="1" xfId="0" applyNumberFormat="1" applyFont="1" applyBorder="1" applyAlignment="1">
      <alignment/>
    </xf>
    <xf numFmtId="14" fontId="3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3" fillId="3" borderId="9" xfId="0" applyFont="1" applyFill="1" applyBorder="1" applyAlignment="1">
      <alignment horizontal="center"/>
    </xf>
    <xf numFmtId="4" fontId="6" fillId="2" borderId="1" xfId="0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Border="1" applyAlignment="1">
      <alignment horizontal="center"/>
    </xf>
    <xf numFmtId="4" fontId="10" fillId="2" borderId="1" xfId="0" applyNumberFormat="1" applyFont="1" applyFill="1" applyBorder="1" applyAlignment="1" applyProtection="1">
      <alignment horizontal="right"/>
      <protection/>
    </xf>
    <xf numFmtId="4" fontId="10" fillId="0" borderId="16" xfId="0" applyNumberFormat="1" applyFont="1" applyBorder="1" applyAlignment="1" applyProtection="1">
      <alignment horizontal="right"/>
      <protection/>
    </xf>
    <xf numFmtId="4" fontId="10" fillId="0" borderId="17" xfId="0" applyNumberFormat="1" applyFont="1" applyBorder="1" applyAlignment="1" applyProtection="1">
      <alignment horizontal="right"/>
      <protection/>
    </xf>
    <xf numFmtId="4" fontId="10" fillId="0" borderId="10" xfId="0" applyNumberFormat="1" applyFont="1" applyBorder="1" applyAlignment="1">
      <alignment/>
    </xf>
    <xf numFmtId="4" fontId="10" fillId="2" borderId="10" xfId="0" applyNumberFormat="1" applyFont="1" applyFill="1" applyBorder="1" applyAlignment="1">
      <alignment/>
    </xf>
    <xf numFmtId="4" fontId="12" fillId="2" borderId="1" xfId="0" applyNumberFormat="1" applyFont="1" applyFill="1" applyBorder="1" applyAlignment="1" applyProtection="1">
      <alignment horizontal="right"/>
      <protection/>
    </xf>
    <xf numFmtId="0" fontId="14" fillId="0" borderId="1" xfId="0" applyFont="1" applyBorder="1" applyAlignment="1">
      <alignment/>
    </xf>
    <xf numFmtId="14" fontId="14" fillId="0" borderId="1" xfId="0" applyNumberFormat="1" applyFont="1" applyBorder="1" applyAlignment="1">
      <alignment horizontal="center" wrapText="1"/>
    </xf>
    <xf numFmtId="4" fontId="3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 wrapText="1"/>
    </xf>
    <xf numFmtId="14" fontId="3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/>
    </xf>
    <xf numFmtId="0" fontId="10" fillId="2" borderId="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2" borderId="10" xfId="0" applyFont="1" applyFill="1" applyBorder="1" applyAlignment="1">
      <alignment/>
    </xf>
    <xf numFmtId="0" fontId="12" fillId="0" borderId="0" xfId="0" applyFont="1" applyBorder="1" applyAlignment="1">
      <alignment/>
    </xf>
    <xf numFmtId="0" fontId="4" fillId="0" borderId="1" xfId="0" applyFont="1" applyBorder="1" applyAlignment="1">
      <alignment/>
    </xf>
    <xf numFmtId="4" fontId="6" fillId="2" borderId="14" xfId="0" applyNumberFormat="1" applyFont="1" applyFill="1" applyBorder="1" applyAlignment="1" applyProtection="1">
      <alignment horizontal="right"/>
      <protection/>
    </xf>
    <xf numFmtId="4" fontId="8" fillId="3" borderId="6" xfId="0" applyNumberFormat="1" applyFont="1" applyFill="1" applyBorder="1" applyAlignment="1">
      <alignment horizontal="left"/>
    </xf>
    <xf numFmtId="4" fontId="4" fillId="0" borderId="1" xfId="0" applyNumberFormat="1" applyFont="1" applyBorder="1" applyAlignment="1">
      <alignment horizontal="center"/>
    </xf>
    <xf numFmtId="0" fontId="15" fillId="0" borderId="2" xfId="0" applyFont="1" applyBorder="1" applyAlignment="1">
      <alignment/>
    </xf>
    <xf numFmtId="0" fontId="14" fillId="0" borderId="1" xfId="0" applyFont="1" applyBorder="1" applyAlignment="1">
      <alignment horizontal="center"/>
    </xf>
    <xf numFmtId="14" fontId="14" fillId="0" borderId="1" xfId="0" applyNumberFormat="1" applyFont="1" applyBorder="1" applyAlignment="1">
      <alignment horizontal="center"/>
    </xf>
    <xf numFmtId="4" fontId="14" fillId="0" borderId="1" xfId="17" applyNumberFormat="1" applyFont="1" applyBorder="1" applyAlignment="1">
      <alignment horizontal="center"/>
    </xf>
    <xf numFmtId="171" fontId="3" fillId="2" borderId="1" xfId="19" applyNumberFormat="1" applyFont="1" applyFill="1" applyBorder="1" applyAlignment="1">
      <alignment horizontal="right"/>
    </xf>
    <xf numFmtId="0" fontId="3" fillId="4" borderId="1" xfId="0" applyFont="1" applyFill="1" applyBorder="1" applyAlignment="1">
      <alignment/>
    </xf>
    <xf numFmtId="10" fontId="3" fillId="0" borderId="11" xfId="0" applyNumberFormat="1" applyFont="1" applyBorder="1" applyAlignment="1">
      <alignment/>
    </xf>
    <xf numFmtId="4" fontId="15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4" borderId="1" xfId="0" applyFont="1" applyFill="1" applyBorder="1" applyAlignment="1">
      <alignment horizontal="center"/>
    </xf>
    <xf numFmtId="14" fontId="3" fillId="4" borderId="1" xfId="0" applyNumberFormat="1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justify" wrapText="1"/>
    </xf>
    <xf numFmtId="171" fontId="3" fillId="4" borderId="1" xfId="19" applyNumberFormat="1" applyFont="1" applyFill="1" applyBorder="1" applyAlignment="1">
      <alignment horizontal="right"/>
    </xf>
    <xf numFmtId="171" fontId="3" fillId="0" borderId="1" xfId="19" applyNumberFormat="1" applyFont="1" applyBorder="1" applyAlignment="1">
      <alignment horizontal="right"/>
    </xf>
    <xf numFmtId="0" fontId="3" fillId="4" borderId="1" xfId="0" applyFont="1" applyFill="1" applyBorder="1" applyAlignment="1">
      <alignment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/>
    </xf>
    <xf numFmtId="14" fontId="3" fillId="0" borderId="1" xfId="0" applyNumberFormat="1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wrapText="1"/>
    </xf>
    <xf numFmtId="2" fontId="3" fillId="0" borderId="1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43" fontId="3" fillId="0" borderId="3" xfId="18" applyFont="1" applyBorder="1" applyAlignment="1">
      <alignment horizontal="right" wrapText="1"/>
    </xf>
    <xf numFmtId="0" fontId="3" fillId="0" borderId="3" xfId="0" applyFont="1" applyBorder="1" applyAlignment="1">
      <alignment vertical="center" wrapText="1" shrinkToFit="1"/>
    </xf>
    <xf numFmtId="0" fontId="3" fillId="0" borderId="4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wrapText="1" shrinkToFit="1"/>
    </xf>
    <xf numFmtId="43" fontId="3" fillId="0" borderId="4" xfId="18" applyFont="1" applyBorder="1" applyAlignment="1">
      <alignment horizontal="right" wrapText="1"/>
    </xf>
    <xf numFmtId="43" fontId="3" fillId="2" borderId="4" xfId="18" applyFont="1" applyFill="1" applyBorder="1" applyAlignment="1">
      <alignment horizontal="right" wrapText="1"/>
    </xf>
    <xf numFmtId="0" fontId="3" fillId="0" borderId="3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 shrinkToFit="1"/>
    </xf>
    <xf numFmtId="0" fontId="3" fillId="0" borderId="19" xfId="0" applyFont="1" applyBorder="1" applyAlignment="1">
      <alignment vertical="center" wrapText="1"/>
    </xf>
    <xf numFmtId="0" fontId="15" fillId="0" borderId="5" xfId="0" applyFont="1" applyBorder="1" applyAlignment="1">
      <alignment/>
    </xf>
    <xf numFmtId="0" fontId="15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19" xfId="0" applyFont="1" applyBorder="1" applyAlignment="1">
      <alignment vertical="center" wrapText="1" shrinkToFit="1"/>
    </xf>
    <xf numFmtId="0" fontId="3" fillId="0" borderId="19" xfId="0" applyNumberFormat="1" applyFont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 wrapText="1"/>
    </xf>
    <xf numFmtId="43" fontId="3" fillId="2" borderId="3" xfId="18" applyFont="1" applyFill="1" applyBorder="1" applyAlignment="1">
      <alignment horizontal="right" wrapText="1"/>
    </xf>
    <xf numFmtId="43" fontId="3" fillId="2" borderId="19" xfId="18" applyFont="1" applyFill="1" applyBorder="1" applyAlignment="1">
      <alignment horizontal="right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 shrinkToFit="1"/>
    </xf>
    <xf numFmtId="0" fontId="3" fillId="0" borderId="21" xfId="0" applyFont="1" applyBorder="1" applyAlignment="1">
      <alignment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 shrinkToFit="1"/>
    </xf>
    <xf numFmtId="4" fontId="9" fillId="0" borderId="0" xfId="0" applyNumberFormat="1" applyFont="1" applyBorder="1" applyAlignment="1">
      <alignment wrapText="1"/>
    </xf>
    <xf numFmtId="4" fontId="3" fillId="0" borderId="1" xfId="0" applyNumberFormat="1" applyFont="1" applyBorder="1" applyAlignment="1" quotePrefix="1">
      <alignment/>
    </xf>
    <xf numFmtId="0" fontId="15" fillId="0" borderId="23" xfId="0" applyFont="1" applyBorder="1" applyAlignment="1">
      <alignment/>
    </xf>
    <xf numFmtId="14" fontId="17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14" xfId="0" applyFont="1" applyBorder="1" applyAlignment="1">
      <alignment/>
    </xf>
    <xf numFmtId="4" fontId="15" fillId="0" borderId="24" xfId="0" applyNumberFormat="1" applyFont="1" applyBorder="1" applyAlignment="1">
      <alignment/>
    </xf>
    <xf numFmtId="0" fontId="15" fillId="0" borderId="6" xfId="0" applyFont="1" applyBorder="1" applyAlignment="1">
      <alignment/>
    </xf>
    <xf numFmtId="4" fontId="15" fillId="0" borderId="6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15" fillId="0" borderId="13" xfId="0" applyFont="1" applyBorder="1" applyAlignment="1">
      <alignment/>
    </xf>
    <xf numFmtId="4" fontId="3" fillId="0" borderId="14" xfId="0" applyNumberFormat="1" applyFont="1" applyBorder="1" applyAlignment="1">
      <alignment/>
    </xf>
    <xf numFmtId="10" fontId="3" fillId="0" borderId="7" xfId="0" applyNumberFormat="1" applyFont="1" applyBorder="1" applyAlignment="1">
      <alignment/>
    </xf>
    <xf numFmtId="9" fontId="15" fillId="0" borderId="0" xfId="0" applyNumberFormat="1" applyFont="1" applyAlignment="1">
      <alignment/>
    </xf>
    <xf numFmtId="0" fontId="15" fillId="0" borderId="0" xfId="0" applyFont="1" applyAlignment="1">
      <alignment horizontal="right"/>
    </xf>
    <xf numFmtId="0" fontId="15" fillId="0" borderId="24" xfId="0" applyFont="1" applyBorder="1" applyAlignment="1">
      <alignment/>
    </xf>
    <xf numFmtId="4" fontId="3" fillId="0" borderId="6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7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18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10" fontId="15" fillId="0" borderId="0" xfId="0" applyNumberFormat="1" applyFont="1" applyAlignment="1">
      <alignment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43" fontId="3" fillId="0" borderId="15" xfId="18" applyFont="1" applyBorder="1" applyAlignment="1">
      <alignment horizontal="right" wrapText="1"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 wrapText="1" shrinkToFit="1"/>
    </xf>
    <xf numFmtId="14" fontId="3" fillId="0" borderId="15" xfId="0" applyNumberFormat="1" applyFont="1" applyBorder="1" applyAlignment="1">
      <alignment horizontal="center" wrapText="1"/>
    </xf>
    <xf numFmtId="43" fontId="3" fillId="0" borderId="15" xfId="18" applyFont="1" applyBorder="1" applyAlignment="1">
      <alignment wrapText="1"/>
    </xf>
    <xf numFmtId="0" fontId="3" fillId="0" borderId="15" xfId="0" applyFont="1" applyBorder="1" applyAlignment="1">
      <alignment vertical="center" wrapText="1" shrinkToFit="1"/>
    </xf>
    <xf numFmtId="0" fontId="3" fillId="0" borderId="15" xfId="0" applyNumberFormat="1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0" fontId="3" fillId="0" borderId="1" xfId="0" applyFont="1" applyBorder="1" applyAlignment="1">
      <alignment wrapText="1" shrinkToFit="1"/>
    </xf>
    <xf numFmtId="16" fontId="3" fillId="0" borderId="1" xfId="0" applyNumberFormat="1" applyFont="1" applyBorder="1" applyAlignment="1">
      <alignment horizontal="center" wrapText="1"/>
    </xf>
    <xf numFmtId="14" fontId="3" fillId="0" borderId="25" xfId="0" applyNumberFormat="1" applyFont="1" applyBorder="1" applyAlignment="1">
      <alignment horizontal="center" vertical="center" wrapText="1"/>
    </xf>
    <xf numFmtId="43" fontId="3" fillId="0" borderId="25" xfId="18" applyFont="1" applyBorder="1" applyAlignment="1">
      <alignment horizontal="right" wrapText="1"/>
    </xf>
    <xf numFmtId="43" fontId="3" fillId="2" borderId="25" xfId="18" applyFont="1" applyFill="1" applyBorder="1" applyAlignment="1">
      <alignment horizontal="right" wrapText="1"/>
    </xf>
    <xf numFmtId="14" fontId="3" fillId="0" borderId="1" xfId="0" applyNumberFormat="1" applyFont="1" applyBorder="1" applyAlignment="1">
      <alignment horizontal="center" vertical="center" wrapText="1"/>
    </xf>
    <xf numFmtId="43" fontId="3" fillId="0" borderId="1" xfId="18" applyFont="1" applyBorder="1" applyAlignment="1">
      <alignment horizontal="right" wrapText="1"/>
    </xf>
    <xf numFmtId="43" fontId="3" fillId="2" borderId="1" xfId="18" applyFont="1" applyFill="1" applyBorder="1" applyAlignment="1">
      <alignment horizontal="right" wrapText="1"/>
    </xf>
    <xf numFmtId="0" fontId="3" fillId="0" borderId="8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3" fontId="8" fillId="2" borderId="1" xfId="18" applyFont="1" applyFill="1" applyBorder="1" applyAlignment="1">
      <alignment horizontal="right" wrapText="1"/>
    </xf>
    <xf numFmtId="43" fontId="8" fillId="0" borderId="15" xfId="18" applyFont="1" applyBorder="1" applyAlignment="1">
      <alignment horizontal="right" wrapText="1"/>
    </xf>
    <xf numFmtId="4" fontId="8" fillId="0" borderId="1" xfId="0" applyNumberFormat="1" applyFont="1" applyBorder="1" applyAlignment="1">
      <alignment/>
    </xf>
    <xf numFmtId="4" fontId="8" fillId="2" borderId="1" xfId="0" applyNumberFormat="1" applyFont="1" applyFill="1" applyBorder="1" applyAlignment="1">
      <alignment/>
    </xf>
    <xf numFmtId="4" fontId="8" fillId="0" borderId="1" xfId="0" applyNumberFormat="1" applyFont="1" applyBorder="1" applyAlignment="1">
      <alignment/>
    </xf>
    <xf numFmtId="4" fontId="8" fillId="2" borderId="1" xfId="0" applyNumberFormat="1" applyFont="1" applyFill="1" applyBorder="1" applyAlignment="1">
      <alignment/>
    </xf>
    <xf numFmtId="0" fontId="3" fillId="0" borderId="12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right" wrapText="1"/>
    </xf>
    <xf numFmtId="14" fontId="3" fillId="0" borderId="20" xfId="0" applyNumberFormat="1" applyFont="1" applyBorder="1" applyAlignment="1">
      <alignment horizontal="right" wrapText="1"/>
    </xf>
    <xf numFmtId="43" fontId="3" fillId="0" borderId="20" xfId="18" applyFont="1" applyBorder="1" applyAlignment="1">
      <alignment horizontal="right" wrapText="1"/>
    </xf>
    <xf numFmtId="0" fontId="3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14" fontId="18" fillId="0" borderId="12" xfId="0" applyNumberFormat="1" applyFont="1" applyBorder="1" applyAlignment="1">
      <alignment horizontal="center" vertical="center" wrapText="1"/>
    </xf>
    <xf numFmtId="4" fontId="18" fillId="0" borderId="12" xfId="0" applyNumberFormat="1" applyFont="1" applyBorder="1" applyAlignment="1">
      <alignment horizontal="right" wrapText="1"/>
    </xf>
    <xf numFmtId="4" fontId="18" fillId="2" borderId="1" xfId="0" applyNumberFormat="1" applyFont="1" applyFill="1" applyBorder="1" applyAlignment="1">
      <alignment horizontal="right" wrapText="1"/>
    </xf>
    <xf numFmtId="4" fontId="6" fillId="0" borderId="1" xfId="0" applyNumberFormat="1" applyFont="1" applyBorder="1" applyAlignment="1">
      <alignment/>
    </xf>
    <xf numFmtId="4" fontId="9" fillId="0" borderId="8" xfId="0" applyNumberFormat="1" applyFont="1" applyBorder="1" applyAlignment="1">
      <alignment/>
    </xf>
    <xf numFmtId="0" fontId="9" fillId="0" borderId="10" xfId="0" applyFont="1" applyBorder="1" applyAlignment="1">
      <alignment/>
    </xf>
    <xf numFmtId="4" fontId="8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43" fontId="3" fillId="0" borderId="0" xfId="18" applyFont="1" applyAlignment="1">
      <alignment/>
    </xf>
    <xf numFmtId="43" fontId="3" fillId="0" borderId="0" xfId="18" applyFont="1" applyAlignment="1">
      <alignment horizontal="right"/>
    </xf>
    <xf numFmtId="4" fontId="8" fillId="0" borderId="11" xfId="0" applyNumberFormat="1" applyFont="1" applyBorder="1" applyAlignment="1">
      <alignment/>
    </xf>
    <xf numFmtId="0" fontId="15" fillId="0" borderId="1" xfId="0" applyFont="1" applyBorder="1" applyAlignment="1">
      <alignment horizontal="left"/>
    </xf>
    <xf numFmtId="0" fontId="15" fillId="0" borderId="8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8" fillId="0" borderId="9" xfId="0" applyFont="1" applyBorder="1" applyAlignment="1">
      <alignment horizontal="left" wrapText="1"/>
    </xf>
    <xf numFmtId="0" fontId="8" fillId="0" borderId="8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14" fontId="15" fillId="0" borderId="1" xfId="0" applyNumberFormat="1" applyFont="1" applyBorder="1" applyAlignment="1">
      <alignment horizontal="center"/>
    </xf>
    <xf numFmtId="0" fontId="15" fillId="0" borderId="8" xfId="0" applyFont="1" applyBorder="1" applyAlignment="1">
      <alignment horizontal="left"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4" fontId="19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4" fontId="6" fillId="3" borderId="9" xfId="0" applyNumberFormat="1" applyFont="1" applyFill="1" applyBorder="1" applyAlignment="1">
      <alignment horizontal="center"/>
    </xf>
    <xf numFmtId="4" fontId="6" fillId="0" borderId="5" xfId="0" applyNumberFormat="1" applyFont="1" applyBorder="1" applyAlignment="1" applyProtection="1">
      <alignment horizontal="right"/>
      <protection/>
    </xf>
    <xf numFmtId="4" fontId="6" fillId="0" borderId="0" xfId="0" applyNumberFormat="1" applyFont="1" applyBorder="1" applyAlignment="1" applyProtection="1">
      <alignment horizontal="right"/>
      <protection/>
    </xf>
    <xf numFmtId="4" fontId="6" fillId="0" borderId="11" xfId="0" applyNumberFormat="1" applyFont="1" applyBorder="1" applyAlignment="1" applyProtection="1">
      <alignment horizontal="right"/>
      <protection/>
    </xf>
    <xf numFmtId="4" fontId="12" fillId="0" borderId="13" xfId="0" applyNumberFormat="1" applyFont="1" applyBorder="1" applyAlignment="1" applyProtection="1">
      <alignment horizontal="right"/>
      <protection/>
    </xf>
    <xf numFmtId="4" fontId="12" fillId="0" borderId="14" xfId="0" applyNumberFormat="1" applyFont="1" applyBorder="1" applyAlignment="1" applyProtection="1">
      <alignment horizontal="right"/>
      <protection/>
    </xf>
    <xf numFmtId="4" fontId="12" fillId="0" borderId="7" xfId="0" applyNumberFormat="1" applyFont="1" applyBorder="1" applyAlignment="1" applyProtection="1">
      <alignment horizontal="right"/>
      <protection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4" fontId="6" fillId="0" borderId="24" xfId="0" applyNumberFormat="1" applyFont="1" applyBorder="1" applyAlignment="1" applyProtection="1">
      <alignment horizontal="right"/>
      <protection/>
    </xf>
    <xf numFmtId="4" fontId="6" fillId="0" borderId="6" xfId="0" applyNumberFormat="1" applyFont="1" applyBorder="1" applyAlignment="1" applyProtection="1">
      <alignment horizontal="right"/>
      <protection/>
    </xf>
    <xf numFmtId="4" fontId="6" fillId="0" borderId="23" xfId="0" applyNumberFormat="1" applyFont="1" applyBorder="1" applyAlignment="1" applyProtection="1">
      <alignment horizontal="right"/>
      <protection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8" fillId="0" borderId="8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16" fillId="0" borderId="0" xfId="0" applyFont="1" applyBorder="1" applyAlignment="1">
      <alignment horizontal="center"/>
    </xf>
    <xf numFmtId="0" fontId="16" fillId="0" borderId="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5"/>
  <sheetViews>
    <sheetView showGridLines="0" showZeros="0" tabSelected="1" zoomScale="85" zoomScaleNormal="85" workbookViewId="0" topLeftCell="A1">
      <pane xSplit="3" ySplit="7" topLeftCell="H3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S47" sqref="S47:T47"/>
    </sheetView>
  </sheetViews>
  <sheetFormatPr defaultColWidth="9.140625" defaultRowHeight="12.75"/>
  <cols>
    <col min="1" max="1" width="3.00390625" style="62" customWidth="1"/>
    <col min="2" max="2" width="3.00390625" style="98" customWidth="1"/>
    <col min="3" max="3" width="13.421875" style="35" customWidth="1"/>
    <col min="4" max="4" width="23.140625" style="35" customWidth="1"/>
    <col min="5" max="5" width="17.8515625" style="35" customWidth="1"/>
    <col min="6" max="6" width="7.57421875" style="35" customWidth="1"/>
    <col min="7" max="7" width="11.57421875" style="35" customWidth="1"/>
    <col min="8" max="8" width="10.28125" style="35" customWidth="1"/>
    <col min="9" max="9" width="9.421875" style="35" customWidth="1"/>
    <col min="10" max="10" width="12.00390625" style="35" customWidth="1"/>
    <col min="11" max="11" width="10.7109375" style="35" customWidth="1"/>
    <col min="12" max="12" width="11.421875" style="99" customWidth="1"/>
    <col min="13" max="13" width="11.421875" style="35" customWidth="1"/>
    <col min="14" max="14" width="11.140625" style="35" customWidth="1"/>
    <col min="15" max="15" width="11.421875" style="99" customWidth="1"/>
    <col min="16" max="16" width="11.140625" style="35" customWidth="1"/>
    <col min="17" max="17" width="10.8515625" style="35" customWidth="1"/>
    <col min="18" max="18" width="11.140625" style="99" customWidth="1"/>
    <col min="19" max="19" width="11.140625" style="35" bestFit="1" customWidth="1"/>
    <col min="20" max="20" width="10.28125" style="4" customWidth="1"/>
    <col min="21" max="21" width="14.140625" style="35" customWidth="1"/>
    <col min="22" max="22" width="9.7109375" style="35" customWidth="1"/>
    <col min="23" max="16384" width="9.140625" style="35" customWidth="1"/>
  </cols>
  <sheetData>
    <row r="1" spans="1:20" s="21" customFormat="1" ht="15">
      <c r="A1" s="284" t="s">
        <v>65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6"/>
    </row>
    <row r="2" spans="1:22" ht="10.5">
      <c r="A2" s="22"/>
      <c r="B2" s="23"/>
      <c r="C2" s="24" t="s">
        <v>0</v>
      </c>
      <c r="D2" s="25" t="s">
        <v>46</v>
      </c>
      <c r="E2" s="26" t="s">
        <v>32</v>
      </c>
      <c r="F2" s="26"/>
      <c r="G2" s="27">
        <f>M10+M34+M52+M82++M95+M110+M64</f>
        <v>438880</v>
      </c>
      <c r="H2" s="28">
        <f>M2/G2</f>
        <v>0.947095512820513</v>
      </c>
      <c r="I2" s="29" t="s">
        <v>31</v>
      </c>
      <c r="J2" s="30">
        <v>38308</v>
      </c>
      <c r="K2" s="31">
        <f>G4</f>
        <v>47694.4</v>
      </c>
      <c r="L2" s="32" t="s">
        <v>28</v>
      </c>
      <c r="M2" s="33">
        <f aca="true" t="shared" si="0" ref="M2:T2">SUM(M3:M8)</f>
        <v>415661.2786666667</v>
      </c>
      <c r="N2" s="33">
        <f t="shared" si="0"/>
        <v>65067.234333333334</v>
      </c>
      <c r="O2" s="34">
        <f t="shared" si="0"/>
        <v>480728.51300000004</v>
      </c>
      <c r="P2" s="33">
        <f t="shared" si="0"/>
        <v>270179.8311333333</v>
      </c>
      <c r="Q2" s="33">
        <f t="shared" si="0"/>
        <v>42293.70231666668</v>
      </c>
      <c r="R2" s="34">
        <f t="shared" si="0"/>
        <v>312473.53345</v>
      </c>
      <c r="S2" s="33">
        <f t="shared" si="0"/>
        <v>99889.92</v>
      </c>
      <c r="T2" s="33">
        <f t="shared" si="0"/>
        <v>212583.61345</v>
      </c>
      <c r="V2" s="162">
        <v>99889.92</v>
      </c>
    </row>
    <row r="3" spans="1:21" s="43" customFormat="1" ht="10.5">
      <c r="A3" s="36"/>
      <c r="B3" s="23"/>
      <c r="C3" s="37" t="s">
        <v>43</v>
      </c>
      <c r="D3" s="38" t="s">
        <v>47</v>
      </c>
      <c r="E3" s="39" t="s">
        <v>33</v>
      </c>
      <c r="F3" s="40"/>
      <c r="G3" s="41">
        <v>285272</v>
      </c>
      <c r="H3" s="42">
        <f>P2/G3</f>
        <v>0.9470955128205127</v>
      </c>
      <c r="J3" s="41" t="s">
        <v>37</v>
      </c>
      <c r="K3" s="33">
        <f>K11+K35+K53+K65+K83+K96+K111</f>
        <v>0</v>
      </c>
      <c r="L3" s="32" t="s">
        <v>29</v>
      </c>
      <c r="M3" s="33">
        <f aca="true" t="shared" si="1" ref="M3:T3">M11+M35+M53+M65+M83+M96+M111</f>
        <v>67675.82</v>
      </c>
      <c r="N3" s="33">
        <f t="shared" si="1"/>
        <v>13180</v>
      </c>
      <c r="O3" s="34">
        <f t="shared" si="1"/>
        <v>80855.82</v>
      </c>
      <c r="P3" s="33">
        <f t="shared" si="1"/>
        <v>43989.283</v>
      </c>
      <c r="Q3" s="33">
        <f t="shared" si="1"/>
        <v>8567</v>
      </c>
      <c r="R3" s="34">
        <f t="shared" si="1"/>
        <v>52556.283</v>
      </c>
      <c r="S3" s="33">
        <f t="shared" si="1"/>
        <v>19708.606125</v>
      </c>
      <c r="T3" s="33">
        <f t="shared" si="1"/>
        <v>32847.676875</v>
      </c>
      <c r="U3" s="175">
        <v>32847.676875</v>
      </c>
    </row>
    <row r="4" spans="1:21" s="43" customFormat="1" ht="10.5">
      <c r="A4" s="36"/>
      <c r="B4" s="23"/>
      <c r="C4" s="37" t="s">
        <v>36</v>
      </c>
      <c r="D4" s="38" t="s">
        <v>66</v>
      </c>
      <c r="E4" s="39" t="s">
        <v>34</v>
      </c>
      <c r="F4" s="40"/>
      <c r="G4" s="41">
        <v>47694.4</v>
      </c>
      <c r="H4" s="42">
        <f>Q2/G4</f>
        <v>0.8867645324538452</v>
      </c>
      <c r="J4" s="39" t="s">
        <v>38</v>
      </c>
      <c r="K4" s="45">
        <f>K2-K3</f>
        <v>47694.4</v>
      </c>
      <c r="L4" s="32" t="s">
        <v>30</v>
      </c>
      <c r="M4" s="33">
        <f aca="true" t="shared" si="2" ref="M4:N7">M12+M36+M54+M66+M84+M97+M112</f>
        <v>40645.787</v>
      </c>
      <c r="N4" s="33">
        <f t="shared" si="2"/>
        <v>-1015.1380000000015</v>
      </c>
      <c r="O4" s="34">
        <f>+N4+M4</f>
        <v>39630.649</v>
      </c>
      <c r="P4" s="33">
        <f aca="true" t="shared" si="3" ref="P4:Q7">P12+P36+P54+P66+P84+P97+P112</f>
        <v>26419.76155</v>
      </c>
      <c r="Q4" s="33">
        <f t="shared" si="3"/>
        <v>-659.8397</v>
      </c>
      <c r="R4" s="34">
        <f>+Q4+P4</f>
        <v>25759.92185</v>
      </c>
      <c r="S4" s="33">
        <f>S12+S36+S54+S66+S84+S97+S112</f>
        <v>9659.97069375</v>
      </c>
      <c r="T4" s="33">
        <f>T12+T36+T54+T66+T84+T97+T112</f>
        <v>16099.95115625</v>
      </c>
      <c r="U4" s="175">
        <v>16099.95115625</v>
      </c>
    </row>
    <row r="5" spans="1:23" s="43" customFormat="1" ht="10.5">
      <c r="A5" s="36"/>
      <c r="B5" s="23"/>
      <c r="C5" s="37" t="s">
        <v>214</v>
      </c>
      <c r="D5" s="38" t="s">
        <v>215</v>
      </c>
      <c r="E5" s="39" t="s">
        <v>35</v>
      </c>
      <c r="F5" s="40"/>
      <c r="G5" s="41">
        <f>SUM(G3:G4)</f>
        <v>332966.4</v>
      </c>
      <c r="H5" s="42">
        <f>R2/G5</f>
        <v>0.9384536501280609</v>
      </c>
      <c r="L5" s="32" t="s">
        <v>250</v>
      </c>
      <c r="M5" s="33">
        <f t="shared" si="2"/>
        <v>125578.55166666668</v>
      </c>
      <c r="N5" s="33">
        <f t="shared" si="2"/>
        <v>18958.338333333333</v>
      </c>
      <c r="O5" s="34">
        <f>+N5+M5</f>
        <v>144536.89</v>
      </c>
      <c r="P5" s="33">
        <f t="shared" si="3"/>
        <v>81626.05858333333</v>
      </c>
      <c r="Q5" s="33">
        <f t="shared" si="3"/>
        <v>12322.919916666668</v>
      </c>
      <c r="R5" s="34">
        <f>+Q5+P5</f>
        <v>93948.9785</v>
      </c>
      <c r="S5" s="33">
        <f>S13+S37+S55+S67+S85+S98+S113</f>
        <v>35230.8669375</v>
      </c>
      <c r="T5" s="33">
        <f>T13+T37+T55+T67+T85+T98+T113</f>
        <v>58718.1115625</v>
      </c>
      <c r="U5" s="175">
        <v>58718.1115625</v>
      </c>
      <c r="V5" s="240">
        <f>+G5*0.8</f>
        <v>266373.12000000005</v>
      </c>
      <c r="W5" s="241" t="s">
        <v>283</v>
      </c>
    </row>
    <row r="6" spans="1:21" s="43" customFormat="1" ht="10.5">
      <c r="A6" s="36"/>
      <c r="B6" s="23"/>
      <c r="C6" s="37" t="s">
        <v>279</v>
      </c>
      <c r="D6" s="38" t="s">
        <v>280</v>
      </c>
      <c r="E6" s="39"/>
      <c r="F6" s="40"/>
      <c r="G6" s="41"/>
      <c r="H6" s="42"/>
      <c r="L6" s="32" t="s">
        <v>278</v>
      </c>
      <c r="M6" s="33">
        <f t="shared" si="2"/>
        <v>124332.84999999999</v>
      </c>
      <c r="N6" s="33">
        <f t="shared" si="2"/>
        <v>23454.534</v>
      </c>
      <c r="O6" s="34">
        <f>+N6+M6</f>
        <v>147787.384</v>
      </c>
      <c r="P6" s="33">
        <f t="shared" si="3"/>
        <v>80816.3525</v>
      </c>
      <c r="Q6" s="33">
        <f t="shared" si="3"/>
        <v>15245.447100000001</v>
      </c>
      <c r="R6" s="34">
        <f>+Q6+P6</f>
        <v>96061.7996</v>
      </c>
      <c r="S6" s="239">
        <f>+V2-S5-S4-S3</f>
        <v>35290.476243749996</v>
      </c>
      <c r="T6" s="33">
        <f>+R6-S6</f>
        <v>60771.32335625</v>
      </c>
      <c r="U6" s="175">
        <f>+V5-V2-U3-U4-U5</f>
        <v>58817.460406250066</v>
      </c>
    </row>
    <row r="7" spans="1:21" s="43" customFormat="1" ht="10.5">
      <c r="A7" s="36"/>
      <c r="B7" s="23"/>
      <c r="C7" s="37" t="s">
        <v>287</v>
      </c>
      <c r="D7" s="38" t="s">
        <v>288</v>
      </c>
      <c r="E7" s="46"/>
      <c r="F7" s="40"/>
      <c r="G7" s="41"/>
      <c r="H7" s="47"/>
      <c r="L7" s="32" t="s">
        <v>289</v>
      </c>
      <c r="M7" s="33">
        <f t="shared" si="2"/>
        <v>57428.270000000004</v>
      </c>
      <c r="N7" s="33">
        <f t="shared" si="2"/>
        <v>10489.5</v>
      </c>
      <c r="O7" s="34">
        <f>+N7+M7</f>
        <v>67917.77</v>
      </c>
      <c r="P7" s="33">
        <f t="shared" si="3"/>
        <v>37328.3755</v>
      </c>
      <c r="Q7" s="33">
        <f t="shared" si="3"/>
        <v>6818.175</v>
      </c>
      <c r="R7" s="34">
        <f>+Q7+P7</f>
        <v>44146.550500000005</v>
      </c>
      <c r="S7" s="33">
        <f>S15+S39+S57+S69+S87+S100+S115</f>
        <v>0</v>
      </c>
      <c r="T7" s="33">
        <f>T15+T39+T57+T69+T87+T100+T115</f>
        <v>44146.550500000005</v>
      </c>
      <c r="U7" s="44"/>
    </row>
    <row r="8" spans="1:21" s="43" customFormat="1" ht="10.5">
      <c r="A8" s="36"/>
      <c r="B8" s="48"/>
      <c r="D8" s="38"/>
      <c r="E8" s="46"/>
      <c r="F8" s="40"/>
      <c r="G8" s="40"/>
      <c r="H8" s="47"/>
      <c r="L8" s="32"/>
      <c r="M8" s="33"/>
      <c r="N8" s="33"/>
      <c r="O8" s="34"/>
      <c r="P8" s="33"/>
      <c r="Q8" s="33"/>
      <c r="R8" s="34"/>
      <c r="S8" s="33"/>
      <c r="T8" s="33"/>
      <c r="U8" s="44"/>
    </row>
    <row r="9" spans="1:21" ht="10.5">
      <c r="A9" s="49"/>
      <c r="B9" s="50"/>
      <c r="C9" s="51"/>
      <c r="D9" s="264" t="s">
        <v>6</v>
      </c>
      <c r="E9" s="264"/>
      <c r="F9" s="264"/>
      <c r="G9" s="264"/>
      <c r="H9" s="264"/>
      <c r="I9" s="264"/>
      <c r="J9" s="278" t="s">
        <v>64</v>
      </c>
      <c r="K9" s="279"/>
      <c r="L9" s="279"/>
      <c r="M9" s="278" t="s">
        <v>63</v>
      </c>
      <c r="N9" s="279"/>
      <c r="O9" s="280"/>
      <c r="P9" s="278" t="s">
        <v>21</v>
      </c>
      <c r="Q9" s="279"/>
      <c r="R9" s="280"/>
      <c r="S9" s="52" t="s">
        <v>23</v>
      </c>
      <c r="T9" s="53" t="s">
        <v>24</v>
      </c>
      <c r="U9" s="54"/>
    </row>
    <row r="10" spans="1:21" s="62" customFormat="1" ht="10.5">
      <c r="A10" s="271"/>
      <c r="B10" s="272"/>
      <c r="C10" s="55"/>
      <c r="D10" s="56"/>
      <c r="E10" s="56"/>
      <c r="F10" s="56"/>
      <c r="G10" s="56"/>
      <c r="H10" s="56"/>
      <c r="I10" s="56"/>
      <c r="J10" s="56"/>
      <c r="K10" s="57"/>
      <c r="L10" s="58" t="s">
        <v>12</v>
      </c>
      <c r="M10" s="59">
        <f>72*1000</f>
        <v>72000</v>
      </c>
      <c r="N10" s="59"/>
      <c r="O10" s="60">
        <f>+N10+M10</f>
        <v>72000</v>
      </c>
      <c r="P10" s="59"/>
      <c r="Q10" s="59">
        <f>N10*0.65</f>
        <v>0</v>
      </c>
      <c r="R10" s="61">
        <f>+Q10+P10</f>
        <v>0</v>
      </c>
      <c r="U10" s="63"/>
    </row>
    <row r="11" spans="1:21" s="62" customFormat="1" ht="10.5">
      <c r="A11" s="271"/>
      <c r="B11" s="272"/>
      <c r="C11" s="64"/>
      <c r="D11" s="65"/>
      <c r="E11" s="65"/>
      <c r="F11" s="65"/>
      <c r="G11" s="65"/>
      <c r="H11" s="65"/>
      <c r="I11" s="65"/>
      <c r="J11" s="65"/>
      <c r="K11" s="66">
        <f>SUM(Q18:Q31)</f>
        <v>0</v>
      </c>
      <c r="L11" s="67" t="s">
        <v>26</v>
      </c>
      <c r="M11" s="66"/>
      <c r="N11" s="66"/>
      <c r="O11" s="68"/>
      <c r="P11" s="66"/>
      <c r="Q11" s="66"/>
      <c r="R11" s="68"/>
      <c r="S11" s="69">
        <f>R11*0.375</f>
        <v>0</v>
      </c>
      <c r="T11" s="69">
        <f>R11-S11</f>
        <v>0</v>
      </c>
      <c r="U11" s="70"/>
    </row>
    <row r="12" spans="1:21" s="62" customFormat="1" ht="10.5">
      <c r="A12" s="271"/>
      <c r="B12" s="272"/>
      <c r="C12" s="64"/>
      <c r="D12" s="65"/>
      <c r="E12" s="65"/>
      <c r="F12" s="65"/>
      <c r="G12" s="65"/>
      <c r="H12" s="65"/>
      <c r="I12" s="65"/>
      <c r="J12" s="65"/>
      <c r="K12" s="71"/>
      <c r="L12" s="67" t="s">
        <v>27</v>
      </c>
      <c r="M12" s="66">
        <f>SUM(M18:M22)</f>
        <v>23994.620000000003</v>
      </c>
      <c r="N12" s="66">
        <f>SUM(N18:N22)</f>
        <v>0</v>
      </c>
      <c r="O12" s="68">
        <f>+N12+M12</f>
        <v>23994.620000000003</v>
      </c>
      <c r="P12" s="66">
        <f>SUM(P18:P22)</f>
        <v>15596.503</v>
      </c>
      <c r="Q12" s="66"/>
      <c r="R12" s="68">
        <f>+Q12+P12</f>
        <v>15596.503</v>
      </c>
      <c r="S12" s="69">
        <f>R12*0.375</f>
        <v>5848.688625000001</v>
      </c>
      <c r="T12" s="69">
        <f>R12-S12</f>
        <v>9747.814375</v>
      </c>
      <c r="U12" s="70"/>
    </row>
    <row r="13" spans="1:21" s="62" customFormat="1" ht="10.5">
      <c r="A13" s="271"/>
      <c r="B13" s="272"/>
      <c r="C13" s="64"/>
      <c r="D13" s="65"/>
      <c r="E13" s="65"/>
      <c r="F13" s="65"/>
      <c r="G13" s="65"/>
      <c r="H13" s="65"/>
      <c r="I13" s="65"/>
      <c r="J13" s="65"/>
      <c r="K13" s="71"/>
      <c r="L13" s="67" t="s">
        <v>249</v>
      </c>
      <c r="M13" s="66">
        <f>SUM(M23:M27)</f>
        <v>33289.54</v>
      </c>
      <c r="N13" s="66"/>
      <c r="O13" s="68">
        <f>+N13+M13</f>
        <v>33289.54</v>
      </c>
      <c r="P13" s="66">
        <f>SUM(P23:P27)</f>
        <v>21638.201</v>
      </c>
      <c r="Q13" s="66"/>
      <c r="R13" s="68">
        <f>+Q13+P13</f>
        <v>21638.201</v>
      </c>
      <c r="S13" s="69">
        <f>R13*0.375</f>
        <v>8114.325375</v>
      </c>
      <c r="T13" s="69">
        <f>R13-S13</f>
        <v>13523.875625</v>
      </c>
      <c r="U13" s="70"/>
    </row>
    <row r="14" spans="1:21" s="62" customFormat="1" ht="10.5">
      <c r="A14" s="271"/>
      <c r="B14" s="272"/>
      <c r="C14" s="64"/>
      <c r="D14" s="65"/>
      <c r="E14" s="65"/>
      <c r="F14" s="65"/>
      <c r="G14" s="65"/>
      <c r="H14" s="65"/>
      <c r="I14" s="65"/>
      <c r="J14" s="65"/>
      <c r="K14" s="71"/>
      <c r="L14" s="67" t="s">
        <v>276</v>
      </c>
      <c r="M14" s="66">
        <f>+M28</f>
        <v>7060.18</v>
      </c>
      <c r="N14" s="66"/>
      <c r="O14" s="68">
        <f>+N14+M14</f>
        <v>7060.18</v>
      </c>
      <c r="P14" s="66">
        <f>+P28</f>
        <v>4589.117</v>
      </c>
      <c r="Q14" s="66"/>
      <c r="R14" s="68">
        <f>+Q14+P14</f>
        <v>4589.117</v>
      </c>
      <c r="S14" s="69">
        <f>R14*0.375</f>
        <v>1720.918875</v>
      </c>
      <c r="T14" s="69">
        <f>R14-S14</f>
        <v>2868.198125</v>
      </c>
      <c r="U14" s="70"/>
    </row>
    <row r="15" spans="1:21" s="62" customFormat="1" ht="10.5">
      <c r="A15" s="271"/>
      <c r="B15" s="272"/>
      <c r="C15" s="64"/>
      <c r="D15" s="65"/>
      <c r="E15" s="65"/>
      <c r="F15" s="65"/>
      <c r="G15" s="65"/>
      <c r="H15" s="65"/>
      <c r="I15" s="65"/>
      <c r="J15" s="65"/>
      <c r="K15" s="71"/>
      <c r="L15" s="67" t="s">
        <v>290</v>
      </c>
      <c r="M15" s="66">
        <f>+M29</f>
        <v>4980.77</v>
      </c>
      <c r="N15" s="66"/>
      <c r="O15" s="68">
        <f>+N15+M15</f>
        <v>4980.77</v>
      </c>
      <c r="P15" s="66">
        <f>+P29</f>
        <v>3237.5005000000006</v>
      </c>
      <c r="Q15" s="66"/>
      <c r="R15" s="68">
        <f>+Q15+P15</f>
        <v>3237.5005000000006</v>
      </c>
      <c r="S15" s="69"/>
      <c r="T15" s="69">
        <f>R15-S15</f>
        <v>3237.5005000000006</v>
      </c>
      <c r="U15" s="70"/>
    </row>
    <row r="16" spans="1:21" s="62" customFormat="1" ht="10.5">
      <c r="A16" s="273"/>
      <c r="B16" s="274"/>
      <c r="C16" s="72"/>
      <c r="D16" s="73"/>
      <c r="E16" s="73"/>
      <c r="F16" s="73"/>
      <c r="G16" s="73"/>
      <c r="H16" s="73"/>
      <c r="I16" s="73"/>
      <c r="J16" s="73"/>
      <c r="K16" s="74"/>
      <c r="L16" s="75" t="s">
        <v>13</v>
      </c>
      <c r="M16" s="76">
        <f>+M10-M11-M12-M13-M14-M15</f>
        <v>2674.889999999996</v>
      </c>
      <c r="N16" s="76">
        <f>N10-N11-N12</f>
        <v>0</v>
      </c>
      <c r="O16" s="68"/>
      <c r="P16" s="76"/>
      <c r="Q16" s="76"/>
      <c r="R16" s="68"/>
      <c r="S16" s="78"/>
      <c r="T16" s="78"/>
      <c r="U16" s="63"/>
    </row>
    <row r="17" spans="1:21" ht="32.25" customHeight="1">
      <c r="A17" s="79" t="s">
        <v>14</v>
      </c>
      <c r="B17" s="79" t="s">
        <v>11</v>
      </c>
      <c r="C17" s="80" t="s">
        <v>22</v>
      </c>
      <c r="D17" s="80" t="s">
        <v>19</v>
      </c>
      <c r="E17" s="81" t="s">
        <v>2</v>
      </c>
      <c r="F17" s="80" t="s">
        <v>18</v>
      </c>
      <c r="G17" s="80" t="s">
        <v>17</v>
      </c>
      <c r="H17" s="81" t="s">
        <v>16</v>
      </c>
      <c r="I17" s="81" t="s">
        <v>15</v>
      </c>
      <c r="J17" s="80" t="s">
        <v>3</v>
      </c>
      <c r="K17" s="80" t="s">
        <v>4</v>
      </c>
      <c r="L17" s="82" t="s">
        <v>5</v>
      </c>
      <c r="M17" s="79" t="s">
        <v>20</v>
      </c>
      <c r="N17" s="79" t="s">
        <v>39</v>
      </c>
      <c r="O17" s="82" t="s">
        <v>40</v>
      </c>
      <c r="P17" s="79" t="s">
        <v>21</v>
      </c>
      <c r="Q17" s="79" t="s">
        <v>41</v>
      </c>
      <c r="R17" s="82" t="s">
        <v>42</v>
      </c>
      <c r="S17" s="281" t="s">
        <v>25</v>
      </c>
      <c r="T17" s="281"/>
      <c r="U17" s="4"/>
    </row>
    <row r="18" spans="1:20" ht="33" customHeight="1">
      <c r="A18" s="1" t="s">
        <v>67</v>
      </c>
      <c r="B18" s="2"/>
      <c r="C18" s="3" t="s">
        <v>48</v>
      </c>
      <c r="D18" s="83" t="s">
        <v>68</v>
      </c>
      <c r="E18" s="84"/>
      <c r="F18" s="84"/>
      <c r="G18" s="85"/>
      <c r="H18" s="85"/>
      <c r="I18" s="85"/>
      <c r="J18" s="148">
        <v>14705.52</v>
      </c>
      <c r="K18" s="86"/>
      <c r="L18" s="87">
        <f aca="true" t="shared" si="4" ref="L18:L29">+K18+J18</f>
        <v>14705.52</v>
      </c>
      <c r="M18" s="88">
        <f>25.89*568</f>
        <v>14705.52</v>
      </c>
      <c r="N18" s="88"/>
      <c r="O18" s="87">
        <f aca="true" t="shared" si="5" ref="O18:O29">+N18+M18</f>
        <v>14705.52</v>
      </c>
      <c r="P18" s="88">
        <f aca="true" t="shared" si="6" ref="P18:P27">+M18*0.65</f>
        <v>9558.588</v>
      </c>
      <c r="Q18" s="88"/>
      <c r="R18" s="87">
        <f aca="true" t="shared" si="7" ref="R18:R27">+Q18+P18</f>
        <v>9558.588</v>
      </c>
      <c r="S18" s="89"/>
      <c r="T18" s="89"/>
    </row>
    <row r="19" spans="1:20" ht="31.5" customHeight="1">
      <c r="A19" s="1" t="s">
        <v>67</v>
      </c>
      <c r="B19" s="2"/>
      <c r="C19" s="3" t="s">
        <v>86</v>
      </c>
      <c r="D19" s="90" t="s">
        <v>85</v>
      </c>
      <c r="E19" s="91"/>
      <c r="F19" s="91"/>
      <c r="G19" s="92"/>
      <c r="H19" s="92"/>
      <c r="I19" s="92"/>
      <c r="J19" s="148">
        <v>2975</v>
      </c>
      <c r="K19" s="93"/>
      <c r="L19" s="87">
        <f t="shared" si="4"/>
        <v>2975</v>
      </c>
      <c r="M19" s="88">
        <f>21.25*140</f>
        <v>2975</v>
      </c>
      <c r="N19" s="88"/>
      <c r="O19" s="87">
        <f t="shared" si="5"/>
        <v>2975</v>
      </c>
      <c r="P19" s="88">
        <f t="shared" si="6"/>
        <v>1933.75</v>
      </c>
      <c r="Q19" s="88"/>
      <c r="R19" s="87">
        <f t="shared" si="7"/>
        <v>1933.75</v>
      </c>
      <c r="S19" s="89"/>
      <c r="T19" s="89"/>
    </row>
    <row r="20" spans="1:20" ht="31.5" customHeight="1">
      <c r="A20" s="1" t="s">
        <v>67</v>
      </c>
      <c r="B20" s="2"/>
      <c r="C20" s="3" t="s">
        <v>87</v>
      </c>
      <c r="D20" s="90" t="s">
        <v>88</v>
      </c>
      <c r="E20" s="91"/>
      <c r="F20" s="91"/>
      <c r="G20" s="92"/>
      <c r="H20" s="92"/>
      <c r="I20" s="92"/>
      <c r="J20" s="148">
        <v>2819.34</v>
      </c>
      <c r="K20" s="93"/>
      <c r="L20" s="87">
        <f t="shared" si="4"/>
        <v>2819.34</v>
      </c>
      <c r="M20" s="88">
        <f>20.43*138</f>
        <v>2819.34</v>
      </c>
      <c r="N20" s="88"/>
      <c r="O20" s="87">
        <f t="shared" si="5"/>
        <v>2819.34</v>
      </c>
      <c r="P20" s="88">
        <f t="shared" si="6"/>
        <v>1832.5710000000001</v>
      </c>
      <c r="Q20" s="88"/>
      <c r="R20" s="87">
        <f t="shared" si="7"/>
        <v>1832.5710000000001</v>
      </c>
      <c r="S20" s="89"/>
      <c r="T20" s="89"/>
    </row>
    <row r="21" spans="1:20" ht="31.5" customHeight="1">
      <c r="A21" s="1" t="s">
        <v>67</v>
      </c>
      <c r="B21" s="2"/>
      <c r="C21" s="3" t="s">
        <v>93</v>
      </c>
      <c r="D21" s="90" t="s">
        <v>94</v>
      </c>
      <c r="E21" s="91"/>
      <c r="F21" s="91"/>
      <c r="G21" s="92"/>
      <c r="H21" s="92"/>
      <c r="I21" s="92"/>
      <c r="J21" s="148">
        <v>214.56</v>
      </c>
      <c r="K21" s="93"/>
      <c r="L21" s="87">
        <f t="shared" si="4"/>
        <v>214.56</v>
      </c>
      <c r="M21" s="88">
        <f>8.94*24</f>
        <v>214.56</v>
      </c>
      <c r="N21" s="88"/>
      <c r="O21" s="87">
        <f t="shared" si="5"/>
        <v>214.56</v>
      </c>
      <c r="P21" s="88">
        <f t="shared" si="6"/>
        <v>139.464</v>
      </c>
      <c r="Q21" s="88"/>
      <c r="R21" s="87">
        <f t="shared" si="7"/>
        <v>139.464</v>
      </c>
      <c r="S21" s="89"/>
      <c r="T21" s="89"/>
    </row>
    <row r="22" spans="1:20" ht="31.5" customHeight="1">
      <c r="A22" s="1" t="s">
        <v>67</v>
      </c>
      <c r="B22" s="2"/>
      <c r="C22" s="3" t="s">
        <v>95</v>
      </c>
      <c r="D22" s="90" t="s">
        <v>96</v>
      </c>
      <c r="E22" s="91"/>
      <c r="F22" s="91"/>
      <c r="G22" s="92"/>
      <c r="H22" s="92"/>
      <c r="I22" s="92"/>
      <c r="J22" s="148">
        <v>3280.2</v>
      </c>
      <c r="K22" s="93"/>
      <c r="L22" s="87">
        <f t="shared" si="4"/>
        <v>3280.2</v>
      </c>
      <c r="M22" s="88">
        <f>23.43*140</f>
        <v>3280.2</v>
      </c>
      <c r="N22" s="88"/>
      <c r="O22" s="87">
        <f t="shared" si="5"/>
        <v>3280.2</v>
      </c>
      <c r="P22" s="88">
        <f t="shared" si="6"/>
        <v>2132.13</v>
      </c>
      <c r="Q22" s="88"/>
      <c r="R22" s="87">
        <f t="shared" si="7"/>
        <v>2132.13</v>
      </c>
      <c r="S22" s="89"/>
      <c r="T22" s="89"/>
    </row>
    <row r="23" spans="1:20" ht="31.5" customHeight="1">
      <c r="A23" s="1" t="s">
        <v>217</v>
      </c>
      <c r="B23" s="2"/>
      <c r="C23" s="3" t="s">
        <v>48</v>
      </c>
      <c r="D23" s="83" t="s">
        <v>68</v>
      </c>
      <c r="E23" s="91"/>
      <c r="F23" s="91"/>
      <c r="G23" s="92"/>
      <c r="H23" s="92"/>
      <c r="I23" s="92"/>
      <c r="J23" s="201">
        <v>10954.36</v>
      </c>
      <c r="K23" s="93"/>
      <c r="L23" s="87">
        <f t="shared" si="4"/>
        <v>10954.36</v>
      </c>
      <c r="M23" s="201">
        <v>10954.36</v>
      </c>
      <c r="N23" s="88"/>
      <c r="O23" s="87">
        <f t="shared" si="5"/>
        <v>10954.36</v>
      </c>
      <c r="P23" s="88">
        <f t="shared" si="6"/>
        <v>7120.334000000001</v>
      </c>
      <c r="Q23" s="88"/>
      <c r="R23" s="87">
        <f t="shared" si="7"/>
        <v>7120.334000000001</v>
      </c>
      <c r="S23" s="89"/>
      <c r="T23" s="89"/>
    </row>
    <row r="24" spans="1:20" ht="31.5" customHeight="1">
      <c r="A24" s="1" t="s">
        <v>217</v>
      </c>
      <c r="B24" s="2"/>
      <c r="C24" s="3" t="s">
        <v>86</v>
      </c>
      <c r="D24" s="90" t="s">
        <v>85</v>
      </c>
      <c r="E24" s="91"/>
      <c r="F24" s="91"/>
      <c r="G24" s="92"/>
      <c r="H24" s="92"/>
      <c r="I24" s="92"/>
      <c r="J24" s="201">
        <v>8536.68</v>
      </c>
      <c r="K24" s="93"/>
      <c r="L24" s="87">
        <f t="shared" si="4"/>
        <v>8536.68</v>
      </c>
      <c r="M24" s="201">
        <v>8536.68</v>
      </c>
      <c r="N24" s="88"/>
      <c r="O24" s="87">
        <f t="shared" si="5"/>
        <v>8536.68</v>
      </c>
      <c r="P24" s="88">
        <f t="shared" si="6"/>
        <v>5548.842000000001</v>
      </c>
      <c r="Q24" s="88"/>
      <c r="R24" s="87">
        <f t="shared" si="7"/>
        <v>5548.842000000001</v>
      </c>
      <c r="S24" s="89"/>
      <c r="T24" s="89"/>
    </row>
    <row r="25" spans="1:20" ht="31.5" customHeight="1">
      <c r="A25" s="1" t="s">
        <v>217</v>
      </c>
      <c r="B25" s="2"/>
      <c r="C25" s="3" t="s">
        <v>87</v>
      </c>
      <c r="D25" s="90" t="s">
        <v>88</v>
      </c>
      <c r="E25" s="91"/>
      <c r="F25" s="91"/>
      <c r="G25" s="92"/>
      <c r="H25" s="92"/>
      <c r="I25" s="92"/>
      <c r="J25" s="201">
        <v>6096.6</v>
      </c>
      <c r="K25" s="93"/>
      <c r="L25" s="87">
        <f t="shared" si="4"/>
        <v>6096.6</v>
      </c>
      <c r="M25" s="201">
        <v>6096.6</v>
      </c>
      <c r="N25" s="88"/>
      <c r="O25" s="87">
        <f t="shared" si="5"/>
        <v>6096.6</v>
      </c>
      <c r="P25" s="88">
        <f t="shared" si="6"/>
        <v>3962.7900000000004</v>
      </c>
      <c r="Q25" s="88"/>
      <c r="R25" s="87">
        <f t="shared" si="7"/>
        <v>3962.7900000000004</v>
      </c>
      <c r="S25" s="89"/>
      <c r="T25" s="89"/>
    </row>
    <row r="26" spans="1:20" ht="31.5" customHeight="1">
      <c r="A26" s="1" t="s">
        <v>217</v>
      </c>
      <c r="B26" s="2"/>
      <c r="C26" s="3" t="s">
        <v>93</v>
      </c>
      <c r="D26" s="90" t="s">
        <v>94</v>
      </c>
      <c r="E26" s="91"/>
      <c r="F26" s="91"/>
      <c r="G26" s="92"/>
      <c r="H26" s="92"/>
      <c r="I26" s="92"/>
      <c r="J26" s="201">
        <v>4939.14</v>
      </c>
      <c r="K26" s="93"/>
      <c r="L26" s="87">
        <f t="shared" si="4"/>
        <v>4939.14</v>
      </c>
      <c r="M26" s="201">
        <v>4939.14</v>
      </c>
      <c r="N26" s="88"/>
      <c r="O26" s="87">
        <f t="shared" si="5"/>
        <v>4939.14</v>
      </c>
      <c r="P26" s="88">
        <f t="shared" si="6"/>
        <v>3210.4410000000003</v>
      </c>
      <c r="Q26" s="88"/>
      <c r="R26" s="87">
        <f t="shared" si="7"/>
        <v>3210.4410000000003</v>
      </c>
      <c r="S26" s="89"/>
      <c r="T26" s="89"/>
    </row>
    <row r="27" spans="1:20" ht="42">
      <c r="A27" s="1" t="s">
        <v>217</v>
      </c>
      <c r="B27" s="2"/>
      <c r="C27" s="3" t="s">
        <v>95</v>
      </c>
      <c r="D27" s="90" t="s">
        <v>96</v>
      </c>
      <c r="E27" s="91"/>
      <c r="F27" s="91"/>
      <c r="G27" s="92"/>
      <c r="H27" s="92"/>
      <c r="I27" s="92"/>
      <c r="J27" s="201">
        <v>2762.76</v>
      </c>
      <c r="K27" s="93"/>
      <c r="L27" s="87">
        <f t="shared" si="4"/>
        <v>2762.76</v>
      </c>
      <c r="M27" s="201">
        <v>2762.76</v>
      </c>
      <c r="N27" s="88"/>
      <c r="O27" s="87">
        <f t="shared" si="5"/>
        <v>2762.76</v>
      </c>
      <c r="P27" s="88">
        <f t="shared" si="6"/>
        <v>1795.794</v>
      </c>
      <c r="Q27" s="88"/>
      <c r="R27" s="87">
        <f t="shared" si="7"/>
        <v>1795.794</v>
      </c>
      <c r="S27" s="89"/>
      <c r="T27" s="89"/>
    </row>
    <row r="28" spans="1:20" ht="33.75" customHeight="1">
      <c r="A28" s="1" t="s">
        <v>254</v>
      </c>
      <c r="B28" s="2"/>
      <c r="C28" s="3" t="s">
        <v>48</v>
      </c>
      <c r="D28" s="83" t="s">
        <v>68</v>
      </c>
      <c r="E28" s="91"/>
      <c r="F28" s="91"/>
      <c r="G28" s="92"/>
      <c r="H28" s="92"/>
      <c r="I28" s="92"/>
      <c r="J28" s="201">
        <v>7060.18</v>
      </c>
      <c r="K28" s="93"/>
      <c r="L28" s="87">
        <f t="shared" si="4"/>
        <v>7060.18</v>
      </c>
      <c r="M28" s="201">
        <v>7060.18</v>
      </c>
      <c r="N28" s="93"/>
      <c r="O28" s="87">
        <f t="shared" si="5"/>
        <v>7060.18</v>
      </c>
      <c r="P28" s="88">
        <f>+M28*0.65</f>
        <v>4589.117</v>
      </c>
      <c r="Q28" s="88"/>
      <c r="R28" s="87">
        <f>+Q28+P28</f>
        <v>4589.117</v>
      </c>
      <c r="S28" s="89"/>
      <c r="T28" s="89"/>
    </row>
    <row r="29" spans="1:20" ht="33.75" customHeight="1">
      <c r="A29" s="1" t="s">
        <v>291</v>
      </c>
      <c r="B29" s="2"/>
      <c r="C29" s="3" t="s">
        <v>48</v>
      </c>
      <c r="D29" s="83" t="s">
        <v>68</v>
      </c>
      <c r="E29" s="91"/>
      <c r="F29" s="91"/>
      <c r="G29" s="92"/>
      <c r="H29" s="92"/>
      <c r="I29" s="92"/>
      <c r="J29" s="201">
        <v>4980.77</v>
      </c>
      <c r="K29" s="93"/>
      <c r="L29" s="87">
        <f t="shared" si="4"/>
        <v>4980.77</v>
      </c>
      <c r="M29" s="201">
        <v>4980.77</v>
      </c>
      <c r="N29" s="93"/>
      <c r="O29" s="87">
        <f t="shared" si="5"/>
        <v>4980.77</v>
      </c>
      <c r="P29" s="88">
        <f>+M29*0.65</f>
        <v>3237.5005000000006</v>
      </c>
      <c r="Q29" s="88"/>
      <c r="R29" s="87">
        <f>+Q29+P29</f>
        <v>3237.5005000000006</v>
      </c>
      <c r="S29" s="288" t="s">
        <v>292</v>
      </c>
      <c r="T29" s="289"/>
    </row>
    <row r="30" spans="1:20" ht="33.75" customHeight="1">
      <c r="A30" s="1"/>
      <c r="B30" s="2"/>
      <c r="C30" s="245"/>
      <c r="D30" s="90"/>
      <c r="E30" s="91"/>
      <c r="F30" s="91"/>
      <c r="G30" s="92"/>
      <c r="H30" s="92"/>
      <c r="I30" s="92"/>
      <c r="J30" s="201"/>
      <c r="K30" s="93"/>
      <c r="L30" s="87"/>
      <c r="M30" s="201"/>
      <c r="N30" s="93"/>
      <c r="O30" s="87"/>
      <c r="P30" s="88"/>
      <c r="Q30" s="88"/>
      <c r="R30" s="87"/>
      <c r="S30" s="89"/>
      <c r="T30" s="89"/>
    </row>
    <row r="31" spans="1:21" ht="10.5">
      <c r="A31" s="94"/>
      <c r="B31" s="2"/>
      <c r="C31" s="95"/>
      <c r="D31" s="95"/>
      <c r="E31" s="95"/>
      <c r="F31" s="95"/>
      <c r="G31" s="96"/>
      <c r="H31" s="97"/>
      <c r="I31" s="97"/>
      <c r="J31" s="88"/>
      <c r="K31" s="88"/>
      <c r="L31" s="87"/>
      <c r="M31" s="88"/>
      <c r="N31" s="88"/>
      <c r="O31" s="87"/>
      <c r="P31" s="88"/>
      <c r="Q31" s="88"/>
      <c r="R31" s="87"/>
      <c r="S31" s="287"/>
      <c r="T31" s="287"/>
      <c r="U31" s="4"/>
    </row>
    <row r="32" ht="10.5">
      <c r="U32" s="4"/>
    </row>
    <row r="33" spans="1:21" ht="10.5">
      <c r="A33" s="100"/>
      <c r="B33" s="101"/>
      <c r="C33" s="101"/>
      <c r="D33" s="264" t="s">
        <v>7</v>
      </c>
      <c r="E33" s="264"/>
      <c r="F33" s="264"/>
      <c r="G33" s="264"/>
      <c r="H33" s="264"/>
      <c r="I33" s="264"/>
      <c r="J33" s="278" t="s">
        <v>64</v>
      </c>
      <c r="K33" s="279"/>
      <c r="L33" s="279"/>
      <c r="M33" s="278" t="s">
        <v>63</v>
      </c>
      <c r="N33" s="279"/>
      <c r="O33" s="280"/>
      <c r="P33" s="278" t="s">
        <v>21</v>
      </c>
      <c r="Q33" s="279"/>
      <c r="R33" s="280"/>
      <c r="S33" s="52" t="s">
        <v>23</v>
      </c>
      <c r="T33" s="53" t="s">
        <v>24</v>
      </c>
      <c r="U33" s="4"/>
    </row>
    <row r="34" spans="1:22" ht="10.5">
      <c r="A34" s="290"/>
      <c r="B34" s="291"/>
      <c r="C34" s="275"/>
      <c r="D34" s="276"/>
      <c r="E34" s="276"/>
      <c r="F34" s="276"/>
      <c r="G34" s="276"/>
      <c r="H34" s="276"/>
      <c r="I34" s="276"/>
      <c r="J34" s="276"/>
      <c r="K34" s="277"/>
      <c r="L34" s="102" t="s">
        <v>12</v>
      </c>
      <c r="M34" s="59">
        <f>59.5*1000</f>
        <v>59500</v>
      </c>
      <c r="N34" s="59"/>
      <c r="O34" s="60"/>
      <c r="P34" s="59"/>
      <c r="Q34" s="59"/>
      <c r="R34" s="60"/>
      <c r="S34" s="103"/>
      <c r="T34" s="103"/>
      <c r="U34" s="4"/>
      <c r="V34" s="4"/>
    </row>
    <row r="35" spans="1:22" ht="10.5">
      <c r="A35" s="271"/>
      <c r="B35" s="272"/>
      <c r="C35" s="64"/>
      <c r="D35" s="65"/>
      <c r="E35" s="65"/>
      <c r="F35" s="65"/>
      <c r="G35" s="65"/>
      <c r="H35" s="65"/>
      <c r="I35" s="65"/>
      <c r="J35" s="65"/>
      <c r="K35" s="66"/>
      <c r="L35" s="104" t="s">
        <v>26</v>
      </c>
      <c r="M35" s="66">
        <f aca="true" t="shared" si="8" ref="M35:R35">SUM(M42)</f>
        <v>26000</v>
      </c>
      <c r="N35" s="66">
        <f t="shared" si="8"/>
        <v>5200</v>
      </c>
      <c r="O35" s="68">
        <f t="shared" si="8"/>
        <v>31200</v>
      </c>
      <c r="P35" s="66">
        <f t="shared" si="8"/>
        <v>16900</v>
      </c>
      <c r="Q35" s="66">
        <f t="shared" si="8"/>
        <v>3380</v>
      </c>
      <c r="R35" s="68">
        <f t="shared" si="8"/>
        <v>20280</v>
      </c>
      <c r="S35" s="69">
        <f>R35*0.375</f>
        <v>7605</v>
      </c>
      <c r="T35" s="69">
        <f>R35-S35</f>
        <v>12675</v>
      </c>
      <c r="U35" s="4"/>
      <c r="V35" s="4"/>
    </row>
    <row r="36" spans="1:22" ht="10.5">
      <c r="A36" s="271"/>
      <c r="B36" s="272"/>
      <c r="C36" s="64"/>
      <c r="D36" s="65"/>
      <c r="E36" s="65"/>
      <c r="F36" s="105"/>
      <c r="G36" s="106"/>
      <c r="H36" s="65"/>
      <c r="I36" s="65"/>
      <c r="J36" s="65"/>
      <c r="K36" s="71"/>
      <c r="L36" s="104" t="s">
        <v>27</v>
      </c>
      <c r="M36" s="66">
        <f>SUM(M43:M44)</f>
        <v>7000</v>
      </c>
      <c r="N36" s="66">
        <f>SUM(N43:N44)</f>
        <v>-2800</v>
      </c>
      <c r="O36" s="68">
        <f>+N36+M36</f>
        <v>4200</v>
      </c>
      <c r="P36" s="66">
        <f>SUM(P43:P44)</f>
        <v>4550</v>
      </c>
      <c r="Q36" s="66">
        <f>SUM(Q43:Q44)</f>
        <v>-1820</v>
      </c>
      <c r="R36" s="68">
        <f>+Q36+P36</f>
        <v>2730</v>
      </c>
      <c r="S36" s="69">
        <f>R36*0.375</f>
        <v>1023.75</v>
      </c>
      <c r="T36" s="69">
        <f>R36-S36</f>
        <v>1706.25</v>
      </c>
      <c r="U36" s="4"/>
      <c r="V36" s="4"/>
    </row>
    <row r="37" spans="1:22" ht="10.5">
      <c r="A37" s="271"/>
      <c r="B37" s="272"/>
      <c r="C37" s="64"/>
      <c r="D37" s="65"/>
      <c r="E37" s="65"/>
      <c r="F37" s="65"/>
      <c r="G37" s="65"/>
      <c r="H37" s="65"/>
      <c r="I37" s="65"/>
      <c r="J37" s="65"/>
      <c r="K37" s="71"/>
      <c r="L37" s="104" t="s">
        <v>249</v>
      </c>
      <c r="M37" s="66">
        <f>+M45</f>
        <v>7000</v>
      </c>
      <c r="N37" s="66">
        <f>+N45</f>
        <v>1400</v>
      </c>
      <c r="O37" s="68">
        <f>+N37+M37</f>
        <v>8400</v>
      </c>
      <c r="P37" s="66">
        <f>+P45</f>
        <v>4550</v>
      </c>
      <c r="Q37" s="66">
        <f>+Q45</f>
        <v>910</v>
      </c>
      <c r="R37" s="68">
        <f>+Q37+P37</f>
        <v>5460</v>
      </c>
      <c r="S37" s="69">
        <f>R37*0.375</f>
        <v>2047.5</v>
      </c>
      <c r="T37" s="69">
        <f>R37-S37</f>
        <v>3412.5</v>
      </c>
      <c r="U37" s="4"/>
      <c r="V37" s="4"/>
    </row>
    <row r="38" spans="1:22" ht="10.5">
      <c r="A38" s="271"/>
      <c r="B38" s="272"/>
      <c r="C38" s="64"/>
      <c r="D38" s="65"/>
      <c r="E38" s="65"/>
      <c r="F38" s="65"/>
      <c r="G38" s="65"/>
      <c r="H38" s="65"/>
      <c r="I38" s="65"/>
      <c r="J38" s="65"/>
      <c r="K38" s="71"/>
      <c r="L38" s="104" t="s">
        <v>276</v>
      </c>
      <c r="M38" s="66">
        <f>SUM(M46:M47)</f>
        <v>0</v>
      </c>
      <c r="N38" s="66">
        <f>SUM(N46:N47)</f>
        <v>0</v>
      </c>
      <c r="O38" s="68">
        <f>+N38+M38</f>
        <v>0</v>
      </c>
      <c r="P38" s="66">
        <f>SUM(P46:P47)</f>
        <v>0</v>
      </c>
      <c r="Q38" s="66">
        <f>SUM(Q46:Q47)</f>
        <v>0</v>
      </c>
      <c r="R38" s="68">
        <f>+Q38+P38</f>
        <v>0</v>
      </c>
      <c r="S38" s="69">
        <f>R38*0.375</f>
        <v>0</v>
      </c>
      <c r="T38" s="69">
        <f>R38-S38</f>
        <v>0</v>
      </c>
      <c r="U38" s="4"/>
      <c r="V38" s="4"/>
    </row>
    <row r="39" spans="1:22" ht="10.5">
      <c r="A39" s="271"/>
      <c r="B39" s="272"/>
      <c r="C39" s="64"/>
      <c r="D39" s="65"/>
      <c r="E39" s="65"/>
      <c r="F39" s="65"/>
      <c r="G39" s="65"/>
      <c r="H39" s="65"/>
      <c r="I39" s="65"/>
      <c r="J39" s="65"/>
      <c r="K39" s="71"/>
      <c r="L39" s="104" t="s">
        <v>290</v>
      </c>
      <c r="M39" s="66">
        <f>SUM(M48)</f>
        <v>1750</v>
      </c>
      <c r="N39" s="66">
        <f>SUM(N48)</f>
        <v>350</v>
      </c>
      <c r="O39" s="68">
        <f>+N39+M39</f>
        <v>2100</v>
      </c>
      <c r="P39" s="66">
        <f>SUM(P48)</f>
        <v>1137.5</v>
      </c>
      <c r="Q39" s="66">
        <f>SUM(Q48)</f>
        <v>227.5</v>
      </c>
      <c r="R39" s="68">
        <f>+Q39+P39</f>
        <v>1365</v>
      </c>
      <c r="S39" s="69"/>
      <c r="T39" s="69">
        <f>R39-S39</f>
        <v>1365</v>
      </c>
      <c r="U39" s="4"/>
      <c r="V39" s="4"/>
    </row>
    <row r="40" spans="1:22" ht="10.5">
      <c r="A40" s="273"/>
      <c r="B40" s="274"/>
      <c r="C40" s="268"/>
      <c r="D40" s="269"/>
      <c r="E40" s="269"/>
      <c r="F40" s="269"/>
      <c r="G40" s="269"/>
      <c r="H40" s="269"/>
      <c r="I40" s="269"/>
      <c r="J40" s="269"/>
      <c r="K40" s="270"/>
      <c r="L40" s="109" t="s">
        <v>13</v>
      </c>
      <c r="M40" s="76">
        <f>M34-M35-M36-M37-M38-M39</f>
        <v>17750</v>
      </c>
      <c r="N40" s="76"/>
      <c r="O40" s="76"/>
      <c r="P40" s="76"/>
      <c r="Q40" s="76"/>
      <c r="R40" s="76"/>
      <c r="S40" s="78"/>
      <c r="T40" s="62"/>
      <c r="U40" s="4"/>
      <c r="V40" s="4"/>
    </row>
    <row r="41" spans="1:21" ht="21">
      <c r="A41" s="79" t="s">
        <v>14</v>
      </c>
      <c r="B41" s="79" t="s">
        <v>11</v>
      </c>
      <c r="C41" s="80" t="s">
        <v>22</v>
      </c>
      <c r="D41" s="80" t="s">
        <v>19</v>
      </c>
      <c r="E41" s="81" t="s">
        <v>2</v>
      </c>
      <c r="F41" s="80" t="s">
        <v>18</v>
      </c>
      <c r="G41" s="80" t="s">
        <v>17</v>
      </c>
      <c r="H41" s="81" t="s">
        <v>16</v>
      </c>
      <c r="I41" s="81" t="s">
        <v>15</v>
      </c>
      <c r="J41" s="80" t="s">
        <v>3</v>
      </c>
      <c r="K41" s="80" t="s">
        <v>4</v>
      </c>
      <c r="L41" s="82" t="s">
        <v>5</v>
      </c>
      <c r="M41" s="79" t="s">
        <v>20</v>
      </c>
      <c r="N41" s="79" t="s">
        <v>39</v>
      </c>
      <c r="O41" s="82" t="s">
        <v>40</v>
      </c>
      <c r="P41" s="79" t="s">
        <v>21</v>
      </c>
      <c r="Q41" s="79" t="s">
        <v>41</v>
      </c>
      <c r="R41" s="82" t="s">
        <v>42</v>
      </c>
      <c r="S41" s="281" t="s">
        <v>25</v>
      </c>
      <c r="T41" s="281"/>
      <c r="U41" s="4"/>
    </row>
    <row r="42" spans="1:20" s="13" customFormat="1" ht="60" customHeight="1">
      <c r="A42" s="1" t="s">
        <v>45</v>
      </c>
      <c r="B42" s="2"/>
      <c r="C42" s="3" t="s">
        <v>48</v>
      </c>
      <c r="D42" s="6" t="s">
        <v>60</v>
      </c>
      <c r="E42" s="7" t="s">
        <v>49</v>
      </c>
      <c r="F42" s="229">
        <v>32</v>
      </c>
      <c r="G42" s="11">
        <v>38552</v>
      </c>
      <c r="H42" s="11">
        <v>38555</v>
      </c>
      <c r="I42" s="11" t="s">
        <v>50</v>
      </c>
      <c r="J42" s="12">
        <v>26000</v>
      </c>
      <c r="K42" s="12">
        <v>5200</v>
      </c>
      <c r="L42" s="19">
        <f>+K42+J42</f>
        <v>31200</v>
      </c>
      <c r="M42" s="10">
        <v>26000</v>
      </c>
      <c r="N42" s="10">
        <v>5200</v>
      </c>
      <c r="O42" s="19">
        <f>+N42+M42</f>
        <v>31200</v>
      </c>
      <c r="P42" s="10">
        <f aca="true" t="shared" si="9" ref="P42:Q45">+M42*0.65</f>
        <v>16900</v>
      </c>
      <c r="Q42" s="10">
        <f t="shared" si="9"/>
        <v>3380</v>
      </c>
      <c r="R42" s="19">
        <f aca="true" t="shared" si="10" ref="R42:R49">+Q42+P42</f>
        <v>20280</v>
      </c>
      <c r="S42" s="262"/>
      <c r="T42" s="262"/>
    </row>
    <row r="43" spans="1:20" ht="94.5">
      <c r="A43" s="1" t="s">
        <v>67</v>
      </c>
      <c r="B43" s="2"/>
      <c r="C43" s="3" t="s">
        <v>48</v>
      </c>
      <c r="D43" s="83" t="s">
        <v>69</v>
      </c>
      <c r="E43" s="152" t="s">
        <v>49</v>
      </c>
      <c r="F43" s="230">
        <v>60</v>
      </c>
      <c r="G43" s="231">
        <v>38699</v>
      </c>
      <c r="H43" s="231">
        <v>38707</v>
      </c>
      <c r="I43" s="231" t="s">
        <v>53</v>
      </c>
      <c r="J43" s="232">
        <v>7000</v>
      </c>
      <c r="K43" s="232">
        <v>1400</v>
      </c>
      <c r="L43" s="154">
        <f>SUM(J43+K43)</f>
        <v>8400</v>
      </c>
      <c r="M43" s="112">
        <f>14*350+14*150</f>
        <v>7000</v>
      </c>
      <c r="N43" s="112">
        <f>2100*20%</f>
        <v>420</v>
      </c>
      <c r="O43" s="87">
        <f>+N43+M43</f>
        <v>7420</v>
      </c>
      <c r="P43" s="10">
        <f t="shared" si="9"/>
        <v>4550</v>
      </c>
      <c r="Q43" s="88">
        <f t="shared" si="9"/>
        <v>273</v>
      </c>
      <c r="R43" s="87">
        <f t="shared" si="10"/>
        <v>4823</v>
      </c>
      <c r="S43" s="262" t="s">
        <v>185</v>
      </c>
      <c r="T43" s="262"/>
    </row>
    <row r="44" spans="1:20" ht="66" customHeight="1">
      <c r="A44" s="1" t="s">
        <v>67</v>
      </c>
      <c r="B44" s="2"/>
      <c r="C44" s="3" t="s">
        <v>48</v>
      </c>
      <c r="D44" s="6" t="s">
        <v>60</v>
      </c>
      <c r="E44" s="7" t="s">
        <v>49</v>
      </c>
      <c r="F44" s="229">
        <v>32</v>
      </c>
      <c r="G44" s="8">
        <v>38552</v>
      </c>
      <c r="H44" s="8"/>
      <c r="I44" s="8"/>
      <c r="J44" s="9"/>
      <c r="K44" s="9"/>
      <c r="L44" s="19">
        <f>+K44+J44</f>
        <v>0</v>
      </c>
      <c r="M44" s="10"/>
      <c r="N44" s="176">
        <f>-(16100*20%)</f>
        <v>-3220</v>
      </c>
      <c r="O44" s="19">
        <f>+N44+M44</f>
        <v>-3220</v>
      </c>
      <c r="P44" s="10">
        <f t="shared" si="9"/>
        <v>0</v>
      </c>
      <c r="Q44" s="10">
        <f t="shared" si="9"/>
        <v>-2093</v>
      </c>
      <c r="R44" s="19">
        <f t="shared" si="10"/>
        <v>-2093</v>
      </c>
      <c r="S44" s="262" t="s">
        <v>186</v>
      </c>
      <c r="T44" s="262"/>
    </row>
    <row r="45" spans="1:20" ht="66" customHeight="1">
      <c r="A45" s="1" t="s">
        <v>217</v>
      </c>
      <c r="B45" s="2"/>
      <c r="C45" s="3" t="s">
        <v>48</v>
      </c>
      <c r="D45" s="202" t="s">
        <v>218</v>
      </c>
      <c r="E45" s="203" t="s">
        <v>49</v>
      </c>
      <c r="F45" s="228">
        <v>15</v>
      </c>
      <c r="G45" s="204">
        <v>38848</v>
      </c>
      <c r="H45" s="204">
        <v>39113</v>
      </c>
      <c r="I45" s="204" t="s">
        <v>53</v>
      </c>
      <c r="J45" s="205">
        <v>7000</v>
      </c>
      <c r="K45" s="205">
        <v>1400</v>
      </c>
      <c r="L45" s="19">
        <v>8400</v>
      </c>
      <c r="M45" s="205">
        <v>7000</v>
      </c>
      <c r="N45" s="205">
        <v>1400</v>
      </c>
      <c r="O45" s="19">
        <v>8400</v>
      </c>
      <c r="P45" s="10">
        <f t="shared" si="9"/>
        <v>4550</v>
      </c>
      <c r="Q45" s="10">
        <f t="shared" si="9"/>
        <v>910</v>
      </c>
      <c r="R45" s="19">
        <f t="shared" si="10"/>
        <v>5460</v>
      </c>
      <c r="S45" s="292"/>
      <c r="T45" s="252"/>
    </row>
    <row r="46" spans="1:20" ht="66" customHeight="1">
      <c r="A46" s="1" t="s">
        <v>254</v>
      </c>
      <c r="B46" s="2"/>
      <c r="C46" s="3" t="s">
        <v>48</v>
      </c>
      <c r="D46" s="202" t="s">
        <v>255</v>
      </c>
      <c r="E46" s="203" t="s">
        <v>49</v>
      </c>
      <c r="F46" s="228">
        <v>11</v>
      </c>
      <c r="G46" s="204">
        <v>39141</v>
      </c>
      <c r="H46" s="204">
        <v>39220</v>
      </c>
      <c r="I46" s="204" t="s">
        <v>53</v>
      </c>
      <c r="J46" s="205">
        <v>14000</v>
      </c>
      <c r="K46" s="205">
        <v>2800</v>
      </c>
      <c r="L46" s="19">
        <v>16800</v>
      </c>
      <c r="M46" s="205"/>
      <c r="N46" s="205"/>
      <c r="O46" s="19">
        <f>+N46+M46</f>
        <v>0</v>
      </c>
      <c r="P46" s="10">
        <f aca="true" t="shared" si="11" ref="P46:Q48">+M46*0.65</f>
        <v>0</v>
      </c>
      <c r="Q46" s="10">
        <f t="shared" si="11"/>
        <v>0</v>
      </c>
      <c r="R46" s="19">
        <f t="shared" si="10"/>
        <v>0</v>
      </c>
      <c r="S46" s="282"/>
      <c r="T46" s="283"/>
    </row>
    <row r="47" spans="1:20" ht="66" customHeight="1">
      <c r="A47" s="1" t="s">
        <v>254</v>
      </c>
      <c r="B47" s="2"/>
      <c r="C47" s="3" t="s">
        <v>48</v>
      </c>
      <c r="D47" s="202" t="s">
        <v>262</v>
      </c>
      <c r="E47" s="203" t="s">
        <v>49</v>
      </c>
      <c r="F47" s="228">
        <v>29</v>
      </c>
      <c r="G47" s="204">
        <v>39289</v>
      </c>
      <c r="H47" s="204">
        <v>39290</v>
      </c>
      <c r="I47" s="204" t="s">
        <v>53</v>
      </c>
      <c r="J47" s="205">
        <v>5500</v>
      </c>
      <c r="K47" s="205">
        <v>1100</v>
      </c>
      <c r="L47" s="19">
        <v>6600</v>
      </c>
      <c r="M47" s="205"/>
      <c r="N47" s="205"/>
      <c r="O47" s="19">
        <f>+N47+M47</f>
        <v>0</v>
      </c>
      <c r="P47" s="10">
        <f t="shared" si="11"/>
        <v>0</v>
      </c>
      <c r="Q47" s="10">
        <f t="shared" si="11"/>
        <v>0</v>
      </c>
      <c r="R47" s="19">
        <f t="shared" si="10"/>
        <v>0</v>
      </c>
      <c r="S47" s="282"/>
      <c r="T47" s="283"/>
    </row>
    <row r="48" spans="1:20" ht="66" customHeight="1">
      <c r="A48" s="1" t="s">
        <v>291</v>
      </c>
      <c r="B48" s="2"/>
      <c r="C48" s="3" t="s">
        <v>48</v>
      </c>
      <c r="D48" s="202" t="s">
        <v>293</v>
      </c>
      <c r="E48" s="203" t="s">
        <v>294</v>
      </c>
      <c r="F48" s="228">
        <v>3</v>
      </c>
      <c r="G48" s="204">
        <v>39479</v>
      </c>
      <c r="H48" s="204">
        <v>39560</v>
      </c>
      <c r="I48" s="204" t="s">
        <v>53</v>
      </c>
      <c r="J48" s="205">
        <v>1750</v>
      </c>
      <c r="K48" s="205">
        <v>350</v>
      </c>
      <c r="L48" s="19">
        <v>2100</v>
      </c>
      <c r="M48" s="205">
        <v>1750</v>
      </c>
      <c r="N48" s="205">
        <v>350</v>
      </c>
      <c r="O48" s="19">
        <v>2100</v>
      </c>
      <c r="P48" s="10">
        <f t="shared" si="11"/>
        <v>1137.5</v>
      </c>
      <c r="Q48" s="10">
        <f t="shared" si="11"/>
        <v>227.5</v>
      </c>
      <c r="R48" s="19">
        <f>+Q48+P48</f>
        <v>1365</v>
      </c>
      <c r="S48" s="288" t="s">
        <v>295</v>
      </c>
      <c r="T48" s="289"/>
    </row>
    <row r="49" spans="1:20" ht="12" customHeight="1">
      <c r="A49" s="1"/>
      <c r="B49" s="2"/>
      <c r="C49" s="95"/>
      <c r="D49" s="113"/>
      <c r="E49" s="113"/>
      <c r="F49" s="113"/>
      <c r="G49" s="96"/>
      <c r="H49" s="114"/>
      <c r="I49" s="114"/>
      <c r="J49" s="88"/>
      <c r="K49" s="88"/>
      <c r="L49" s="87"/>
      <c r="M49" s="112">
        <f>+J49</f>
        <v>0</v>
      </c>
      <c r="N49" s="112"/>
      <c r="O49" s="87">
        <f>+N49+M49</f>
        <v>0</v>
      </c>
      <c r="P49" s="88">
        <f>+O49*0.65</f>
        <v>0</v>
      </c>
      <c r="Q49" s="88"/>
      <c r="R49" s="87">
        <f t="shared" si="10"/>
        <v>0</v>
      </c>
      <c r="S49" s="262"/>
      <c r="T49" s="262"/>
    </row>
    <row r="50" ht="10.5">
      <c r="U50" s="4"/>
    </row>
    <row r="51" spans="1:21" ht="10.5">
      <c r="A51" s="49"/>
      <c r="B51" s="50"/>
      <c r="C51" s="51"/>
      <c r="D51" s="264" t="s">
        <v>1</v>
      </c>
      <c r="E51" s="264"/>
      <c r="F51" s="264"/>
      <c r="G51" s="264"/>
      <c r="H51" s="264"/>
      <c r="I51" s="264"/>
      <c r="J51" s="278" t="s">
        <v>64</v>
      </c>
      <c r="K51" s="279"/>
      <c r="L51" s="279"/>
      <c r="M51" s="278" t="s">
        <v>63</v>
      </c>
      <c r="N51" s="279"/>
      <c r="O51" s="280"/>
      <c r="P51" s="278" t="s">
        <v>21</v>
      </c>
      <c r="Q51" s="279"/>
      <c r="R51" s="280"/>
      <c r="S51" s="52" t="s">
        <v>23</v>
      </c>
      <c r="T51" s="53" t="s">
        <v>24</v>
      </c>
      <c r="U51" s="4"/>
    </row>
    <row r="52" spans="1:22" ht="10.5">
      <c r="A52" s="271"/>
      <c r="B52" s="272"/>
      <c r="C52" s="265"/>
      <c r="D52" s="266"/>
      <c r="E52" s="266"/>
      <c r="F52" s="266"/>
      <c r="G52" s="266"/>
      <c r="H52" s="266"/>
      <c r="I52" s="266"/>
      <c r="J52" s="266"/>
      <c r="K52" s="267"/>
      <c r="L52" s="58" t="s">
        <v>12</v>
      </c>
      <c r="M52" s="59">
        <f>16.26*1000</f>
        <v>16260.000000000002</v>
      </c>
      <c r="N52" s="59"/>
      <c r="O52" s="60"/>
      <c r="P52" s="59"/>
      <c r="Q52" s="59"/>
      <c r="R52" s="60"/>
      <c r="S52" s="103"/>
      <c r="T52" s="103"/>
      <c r="U52" s="4"/>
      <c r="V52" s="4"/>
    </row>
    <row r="53" spans="1:22" ht="10.5">
      <c r="A53" s="271"/>
      <c r="B53" s="272"/>
      <c r="C53" s="64"/>
      <c r="D53" s="65"/>
      <c r="E53" s="65"/>
      <c r="F53" s="65"/>
      <c r="G53" s="65"/>
      <c r="H53" s="65"/>
      <c r="I53" s="65"/>
      <c r="J53" s="65"/>
      <c r="K53" s="66">
        <f>SUM(Q61:Q61)</f>
        <v>0</v>
      </c>
      <c r="L53" s="67" t="s">
        <v>26</v>
      </c>
      <c r="M53" s="115">
        <f>SUM(M61:M61)</f>
        <v>0</v>
      </c>
      <c r="N53" s="115"/>
      <c r="O53" s="116"/>
      <c r="P53" s="115">
        <f>SUM(P61:P61)</f>
        <v>0</v>
      </c>
      <c r="Q53" s="117"/>
      <c r="R53" s="118"/>
      <c r="S53" s="69">
        <f>R53*0.375</f>
        <v>0</v>
      </c>
      <c r="T53" s="69">
        <f>R53-S53</f>
        <v>0</v>
      </c>
      <c r="U53" s="4"/>
      <c r="V53" s="4"/>
    </row>
    <row r="54" spans="1:22" ht="10.5">
      <c r="A54" s="271"/>
      <c r="B54" s="272"/>
      <c r="C54" s="64"/>
      <c r="D54" s="65"/>
      <c r="E54" s="65"/>
      <c r="F54" s="65"/>
      <c r="G54" s="65"/>
      <c r="H54" s="65"/>
      <c r="I54" s="65"/>
      <c r="J54" s="65"/>
      <c r="K54" s="71"/>
      <c r="L54" s="104" t="s">
        <v>27</v>
      </c>
      <c r="M54" s="66">
        <v>0</v>
      </c>
      <c r="N54" s="66"/>
      <c r="O54" s="68"/>
      <c r="P54" s="66">
        <v>0</v>
      </c>
      <c r="Q54" s="107"/>
      <c r="R54" s="108"/>
      <c r="S54" s="69">
        <f>R54*0.375</f>
        <v>0</v>
      </c>
      <c r="T54" s="69">
        <f>R54-S54</f>
        <v>0</v>
      </c>
      <c r="U54" s="4"/>
      <c r="V54" s="4"/>
    </row>
    <row r="55" spans="1:22" ht="10.5">
      <c r="A55" s="271"/>
      <c r="B55" s="272"/>
      <c r="C55" s="64"/>
      <c r="D55" s="65"/>
      <c r="E55" s="65"/>
      <c r="F55" s="65"/>
      <c r="G55" s="65"/>
      <c r="H55" s="65"/>
      <c r="I55" s="65"/>
      <c r="J55" s="65"/>
      <c r="K55" s="71"/>
      <c r="L55" s="104" t="s">
        <v>249</v>
      </c>
      <c r="M55" s="66"/>
      <c r="N55" s="66"/>
      <c r="O55" s="68"/>
      <c r="P55" s="66"/>
      <c r="Q55" s="107"/>
      <c r="R55" s="108"/>
      <c r="S55" s="69">
        <f>R55*0.375</f>
        <v>0</v>
      </c>
      <c r="T55" s="69">
        <f>R55-S55</f>
        <v>0</v>
      </c>
      <c r="U55" s="4"/>
      <c r="V55" s="4"/>
    </row>
    <row r="56" spans="1:22" ht="10.5">
      <c r="A56" s="271"/>
      <c r="B56" s="272"/>
      <c r="C56" s="64"/>
      <c r="D56" s="65"/>
      <c r="E56" s="65"/>
      <c r="F56" s="65"/>
      <c r="G56" s="65"/>
      <c r="H56" s="65"/>
      <c r="I56" s="65"/>
      <c r="J56" s="65"/>
      <c r="K56" s="71"/>
      <c r="L56" s="104" t="s">
        <v>276</v>
      </c>
      <c r="M56" s="66">
        <f>+M60</f>
        <v>16264</v>
      </c>
      <c r="N56" s="66">
        <f>+N60</f>
        <v>3252.8</v>
      </c>
      <c r="O56" s="68">
        <f>+N56+M56</f>
        <v>19516.8</v>
      </c>
      <c r="P56" s="66">
        <f>+P60</f>
        <v>10571.6</v>
      </c>
      <c r="Q56" s="66">
        <f>+Q60</f>
        <v>2114.32</v>
      </c>
      <c r="R56" s="68">
        <f>+Q56+P56</f>
        <v>12685.92</v>
      </c>
      <c r="S56" s="69">
        <f>R56*0.375</f>
        <v>4757.22</v>
      </c>
      <c r="T56" s="69">
        <f>R56-S56</f>
        <v>7928.7</v>
      </c>
      <c r="U56" s="4"/>
      <c r="V56" s="4"/>
    </row>
    <row r="57" spans="1:22" ht="10.5">
      <c r="A57" s="271"/>
      <c r="B57" s="272"/>
      <c r="C57" s="64"/>
      <c r="D57" s="65"/>
      <c r="E57" s="65"/>
      <c r="F57" s="65"/>
      <c r="G57" s="65"/>
      <c r="H57" s="65"/>
      <c r="I57" s="65"/>
      <c r="J57" s="65"/>
      <c r="K57" s="71"/>
      <c r="L57" s="104" t="s">
        <v>290</v>
      </c>
      <c r="M57" s="66"/>
      <c r="N57" s="66"/>
      <c r="O57" s="68"/>
      <c r="P57" s="66"/>
      <c r="Q57" s="66"/>
      <c r="R57" s="68"/>
      <c r="S57" s="209"/>
      <c r="T57" s="209"/>
      <c r="U57" s="4"/>
      <c r="V57" s="4"/>
    </row>
    <row r="58" spans="1:22" ht="10.5">
      <c r="A58" s="273"/>
      <c r="B58" s="274"/>
      <c r="C58" s="268"/>
      <c r="D58" s="269"/>
      <c r="E58" s="269"/>
      <c r="F58" s="269"/>
      <c r="G58" s="269"/>
      <c r="H58" s="269"/>
      <c r="I58" s="269"/>
      <c r="J58" s="269"/>
      <c r="K58" s="270"/>
      <c r="L58" s="75" t="s">
        <v>13</v>
      </c>
      <c r="M58" s="76">
        <f>M52-M53-M54-M56</f>
        <v>-3.999999999998181</v>
      </c>
      <c r="N58" s="76"/>
      <c r="O58" s="77"/>
      <c r="P58" s="76"/>
      <c r="Q58" s="76"/>
      <c r="R58" s="77"/>
      <c r="S58" s="119"/>
      <c r="T58" s="62"/>
      <c r="U58" s="4"/>
      <c r="V58" s="4"/>
    </row>
    <row r="59" spans="1:21" ht="21">
      <c r="A59" s="79" t="s">
        <v>14</v>
      </c>
      <c r="B59" s="79" t="s">
        <v>11</v>
      </c>
      <c r="C59" s="80" t="s">
        <v>22</v>
      </c>
      <c r="D59" s="80" t="s">
        <v>19</v>
      </c>
      <c r="E59" s="81" t="s">
        <v>2</v>
      </c>
      <c r="F59" s="80" t="s">
        <v>18</v>
      </c>
      <c r="G59" s="80" t="s">
        <v>17</v>
      </c>
      <c r="H59" s="81" t="s">
        <v>16</v>
      </c>
      <c r="I59" s="81" t="s">
        <v>15</v>
      </c>
      <c r="J59" s="80" t="s">
        <v>3</v>
      </c>
      <c r="K59" s="80" t="s">
        <v>4</v>
      </c>
      <c r="L59" s="82" t="s">
        <v>5</v>
      </c>
      <c r="M59" s="79" t="s">
        <v>20</v>
      </c>
      <c r="N59" s="79" t="s">
        <v>39</v>
      </c>
      <c r="O59" s="82" t="s">
        <v>40</v>
      </c>
      <c r="P59" s="79" t="s">
        <v>21</v>
      </c>
      <c r="Q59" s="79" t="s">
        <v>41</v>
      </c>
      <c r="R59" s="82" t="s">
        <v>42</v>
      </c>
      <c r="S59" s="281" t="s">
        <v>25</v>
      </c>
      <c r="T59" s="281"/>
      <c r="U59" s="4"/>
    </row>
    <row r="60" spans="1:21" ht="42">
      <c r="A60" s="1" t="s">
        <v>254</v>
      </c>
      <c r="B60" s="2"/>
      <c r="C60" s="3" t="s">
        <v>48</v>
      </c>
      <c r="D60" s="234" t="s">
        <v>267</v>
      </c>
      <c r="E60" s="235" t="s">
        <v>268</v>
      </c>
      <c r="F60" s="234" t="s">
        <v>269</v>
      </c>
      <c r="G60" s="236">
        <v>39199</v>
      </c>
      <c r="H60" s="233" t="s">
        <v>270</v>
      </c>
      <c r="I60" s="235" t="s">
        <v>53</v>
      </c>
      <c r="J60" s="237">
        <v>16264</v>
      </c>
      <c r="K60" s="237">
        <v>3252.8</v>
      </c>
      <c r="L60" s="238">
        <v>19516.8</v>
      </c>
      <c r="M60" s="237">
        <v>16264</v>
      </c>
      <c r="N60" s="237">
        <v>3252.8</v>
      </c>
      <c r="O60" s="238">
        <v>19516.8</v>
      </c>
      <c r="P60" s="10">
        <f>+M60*0.65</f>
        <v>10571.6</v>
      </c>
      <c r="Q60" s="10">
        <f>+N60*0.65</f>
        <v>2114.32</v>
      </c>
      <c r="R60" s="19">
        <f>+Q60+P60</f>
        <v>12685.92</v>
      </c>
      <c r="S60" s="79"/>
      <c r="T60" s="79"/>
      <c r="U60" s="4"/>
    </row>
    <row r="61" spans="1:21" ht="10.5">
      <c r="A61" s="120"/>
      <c r="B61" s="2"/>
      <c r="C61" s="95"/>
      <c r="D61" s="95"/>
      <c r="E61" s="95"/>
      <c r="F61" s="95"/>
      <c r="G61" s="96"/>
      <c r="H61" s="97"/>
      <c r="I61" s="97"/>
      <c r="J61" s="88"/>
      <c r="K61" s="88"/>
      <c r="L61" s="87"/>
      <c r="M61" s="88"/>
      <c r="N61" s="88"/>
      <c r="O61" s="87"/>
      <c r="P61" s="88"/>
      <c r="Q61" s="88"/>
      <c r="R61" s="87"/>
      <c r="S61" s="262"/>
      <c r="T61" s="262"/>
      <c r="U61" s="4"/>
    </row>
    <row r="62" ht="10.5">
      <c r="U62" s="4"/>
    </row>
    <row r="63" spans="1:21" ht="10.5">
      <c r="A63" s="49"/>
      <c r="B63" s="50"/>
      <c r="C63" s="51"/>
      <c r="D63" s="264" t="s">
        <v>8</v>
      </c>
      <c r="E63" s="264"/>
      <c r="F63" s="264"/>
      <c r="G63" s="264"/>
      <c r="H63" s="264"/>
      <c r="I63" s="264"/>
      <c r="J63" s="278" t="s">
        <v>64</v>
      </c>
      <c r="K63" s="279"/>
      <c r="L63" s="279"/>
      <c r="M63" s="278" t="s">
        <v>63</v>
      </c>
      <c r="N63" s="279"/>
      <c r="O63" s="280"/>
      <c r="P63" s="278" t="s">
        <v>21</v>
      </c>
      <c r="Q63" s="279"/>
      <c r="R63" s="280"/>
      <c r="S63" s="52" t="s">
        <v>23</v>
      </c>
      <c r="T63" s="53" t="s">
        <v>24</v>
      </c>
      <c r="U63" s="4"/>
    </row>
    <row r="64" spans="1:22" ht="10.5">
      <c r="A64" s="271"/>
      <c r="B64" s="272"/>
      <c r="C64" s="265"/>
      <c r="D64" s="266"/>
      <c r="E64" s="266"/>
      <c r="F64" s="266"/>
      <c r="G64" s="266"/>
      <c r="H64" s="266"/>
      <c r="I64" s="266"/>
      <c r="J64" s="266"/>
      <c r="K64" s="267"/>
      <c r="L64" s="121" t="s">
        <v>12</v>
      </c>
      <c r="M64" s="59">
        <f>190.264*1000</f>
        <v>190264</v>
      </c>
      <c r="N64" s="59"/>
      <c r="O64" s="60"/>
      <c r="P64" s="59"/>
      <c r="Q64" s="59"/>
      <c r="R64" s="60"/>
      <c r="S64" s="103"/>
      <c r="T64" s="103"/>
      <c r="U64" s="4"/>
      <c r="V64" s="4"/>
    </row>
    <row r="65" spans="1:22" ht="10.5">
      <c r="A65" s="271"/>
      <c r="B65" s="272"/>
      <c r="C65" s="64"/>
      <c r="D65" s="65"/>
      <c r="E65" s="65"/>
      <c r="F65" s="65"/>
      <c r="G65" s="65"/>
      <c r="H65" s="65"/>
      <c r="I65" s="65"/>
      <c r="J65" s="65"/>
      <c r="K65" s="66"/>
      <c r="L65" s="67" t="s">
        <v>26</v>
      </c>
      <c r="M65" s="66">
        <f aca="true" t="shared" si="12" ref="M65:R65">SUM(M72:M73)</f>
        <v>39900</v>
      </c>
      <c r="N65" s="66">
        <f t="shared" si="12"/>
        <v>7980</v>
      </c>
      <c r="O65" s="68">
        <f t="shared" si="12"/>
        <v>47880</v>
      </c>
      <c r="P65" s="66">
        <f t="shared" si="12"/>
        <v>25935</v>
      </c>
      <c r="Q65" s="66">
        <f t="shared" si="12"/>
        <v>5187</v>
      </c>
      <c r="R65" s="68">
        <f t="shared" si="12"/>
        <v>31122</v>
      </c>
      <c r="S65" s="69">
        <f>R65*0.375</f>
        <v>11670.75</v>
      </c>
      <c r="T65" s="69">
        <f>R65-S65</f>
        <v>19451.25</v>
      </c>
      <c r="U65" s="4"/>
      <c r="V65" s="4"/>
    </row>
    <row r="66" spans="1:22" ht="10.5">
      <c r="A66" s="271"/>
      <c r="B66" s="272"/>
      <c r="C66" s="64"/>
      <c r="D66" s="65"/>
      <c r="E66" s="65"/>
      <c r="F66" s="65"/>
      <c r="G66" s="65"/>
      <c r="H66" s="65"/>
      <c r="I66" s="65"/>
      <c r="J66" s="65"/>
      <c r="K66" s="71"/>
      <c r="L66" s="104" t="s">
        <v>27</v>
      </c>
      <c r="M66" s="66">
        <v>0</v>
      </c>
      <c r="N66" s="66"/>
      <c r="O66" s="68"/>
      <c r="P66" s="66">
        <v>0</v>
      </c>
      <c r="Q66" s="107"/>
      <c r="R66" s="108"/>
      <c r="S66" s="69">
        <f>R66*0.375</f>
        <v>0</v>
      </c>
      <c r="T66" s="69">
        <f>R66-S66</f>
        <v>0</v>
      </c>
      <c r="U66" s="4"/>
      <c r="V66" s="4"/>
    </row>
    <row r="67" spans="1:22" ht="10.5">
      <c r="A67" s="271"/>
      <c r="B67" s="272"/>
      <c r="C67" s="64"/>
      <c r="D67" s="65"/>
      <c r="E67" s="65"/>
      <c r="F67" s="65"/>
      <c r="G67" s="65"/>
      <c r="H67" s="65"/>
      <c r="I67" s="65"/>
      <c r="J67" s="65"/>
      <c r="K67" s="71"/>
      <c r="L67" s="104" t="s">
        <v>249</v>
      </c>
      <c r="M67" s="66">
        <f aca="true" t="shared" si="13" ref="M67:R67">SUM(M74:M75)</f>
        <v>79800</v>
      </c>
      <c r="N67" s="66">
        <f t="shared" si="13"/>
        <v>15960</v>
      </c>
      <c r="O67" s="68">
        <f t="shared" si="13"/>
        <v>95760</v>
      </c>
      <c r="P67" s="66">
        <f t="shared" si="13"/>
        <v>51870</v>
      </c>
      <c r="Q67" s="66">
        <f t="shared" si="13"/>
        <v>10374</v>
      </c>
      <c r="R67" s="68">
        <f t="shared" si="13"/>
        <v>62244</v>
      </c>
      <c r="S67" s="69">
        <f>R67*0.375</f>
        <v>23341.5</v>
      </c>
      <c r="T67" s="69">
        <f>R67-S67</f>
        <v>38902.5</v>
      </c>
      <c r="U67" s="4"/>
      <c r="V67" s="4"/>
    </row>
    <row r="68" spans="1:22" ht="10.5">
      <c r="A68" s="271"/>
      <c r="B68" s="272"/>
      <c r="C68" s="64"/>
      <c r="D68" s="65"/>
      <c r="E68" s="65"/>
      <c r="F68" s="65"/>
      <c r="G68" s="65"/>
      <c r="H68" s="65"/>
      <c r="I68" s="65"/>
      <c r="J68" s="65"/>
      <c r="K68" s="71"/>
      <c r="L68" s="104" t="s">
        <v>276</v>
      </c>
      <c r="M68" s="66">
        <f>SUM(M76:M77)</f>
        <v>39900</v>
      </c>
      <c r="N68" s="66">
        <f>SUM(N76:N77)</f>
        <v>7980</v>
      </c>
      <c r="O68" s="68">
        <f>+N68+M68</f>
        <v>47880</v>
      </c>
      <c r="P68" s="66">
        <f>SUM(P76:P77)</f>
        <v>25935</v>
      </c>
      <c r="Q68" s="66">
        <f>SUM(Q76:Q77)</f>
        <v>5187</v>
      </c>
      <c r="R68" s="68">
        <f>+Q68+P68</f>
        <v>31122</v>
      </c>
      <c r="S68" s="69">
        <f>R68*0.375</f>
        <v>11670.75</v>
      </c>
      <c r="T68" s="69">
        <f>R68-S68</f>
        <v>19451.25</v>
      </c>
      <c r="U68" s="4"/>
      <c r="V68" s="4"/>
    </row>
    <row r="69" spans="1:22" ht="10.5">
      <c r="A69" s="271"/>
      <c r="B69" s="272"/>
      <c r="C69" s="64"/>
      <c r="D69" s="65"/>
      <c r="E69" s="65"/>
      <c r="F69" s="65"/>
      <c r="G69" s="65"/>
      <c r="H69" s="65"/>
      <c r="I69" s="65"/>
      <c r="J69" s="65"/>
      <c r="K69" s="71"/>
      <c r="L69" s="104" t="s">
        <v>290</v>
      </c>
      <c r="M69" s="66">
        <f>+M78</f>
        <v>39900</v>
      </c>
      <c r="N69" s="66">
        <f>+N78</f>
        <v>7980</v>
      </c>
      <c r="O69" s="68">
        <f>+N69+M69</f>
        <v>47880</v>
      </c>
      <c r="P69" s="66">
        <f>+P78</f>
        <v>25935</v>
      </c>
      <c r="Q69" s="66">
        <f>+Q78</f>
        <v>5187</v>
      </c>
      <c r="R69" s="68">
        <f>+Q69+P69</f>
        <v>31122</v>
      </c>
      <c r="S69" s="69"/>
      <c r="T69" s="69">
        <f>R69-S69</f>
        <v>31122</v>
      </c>
      <c r="U69" s="4"/>
      <c r="V69" s="4"/>
    </row>
    <row r="70" spans="1:22" ht="10.5">
      <c r="A70" s="273"/>
      <c r="B70" s="274"/>
      <c r="C70" s="268"/>
      <c r="D70" s="269"/>
      <c r="E70" s="269"/>
      <c r="F70" s="269"/>
      <c r="G70" s="269"/>
      <c r="H70" s="269"/>
      <c r="I70" s="269"/>
      <c r="J70" s="269"/>
      <c r="K70" s="270"/>
      <c r="L70" s="75" t="s">
        <v>13</v>
      </c>
      <c r="M70" s="76">
        <f>M64-M65-M66-M67-M68-M69</f>
        <v>-9236</v>
      </c>
      <c r="N70" s="76"/>
      <c r="O70" s="76"/>
      <c r="P70" s="76"/>
      <c r="Q70" s="76"/>
      <c r="R70" s="76"/>
      <c r="S70" s="62"/>
      <c r="T70" s="62"/>
      <c r="U70" s="4"/>
      <c r="V70" s="4"/>
    </row>
    <row r="71" spans="1:21" ht="21">
      <c r="A71" s="79" t="s">
        <v>14</v>
      </c>
      <c r="B71" s="79" t="s">
        <v>11</v>
      </c>
      <c r="C71" s="80" t="s">
        <v>22</v>
      </c>
      <c r="D71" s="80" t="s">
        <v>19</v>
      </c>
      <c r="E71" s="81" t="s">
        <v>2</v>
      </c>
      <c r="F71" s="80" t="s">
        <v>18</v>
      </c>
      <c r="G71" s="80" t="s">
        <v>17</v>
      </c>
      <c r="H71" s="81" t="s">
        <v>16</v>
      </c>
      <c r="I71" s="81" t="s">
        <v>15</v>
      </c>
      <c r="J71" s="80" t="s">
        <v>3</v>
      </c>
      <c r="K71" s="80" t="s">
        <v>4</v>
      </c>
      <c r="L71" s="82" t="s">
        <v>5</v>
      </c>
      <c r="M71" s="79" t="s">
        <v>20</v>
      </c>
      <c r="N71" s="79" t="s">
        <v>39</v>
      </c>
      <c r="O71" s="82" t="s">
        <v>40</v>
      </c>
      <c r="P71" s="79" t="s">
        <v>21</v>
      </c>
      <c r="Q71" s="79" t="s">
        <v>41</v>
      </c>
      <c r="R71" s="82" t="s">
        <v>42</v>
      </c>
      <c r="S71" s="281" t="s">
        <v>25</v>
      </c>
      <c r="T71" s="281"/>
      <c r="U71" s="4"/>
    </row>
    <row r="72" spans="1:21" s="13" customFormat="1" ht="52.5">
      <c r="A72" s="1" t="s">
        <v>45</v>
      </c>
      <c r="B72" s="2"/>
      <c r="C72" s="3" t="s">
        <v>48</v>
      </c>
      <c r="D72" s="6" t="s">
        <v>61</v>
      </c>
      <c r="E72" s="210" t="s">
        <v>51</v>
      </c>
      <c r="F72" s="211" t="s">
        <v>52</v>
      </c>
      <c r="G72" s="11">
        <v>38545</v>
      </c>
      <c r="H72" s="8">
        <v>38555</v>
      </c>
      <c r="I72" s="11" t="s">
        <v>53</v>
      </c>
      <c r="J72" s="12">
        <v>19950</v>
      </c>
      <c r="K72" s="12">
        <v>3990</v>
      </c>
      <c r="L72" s="20">
        <f>J72+K72</f>
        <v>23940</v>
      </c>
      <c r="M72" s="10">
        <v>19950</v>
      </c>
      <c r="N72" s="10">
        <v>3990</v>
      </c>
      <c r="O72" s="19">
        <f>+N72+M72</f>
        <v>23940</v>
      </c>
      <c r="P72" s="10">
        <f aca="true" t="shared" si="14" ref="P72:Q75">M72*0.65</f>
        <v>12967.5</v>
      </c>
      <c r="Q72" s="10">
        <f t="shared" si="14"/>
        <v>2593.5</v>
      </c>
      <c r="R72" s="19">
        <f aca="true" t="shared" si="15" ref="R72:R77">+Q72+P72</f>
        <v>15561</v>
      </c>
      <c r="S72" s="262"/>
      <c r="T72" s="262"/>
      <c r="U72" s="4"/>
    </row>
    <row r="73" spans="1:21" s="13" customFormat="1" ht="34.5" customHeight="1">
      <c r="A73" s="1" t="s">
        <v>45</v>
      </c>
      <c r="B73" s="2"/>
      <c r="C73" s="3" t="s">
        <v>48</v>
      </c>
      <c r="D73" s="6" t="s">
        <v>62</v>
      </c>
      <c r="E73" s="210" t="s">
        <v>51</v>
      </c>
      <c r="F73" s="211" t="s">
        <v>54</v>
      </c>
      <c r="G73" s="11">
        <v>38628</v>
      </c>
      <c r="H73" s="8">
        <v>38672</v>
      </c>
      <c r="I73" s="11" t="s">
        <v>53</v>
      </c>
      <c r="J73" s="12">
        <v>19950</v>
      </c>
      <c r="K73" s="12">
        <v>3990</v>
      </c>
      <c r="L73" s="20">
        <f>J73+K73</f>
        <v>23940</v>
      </c>
      <c r="M73" s="10">
        <f>J73</f>
        <v>19950</v>
      </c>
      <c r="N73" s="10">
        <f>K73</f>
        <v>3990</v>
      </c>
      <c r="O73" s="19">
        <f>+N73+M73</f>
        <v>23940</v>
      </c>
      <c r="P73" s="10">
        <f t="shared" si="14"/>
        <v>12967.5</v>
      </c>
      <c r="Q73" s="10">
        <f t="shared" si="14"/>
        <v>2593.5</v>
      </c>
      <c r="R73" s="19">
        <f t="shared" si="15"/>
        <v>15561</v>
      </c>
      <c r="S73" s="262"/>
      <c r="T73" s="262"/>
      <c r="U73" s="4"/>
    </row>
    <row r="74" spans="1:21" s="13" customFormat="1" ht="34.5" customHeight="1">
      <c r="A74" s="1" t="s">
        <v>217</v>
      </c>
      <c r="B74" s="2"/>
      <c r="C74" s="3" t="s">
        <v>48</v>
      </c>
      <c r="D74" s="202" t="s">
        <v>222</v>
      </c>
      <c r="E74" s="210" t="s">
        <v>51</v>
      </c>
      <c r="F74" s="211" t="s">
        <v>219</v>
      </c>
      <c r="G74" s="11">
        <v>38751</v>
      </c>
      <c r="H74" s="204" t="s">
        <v>220</v>
      </c>
      <c r="I74" s="11" t="s">
        <v>53</v>
      </c>
      <c r="J74" s="12">
        <v>39900</v>
      </c>
      <c r="K74" s="12">
        <v>7980</v>
      </c>
      <c r="L74" s="20">
        <v>47880</v>
      </c>
      <c r="M74" s="12">
        <v>39900</v>
      </c>
      <c r="N74" s="12">
        <v>7980</v>
      </c>
      <c r="O74" s="20">
        <v>47880</v>
      </c>
      <c r="P74" s="10">
        <f t="shared" si="14"/>
        <v>25935</v>
      </c>
      <c r="Q74" s="10">
        <f t="shared" si="14"/>
        <v>5187</v>
      </c>
      <c r="R74" s="19">
        <f t="shared" si="15"/>
        <v>31122</v>
      </c>
      <c r="S74" s="292"/>
      <c r="T74" s="252"/>
      <c r="U74" s="4"/>
    </row>
    <row r="75" spans="1:21" s="13" customFormat="1" ht="34.5" customHeight="1">
      <c r="A75" s="1" t="s">
        <v>217</v>
      </c>
      <c r="B75" s="2"/>
      <c r="C75" s="3" t="s">
        <v>48</v>
      </c>
      <c r="D75" s="202" t="s">
        <v>223</v>
      </c>
      <c r="E75" s="210" t="s">
        <v>51</v>
      </c>
      <c r="F75" s="211" t="s">
        <v>221</v>
      </c>
      <c r="G75" s="11">
        <v>39094</v>
      </c>
      <c r="H75" s="204">
        <v>39113</v>
      </c>
      <c r="I75" s="11" t="s">
        <v>53</v>
      </c>
      <c r="J75" s="12">
        <v>39900</v>
      </c>
      <c r="K75" s="12">
        <v>7980</v>
      </c>
      <c r="L75" s="20">
        <v>47880</v>
      </c>
      <c r="M75" s="12">
        <v>39900</v>
      </c>
      <c r="N75" s="12">
        <v>7980</v>
      </c>
      <c r="O75" s="20">
        <v>47880</v>
      </c>
      <c r="P75" s="10">
        <f t="shared" si="14"/>
        <v>25935</v>
      </c>
      <c r="Q75" s="10">
        <f t="shared" si="14"/>
        <v>5187</v>
      </c>
      <c r="R75" s="19">
        <f t="shared" si="15"/>
        <v>31122</v>
      </c>
      <c r="S75" s="292"/>
      <c r="T75" s="252"/>
      <c r="U75" s="4"/>
    </row>
    <row r="76" spans="1:21" s="13" customFormat="1" ht="34.5" customHeight="1">
      <c r="A76" s="1" t="s">
        <v>254</v>
      </c>
      <c r="B76" s="2"/>
      <c r="C76" s="3" t="s">
        <v>48</v>
      </c>
      <c r="D76" s="202" t="s">
        <v>271</v>
      </c>
      <c r="E76" s="210" t="s">
        <v>51</v>
      </c>
      <c r="F76" s="211" t="s">
        <v>272</v>
      </c>
      <c r="G76" s="11">
        <v>39094</v>
      </c>
      <c r="H76" s="204">
        <v>39220</v>
      </c>
      <c r="I76" s="11" t="s">
        <v>53</v>
      </c>
      <c r="J76" s="12">
        <v>19950</v>
      </c>
      <c r="K76" s="12">
        <v>3990</v>
      </c>
      <c r="L76" s="20">
        <v>23940</v>
      </c>
      <c r="M76" s="12">
        <v>19950</v>
      </c>
      <c r="N76" s="12">
        <v>3990</v>
      </c>
      <c r="O76" s="20">
        <v>23940</v>
      </c>
      <c r="P76" s="10">
        <f aca="true" t="shared" si="16" ref="P76:Q78">M76*0.65</f>
        <v>12967.5</v>
      </c>
      <c r="Q76" s="10">
        <f t="shared" si="16"/>
        <v>2593.5</v>
      </c>
      <c r="R76" s="19">
        <f t="shared" si="15"/>
        <v>15561</v>
      </c>
      <c r="S76" s="218"/>
      <c r="T76" s="219"/>
      <c r="U76" s="4"/>
    </row>
    <row r="77" spans="1:21" s="13" customFormat="1" ht="34.5" customHeight="1">
      <c r="A77" s="1" t="s">
        <v>254</v>
      </c>
      <c r="B77" s="2"/>
      <c r="C77" s="3" t="s">
        <v>48</v>
      </c>
      <c r="D77" s="202" t="s">
        <v>273</v>
      </c>
      <c r="E77" s="210" t="s">
        <v>51</v>
      </c>
      <c r="F77" s="211" t="s">
        <v>274</v>
      </c>
      <c r="G77" s="11">
        <v>39172</v>
      </c>
      <c r="H77" s="204">
        <v>39289</v>
      </c>
      <c r="I77" s="11" t="s">
        <v>53</v>
      </c>
      <c r="J77" s="12">
        <v>19950</v>
      </c>
      <c r="K77" s="12">
        <v>3990</v>
      </c>
      <c r="L77" s="20">
        <v>23940</v>
      </c>
      <c r="M77" s="12">
        <v>19950</v>
      </c>
      <c r="N77" s="12">
        <v>3990</v>
      </c>
      <c r="O77" s="20">
        <v>23940</v>
      </c>
      <c r="P77" s="10">
        <f t="shared" si="16"/>
        <v>12967.5</v>
      </c>
      <c r="Q77" s="10">
        <f t="shared" si="16"/>
        <v>2593.5</v>
      </c>
      <c r="R77" s="19">
        <f t="shared" si="15"/>
        <v>15561</v>
      </c>
      <c r="S77" s="218"/>
      <c r="T77" s="219"/>
      <c r="U77" s="4"/>
    </row>
    <row r="78" spans="1:21" s="13" customFormat="1" ht="73.5" customHeight="1">
      <c r="A78" s="1" t="s">
        <v>291</v>
      </c>
      <c r="B78" s="2"/>
      <c r="C78" s="3" t="s">
        <v>48</v>
      </c>
      <c r="D78" s="202" t="s">
        <v>296</v>
      </c>
      <c r="E78" s="210" t="s">
        <v>51</v>
      </c>
      <c r="F78" s="211" t="s">
        <v>297</v>
      </c>
      <c r="G78" s="11">
        <v>39270</v>
      </c>
      <c r="H78" s="204">
        <v>39291</v>
      </c>
      <c r="I78" s="11" t="s">
        <v>53</v>
      </c>
      <c r="J78" s="12">
        <v>39900</v>
      </c>
      <c r="K78" s="12">
        <v>7980</v>
      </c>
      <c r="L78" s="20">
        <v>47880</v>
      </c>
      <c r="M78" s="12">
        <v>39900</v>
      </c>
      <c r="N78" s="12">
        <v>7980</v>
      </c>
      <c r="O78" s="20">
        <v>47880</v>
      </c>
      <c r="P78" s="10">
        <f t="shared" si="16"/>
        <v>25935</v>
      </c>
      <c r="Q78" s="10">
        <f t="shared" si="16"/>
        <v>5187</v>
      </c>
      <c r="R78" s="19">
        <f>+Q78+P78</f>
        <v>31122</v>
      </c>
      <c r="S78" s="254" t="s">
        <v>292</v>
      </c>
      <c r="T78" s="255"/>
      <c r="U78" s="4"/>
    </row>
    <row r="79" spans="1:21" ht="10.5">
      <c r="A79" s="120"/>
      <c r="B79" s="2"/>
      <c r="C79" s="95"/>
      <c r="D79" s="95"/>
      <c r="E79" s="95"/>
      <c r="F79" s="95"/>
      <c r="G79" s="96"/>
      <c r="H79" s="97"/>
      <c r="I79" s="97"/>
      <c r="J79" s="88"/>
      <c r="K79" s="88"/>
      <c r="L79" s="87"/>
      <c r="M79" s="88"/>
      <c r="N79" s="88"/>
      <c r="O79" s="87"/>
      <c r="P79" s="88"/>
      <c r="Q79" s="88"/>
      <c r="R79" s="87"/>
      <c r="S79" s="262"/>
      <c r="T79" s="262"/>
      <c r="U79" s="4"/>
    </row>
    <row r="80" ht="10.5">
      <c r="U80" s="4"/>
    </row>
    <row r="81" spans="1:21" ht="10.5">
      <c r="A81" s="49"/>
      <c r="B81" s="50"/>
      <c r="C81" s="122"/>
      <c r="D81" s="264" t="s">
        <v>44</v>
      </c>
      <c r="E81" s="264"/>
      <c r="F81" s="264"/>
      <c r="G81" s="264"/>
      <c r="H81" s="264"/>
      <c r="I81" s="264"/>
      <c r="J81" s="278" t="s">
        <v>64</v>
      </c>
      <c r="K81" s="279"/>
      <c r="L81" s="279"/>
      <c r="M81" s="278" t="s">
        <v>63</v>
      </c>
      <c r="N81" s="279"/>
      <c r="O81" s="280"/>
      <c r="P81" s="278" t="s">
        <v>21</v>
      </c>
      <c r="Q81" s="279"/>
      <c r="R81" s="280"/>
      <c r="S81" s="52" t="s">
        <v>23</v>
      </c>
      <c r="T81" s="53" t="s">
        <v>24</v>
      </c>
      <c r="U81" s="4"/>
    </row>
    <row r="82" spans="1:22" ht="10.5">
      <c r="A82" s="271"/>
      <c r="B82" s="272"/>
      <c r="C82" s="275"/>
      <c r="D82" s="276"/>
      <c r="E82" s="276"/>
      <c r="F82" s="276"/>
      <c r="G82" s="276"/>
      <c r="H82" s="276"/>
      <c r="I82" s="276"/>
      <c r="J82" s="276"/>
      <c r="K82" s="277"/>
      <c r="L82" s="121" t="s">
        <v>12</v>
      </c>
      <c r="M82" s="59">
        <f>45*1000</f>
        <v>45000</v>
      </c>
      <c r="N82" s="59"/>
      <c r="O82" s="60"/>
      <c r="P82" s="59"/>
      <c r="Q82" s="59"/>
      <c r="R82" s="60"/>
      <c r="S82" s="123"/>
      <c r="T82" s="123"/>
      <c r="U82" s="4"/>
      <c r="V82" s="4"/>
    </row>
    <row r="83" spans="1:22" ht="10.5">
      <c r="A83" s="271"/>
      <c r="B83" s="272"/>
      <c r="C83" s="64"/>
      <c r="D83" s="65"/>
      <c r="E83" s="65"/>
      <c r="F83" s="65"/>
      <c r="G83" s="65"/>
      <c r="H83" s="65"/>
      <c r="I83" s="65"/>
      <c r="J83" s="65"/>
      <c r="K83" s="66">
        <f>SUM(Q90:Q92)</f>
        <v>0</v>
      </c>
      <c r="L83" s="67" t="s">
        <v>26</v>
      </c>
      <c r="M83" s="66">
        <f aca="true" t="shared" si="17" ref="M83:R83">SUM(M90:M91)</f>
        <v>0</v>
      </c>
      <c r="N83" s="66">
        <f t="shared" si="17"/>
        <v>0</v>
      </c>
      <c r="O83" s="68">
        <f t="shared" si="17"/>
        <v>0</v>
      </c>
      <c r="P83" s="66">
        <f t="shared" si="17"/>
        <v>0</v>
      </c>
      <c r="Q83" s="66">
        <f t="shared" si="17"/>
        <v>0</v>
      </c>
      <c r="R83" s="68">
        <f t="shared" si="17"/>
        <v>0</v>
      </c>
      <c r="S83" s="69">
        <f>R83*0.375</f>
        <v>0</v>
      </c>
      <c r="T83" s="69">
        <f>R83-S83</f>
        <v>0</v>
      </c>
      <c r="U83" s="4"/>
      <c r="V83" s="4"/>
    </row>
    <row r="84" spans="1:22" ht="10.5">
      <c r="A84" s="271"/>
      <c r="B84" s="272"/>
      <c r="C84" s="64"/>
      <c r="D84" s="65"/>
      <c r="E84" s="65"/>
      <c r="F84" s="65"/>
      <c r="G84" s="65"/>
      <c r="H84" s="65"/>
      <c r="I84" s="65"/>
      <c r="J84" s="65"/>
      <c r="K84" s="71"/>
      <c r="L84" s="67" t="s">
        <v>27</v>
      </c>
      <c r="M84" s="66"/>
      <c r="N84" s="66"/>
      <c r="O84" s="68"/>
      <c r="P84" s="66"/>
      <c r="Q84" s="107"/>
      <c r="R84" s="108"/>
      <c r="S84" s="69">
        <f>R84*0.375</f>
        <v>0</v>
      </c>
      <c r="T84" s="69">
        <f>R84-S84</f>
        <v>0</v>
      </c>
      <c r="U84" s="4"/>
      <c r="V84" s="4"/>
    </row>
    <row r="85" spans="1:22" ht="10.5">
      <c r="A85" s="271"/>
      <c r="B85" s="272"/>
      <c r="C85" s="64"/>
      <c r="D85" s="65"/>
      <c r="E85" s="65"/>
      <c r="F85" s="65"/>
      <c r="G85" s="65"/>
      <c r="H85" s="65"/>
      <c r="I85" s="65"/>
      <c r="J85" s="65"/>
      <c r="K85" s="71"/>
      <c r="L85" s="67" t="s">
        <v>249</v>
      </c>
      <c r="M85" s="66"/>
      <c r="N85" s="66"/>
      <c r="O85" s="68"/>
      <c r="P85" s="66"/>
      <c r="Q85" s="107"/>
      <c r="R85" s="108"/>
      <c r="S85" s="209"/>
      <c r="T85" s="209"/>
      <c r="U85" s="4"/>
      <c r="V85" s="4"/>
    </row>
    <row r="86" spans="1:22" ht="10.5">
      <c r="A86" s="271"/>
      <c r="B86" s="272"/>
      <c r="C86" s="64"/>
      <c r="D86" s="65"/>
      <c r="E86" s="65"/>
      <c r="F86" s="65"/>
      <c r="G86" s="65"/>
      <c r="H86" s="65"/>
      <c r="I86" s="65"/>
      <c r="J86" s="65"/>
      <c r="K86" s="71"/>
      <c r="L86" s="67" t="s">
        <v>276</v>
      </c>
      <c r="M86" s="66"/>
      <c r="N86" s="66"/>
      <c r="O86" s="68"/>
      <c r="P86" s="66"/>
      <c r="Q86" s="107"/>
      <c r="R86" s="108"/>
      <c r="S86" s="209"/>
      <c r="T86" s="209"/>
      <c r="U86" s="4"/>
      <c r="V86" s="4"/>
    </row>
    <row r="87" spans="1:22" ht="10.5">
      <c r="A87" s="271"/>
      <c r="B87" s="272"/>
      <c r="C87" s="64"/>
      <c r="D87" s="65"/>
      <c r="E87" s="65"/>
      <c r="F87" s="65"/>
      <c r="G87" s="65"/>
      <c r="H87" s="65"/>
      <c r="I87" s="65"/>
      <c r="J87" s="65"/>
      <c r="K87" s="71"/>
      <c r="L87" s="67" t="s">
        <v>290</v>
      </c>
      <c r="M87" s="66"/>
      <c r="N87" s="66"/>
      <c r="O87" s="68"/>
      <c r="P87" s="66"/>
      <c r="Q87" s="107"/>
      <c r="R87" s="108"/>
      <c r="S87" s="209"/>
      <c r="T87" s="209"/>
      <c r="U87" s="4"/>
      <c r="V87" s="4"/>
    </row>
    <row r="88" spans="1:22" ht="10.5">
      <c r="A88" s="273"/>
      <c r="B88" s="274"/>
      <c r="C88" s="72"/>
      <c r="D88" s="73"/>
      <c r="E88" s="73"/>
      <c r="F88" s="73"/>
      <c r="G88" s="73"/>
      <c r="H88" s="73"/>
      <c r="I88" s="73"/>
      <c r="J88" s="73"/>
      <c r="K88" s="74"/>
      <c r="L88" s="75" t="s">
        <v>13</v>
      </c>
      <c r="M88" s="76">
        <f aca="true" t="shared" si="18" ref="M88:R88">M82-M83-M84</f>
        <v>45000</v>
      </c>
      <c r="N88" s="76">
        <f t="shared" si="18"/>
        <v>0</v>
      </c>
      <c r="O88" s="77">
        <f t="shared" si="18"/>
        <v>0</v>
      </c>
      <c r="P88" s="76">
        <f t="shared" si="18"/>
        <v>0</v>
      </c>
      <c r="Q88" s="76">
        <f t="shared" si="18"/>
        <v>0</v>
      </c>
      <c r="R88" s="77">
        <f t="shared" si="18"/>
        <v>0</v>
      </c>
      <c r="S88" s="62"/>
      <c r="T88" s="62"/>
      <c r="U88" s="4"/>
      <c r="V88" s="4"/>
    </row>
    <row r="89" spans="1:21" ht="21">
      <c r="A89" s="79" t="s">
        <v>14</v>
      </c>
      <c r="B89" s="79" t="s">
        <v>11</v>
      </c>
      <c r="C89" s="80" t="s">
        <v>22</v>
      </c>
      <c r="D89" s="80" t="s">
        <v>19</v>
      </c>
      <c r="E89" s="81" t="s">
        <v>2</v>
      </c>
      <c r="F89" s="80" t="s">
        <v>18</v>
      </c>
      <c r="G89" s="80" t="s">
        <v>17</v>
      </c>
      <c r="H89" s="81" t="s">
        <v>16</v>
      </c>
      <c r="I89" s="81" t="s">
        <v>15</v>
      </c>
      <c r="J89" s="80" t="s">
        <v>3</v>
      </c>
      <c r="K89" s="80" t="s">
        <v>4</v>
      </c>
      <c r="L89" s="82" t="s">
        <v>5</v>
      </c>
      <c r="M89" s="79" t="s">
        <v>20</v>
      </c>
      <c r="N89" s="79" t="s">
        <v>39</v>
      </c>
      <c r="O89" s="82" t="s">
        <v>40</v>
      </c>
      <c r="P89" s="79" t="s">
        <v>21</v>
      </c>
      <c r="Q89" s="79" t="s">
        <v>41</v>
      </c>
      <c r="R89" s="82" t="s">
        <v>42</v>
      </c>
      <c r="S89" s="281" t="s">
        <v>25</v>
      </c>
      <c r="T89" s="281"/>
      <c r="U89" s="4"/>
    </row>
    <row r="90" spans="1:20" ht="14.25">
      <c r="A90" s="1"/>
      <c r="B90" s="2"/>
      <c r="C90" s="124"/>
      <c r="D90" s="110"/>
      <c r="E90" s="110"/>
      <c r="F90" s="125"/>
      <c r="G90" s="126"/>
      <c r="H90" s="126"/>
      <c r="I90" s="111"/>
      <c r="J90" s="127"/>
      <c r="K90" s="127"/>
      <c r="L90" s="128">
        <f>+K90+J90</f>
        <v>0</v>
      </c>
      <c r="M90" s="88"/>
      <c r="N90" s="88"/>
      <c r="O90" s="87">
        <f>+N90+M90</f>
        <v>0</v>
      </c>
      <c r="P90" s="88">
        <f>M90*0.65</f>
        <v>0</v>
      </c>
      <c r="Q90" s="88"/>
      <c r="R90" s="87">
        <f>+Q90+P90</f>
        <v>0</v>
      </c>
      <c r="S90" s="263"/>
      <c r="T90" s="263"/>
    </row>
    <row r="91" spans="1:20" ht="14.25">
      <c r="A91" s="1"/>
      <c r="B91" s="2"/>
      <c r="C91" s="124"/>
      <c r="D91" s="110"/>
      <c r="E91" s="110"/>
      <c r="F91" s="125"/>
      <c r="G91" s="126"/>
      <c r="H91" s="126"/>
      <c r="I91" s="111"/>
      <c r="J91" s="127"/>
      <c r="K91" s="127"/>
      <c r="L91" s="128">
        <f>+K91+J91</f>
        <v>0</v>
      </c>
      <c r="M91" s="88"/>
      <c r="N91" s="88"/>
      <c r="O91" s="87">
        <f>+N91+M91</f>
        <v>0</v>
      </c>
      <c r="P91" s="88">
        <f>M91*0.65</f>
        <v>0</v>
      </c>
      <c r="Q91" s="88"/>
      <c r="R91" s="87">
        <f>+Q91+P91</f>
        <v>0</v>
      </c>
      <c r="S91" s="263"/>
      <c r="T91" s="263"/>
    </row>
    <row r="92" spans="1:21" ht="10.5">
      <c r="A92" s="120"/>
      <c r="B92" s="2"/>
      <c r="C92" s="95"/>
      <c r="D92" s="95"/>
      <c r="E92" s="95"/>
      <c r="F92" s="95"/>
      <c r="G92" s="96"/>
      <c r="H92" s="97"/>
      <c r="I92" s="97"/>
      <c r="J92" s="88"/>
      <c r="K92" s="88"/>
      <c r="L92" s="87"/>
      <c r="M92" s="88"/>
      <c r="N92" s="88"/>
      <c r="O92" s="87"/>
      <c r="P92" s="88"/>
      <c r="Q92" s="88"/>
      <c r="R92" s="87"/>
      <c r="S92" s="262"/>
      <c r="T92" s="262"/>
      <c r="U92" s="4"/>
    </row>
    <row r="93" ht="10.5">
      <c r="U93" s="4"/>
    </row>
    <row r="94" spans="1:21" ht="10.5">
      <c r="A94" s="49"/>
      <c r="B94" s="50"/>
      <c r="C94" s="122"/>
      <c r="D94" s="264" t="s">
        <v>9</v>
      </c>
      <c r="E94" s="264"/>
      <c r="F94" s="264"/>
      <c r="G94" s="264"/>
      <c r="H94" s="264"/>
      <c r="I94" s="264"/>
      <c r="J94" s="278" t="s">
        <v>64</v>
      </c>
      <c r="K94" s="279"/>
      <c r="L94" s="279"/>
      <c r="M94" s="278" t="s">
        <v>63</v>
      </c>
      <c r="N94" s="279"/>
      <c r="O94" s="280"/>
      <c r="P94" s="278" t="s">
        <v>21</v>
      </c>
      <c r="Q94" s="279"/>
      <c r="R94" s="280"/>
      <c r="S94" s="52" t="s">
        <v>23</v>
      </c>
      <c r="T94" s="53" t="s">
        <v>24</v>
      </c>
      <c r="U94" s="4"/>
    </row>
    <row r="95" spans="1:22" ht="10.5">
      <c r="A95" s="271"/>
      <c r="B95" s="272"/>
      <c r="C95" s="275"/>
      <c r="D95" s="276"/>
      <c r="E95" s="276"/>
      <c r="F95" s="276"/>
      <c r="G95" s="276"/>
      <c r="H95" s="276"/>
      <c r="I95" s="276"/>
      <c r="J95" s="276"/>
      <c r="K95" s="277"/>
      <c r="L95" s="121" t="s">
        <v>12</v>
      </c>
      <c r="M95" s="59">
        <f>38.94*1000</f>
        <v>38940</v>
      </c>
      <c r="N95" s="59"/>
      <c r="O95" s="60"/>
      <c r="P95" s="59"/>
      <c r="Q95" s="59">
        <f>N95*0.65</f>
        <v>0</v>
      </c>
      <c r="R95" s="60">
        <f>O95*0.65</f>
        <v>0</v>
      </c>
      <c r="S95" s="103"/>
      <c r="T95" s="103"/>
      <c r="U95" s="4"/>
      <c r="V95" s="4"/>
    </row>
    <row r="96" spans="1:22" ht="10.5">
      <c r="A96" s="271"/>
      <c r="B96" s="272"/>
      <c r="C96" s="64"/>
      <c r="D96" s="65"/>
      <c r="E96" s="65"/>
      <c r="F96" s="65"/>
      <c r="G96" s="65"/>
      <c r="H96" s="65"/>
      <c r="I96" s="65"/>
      <c r="J96" s="65"/>
      <c r="K96" s="66"/>
      <c r="L96" s="67" t="s">
        <v>26</v>
      </c>
      <c r="M96" s="66"/>
      <c r="N96" s="66"/>
      <c r="O96" s="68"/>
      <c r="P96" s="66"/>
      <c r="Q96" s="107"/>
      <c r="R96" s="108"/>
      <c r="S96" s="69">
        <f>R96*0.375</f>
        <v>0</v>
      </c>
      <c r="T96" s="69">
        <f>R96-S96</f>
        <v>0</v>
      </c>
      <c r="U96" s="4"/>
      <c r="V96" s="4"/>
    </row>
    <row r="97" spans="1:22" ht="10.5">
      <c r="A97" s="271"/>
      <c r="B97" s="272"/>
      <c r="C97" s="64"/>
      <c r="D97" s="65"/>
      <c r="E97" s="65"/>
      <c r="F97" s="65"/>
      <c r="G97" s="65"/>
      <c r="H97" s="65"/>
      <c r="I97" s="65"/>
      <c r="J97" s="65"/>
      <c r="K97" s="71"/>
      <c r="L97" s="67" t="s">
        <v>27</v>
      </c>
      <c r="M97" s="66"/>
      <c r="N97" s="66"/>
      <c r="O97" s="68"/>
      <c r="P97" s="66"/>
      <c r="Q97" s="107"/>
      <c r="R97" s="108"/>
      <c r="S97" s="69">
        <f>R97*0.375</f>
        <v>0</v>
      </c>
      <c r="T97" s="69">
        <f>R97-S97</f>
        <v>0</v>
      </c>
      <c r="U97" s="4"/>
      <c r="V97" s="4"/>
    </row>
    <row r="98" spans="1:22" ht="10.5">
      <c r="A98" s="271"/>
      <c r="B98" s="272"/>
      <c r="C98" s="64"/>
      <c r="D98" s="65"/>
      <c r="E98" s="65"/>
      <c r="F98" s="65"/>
      <c r="G98" s="65"/>
      <c r="H98" s="65"/>
      <c r="I98" s="65"/>
      <c r="J98" s="65"/>
      <c r="K98" s="71"/>
      <c r="L98" s="67" t="s">
        <v>249</v>
      </c>
      <c r="M98" s="66"/>
      <c r="N98" s="66"/>
      <c r="O98" s="68"/>
      <c r="P98" s="66"/>
      <c r="Q98" s="107"/>
      <c r="R98" s="108"/>
      <c r="S98" s="209"/>
      <c r="T98" s="209"/>
      <c r="U98" s="4"/>
      <c r="V98" s="4"/>
    </row>
    <row r="99" spans="1:22" ht="10.5">
      <c r="A99" s="271"/>
      <c r="B99" s="272"/>
      <c r="C99" s="64"/>
      <c r="D99" s="65"/>
      <c r="E99" s="65"/>
      <c r="F99" s="65"/>
      <c r="G99" s="65"/>
      <c r="H99" s="65"/>
      <c r="I99" s="65"/>
      <c r="J99" s="65"/>
      <c r="K99" s="71"/>
      <c r="L99" s="67" t="s">
        <v>276</v>
      </c>
      <c r="M99" s="66">
        <f>+M103</f>
        <v>50616</v>
      </c>
      <c r="N99" s="66">
        <f>+N103</f>
        <v>10123.2</v>
      </c>
      <c r="O99" s="68">
        <f>+N99+M99</f>
        <v>60739.2</v>
      </c>
      <c r="P99" s="66">
        <f>+P103</f>
        <v>32900.4</v>
      </c>
      <c r="Q99" s="66">
        <f>+Q103</f>
        <v>6580.080000000001</v>
      </c>
      <c r="R99" s="68">
        <f>+Q99+P99</f>
        <v>39480.48</v>
      </c>
      <c r="S99" s="69">
        <f>R99*0.375</f>
        <v>14805.18</v>
      </c>
      <c r="T99" s="69">
        <f>R99-S99</f>
        <v>24675.300000000003</v>
      </c>
      <c r="U99" s="4"/>
      <c r="V99" s="4"/>
    </row>
    <row r="100" spans="1:22" ht="10.5">
      <c r="A100" s="271"/>
      <c r="B100" s="272"/>
      <c r="C100" s="64"/>
      <c r="D100" s="65"/>
      <c r="E100" s="65"/>
      <c r="F100" s="65"/>
      <c r="G100" s="65"/>
      <c r="H100" s="65"/>
      <c r="I100" s="65"/>
      <c r="J100" s="65"/>
      <c r="K100" s="71"/>
      <c r="L100" s="67" t="s">
        <v>290</v>
      </c>
      <c r="M100" s="66">
        <f>SUM(M104:M106)</f>
        <v>10497.5</v>
      </c>
      <c r="N100" s="66">
        <f>SUM(N104:N106)</f>
        <v>2099.5</v>
      </c>
      <c r="O100" s="68">
        <f>+N100+M100</f>
        <v>12597</v>
      </c>
      <c r="P100" s="66">
        <f>SUM(P104:P106)</f>
        <v>6823.375</v>
      </c>
      <c r="Q100" s="66">
        <f>SUM(Q104:Q106)</f>
        <v>1364.6750000000002</v>
      </c>
      <c r="R100" s="68">
        <f>+Q100+P100</f>
        <v>8188.05</v>
      </c>
      <c r="S100" s="69"/>
      <c r="T100" s="69">
        <f>R100-S100</f>
        <v>8188.05</v>
      </c>
      <c r="U100" s="4"/>
      <c r="V100" s="4"/>
    </row>
    <row r="101" spans="1:22" ht="10.5">
      <c r="A101" s="273"/>
      <c r="B101" s="274"/>
      <c r="C101" s="268"/>
      <c r="D101" s="269"/>
      <c r="E101" s="269"/>
      <c r="F101" s="269"/>
      <c r="G101" s="269"/>
      <c r="H101" s="269"/>
      <c r="I101" s="269"/>
      <c r="J101" s="269"/>
      <c r="K101" s="270"/>
      <c r="L101" s="75" t="s">
        <v>13</v>
      </c>
      <c r="M101" s="76">
        <f>M95-M96-M97-M98-M99-M100</f>
        <v>-22173.5</v>
      </c>
      <c r="N101" s="76">
        <f>N95-N96-N97</f>
        <v>0</v>
      </c>
      <c r="O101" s="77">
        <f>O95-O96-O97</f>
        <v>0</v>
      </c>
      <c r="P101" s="76"/>
      <c r="Q101" s="76">
        <f>Q95-Q96-Q97</f>
        <v>0</v>
      </c>
      <c r="R101" s="77">
        <f>R95-R96-R97</f>
        <v>0</v>
      </c>
      <c r="S101" s="62"/>
      <c r="T101" s="62"/>
      <c r="U101" s="4"/>
      <c r="V101" s="4"/>
    </row>
    <row r="102" spans="1:21" ht="21">
      <c r="A102" s="79" t="s">
        <v>14</v>
      </c>
      <c r="B102" s="79" t="s">
        <v>11</v>
      </c>
      <c r="C102" s="80" t="s">
        <v>22</v>
      </c>
      <c r="D102" s="80" t="s">
        <v>19</v>
      </c>
      <c r="E102" s="81" t="s">
        <v>2</v>
      </c>
      <c r="F102" s="80" t="s">
        <v>18</v>
      </c>
      <c r="G102" s="80" t="s">
        <v>17</v>
      </c>
      <c r="H102" s="81" t="s">
        <v>16</v>
      </c>
      <c r="I102" s="81" t="s">
        <v>15</v>
      </c>
      <c r="J102" s="80" t="s">
        <v>3</v>
      </c>
      <c r="K102" s="80" t="s">
        <v>4</v>
      </c>
      <c r="L102" s="82" t="s">
        <v>5</v>
      </c>
      <c r="M102" s="79" t="s">
        <v>20</v>
      </c>
      <c r="N102" s="79" t="s">
        <v>39</v>
      </c>
      <c r="O102" s="82" t="s">
        <v>40</v>
      </c>
      <c r="P102" s="79" t="s">
        <v>21</v>
      </c>
      <c r="Q102" s="79" t="s">
        <v>41</v>
      </c>
      <c r="R102" s="82" t="s">
        <v>42</v>
      </c>
      <c r="S102" s="281" t="s">
        <v>25</v>
      </c>
      <c r="T102" s="281"/>
      <c r="U102" s="4"/>
    </row>
    <row r="103" spans="1:21" ht="33.75" customHeight="1">
      <c r="A103" s="1" t="s">
        <v>254</v>
      </c>
      <c r="B103" s="2"/>
      <c r="C103" s="3" t="s">
        <v>48</v>
      </c>
      <c r="D103" s="129" t="s">
        <v>275</v>
      </c>
      <c r="E103" s="113" t="s">
        <v>268</v>
      </c>
      <c r="F103" s="133" t="s">
        <v>269</v>
      </c>
      <c r="G103" s="134">
        <v>39199</v>
      </c>
      <c r="H103" s="233" t="s">
        <v>270</v>
      </c>
      <c r="I103" s="135" t="s">
        <v>53</v>
      </c>
      <c r="J103" s="136">
        <v>50616</v>
      </c>
      <c r="K103" s="137">
        <v>10123.2</v>
      </c>
      <c r="L103" s="128">
        <v>60739.2</v>
      </c>
      <c r="M103" s="136">
        <v>50616</v>
      </c>
      <c r="N103" s="137">
        <v>10123.2</v>
      </c>
      <c r="O103" s="128">
        <v>60739.2</v>
      </c>
      <c r="P103" s="88">
        <f aca="true" t="shared" si="19" ref="P103:Q106">M103*0.65</f>
        <v>32900.4</v>
      </c>
      <c r="Q103" s="88">
        <f t="shared" si="19"/>
        <v>6580.080000000001</v>
      </c>
      <c r="R103" s="87">
        <f>+Q103+P103</f>
        <v>39480.48</v>
      </c>
      <c r="S103" s="262"/>
      <c r="T103" s="262"/>
      <c r="U103" s="4"/>
    </row>
    <row r="104" spans="1:21" ht="33.75" customHeight="1">
      <c r="A104" s="1" t="s">
        <v>291</v>
      </c>
      <c r="B104" s="2"/>
      <c r="C104" s="3" t="s">
        <v>48</v>
      </c>
      <c r="D104" s="129" t="s">
        <v>275</v>
      </c>
      <c r="E104" s="113" t="s">
        <v>298</v>
      </c>
      <c r="F104" s="133" t="s">
        <v>302</v>
      </c>
      <c r="G104" s="134">
        <v>39434</v>
      </c>
      <c r="H104" s="233">
        <v>39493</v>
      </c>
      <c r="I104" s="135" t="s">
        <v>53</v>
      </c>
      <c r="J104" s="136">
        <v>9680</v>
      </c>
      <c r="K104" s="137">
        <v>1936</v>
      </c>
      <c r="L104" s="128">
        <v>11616</v>
      </c>
      <c r="M104" s="136">
        <v>9680</v>
      </c>
      <c r="N104" s="137">
        <v>1936</v>
      </c>
      <c r="O104" s="128">
        <v>11616</v>
      </c>
      <c r="P104" s="88">
        <f t="shared" si="19"/>
        <v>6292</v>
      </c>
      <c r="Q104" s="88">
        <f t="shared" si="19"/>
        <v>1258.4</v>
      </c>
      <c r="R104" s="87">
        <f>+Q104+P104</f>
        <v>7550.4</v>
      </c>
      <c r="S104" s="288" t="s">
        <v>292</v>
      </c>
      <c r="T104" s="289"/>
      <c r="U104" s="4"/>
    </row>
    <row r="105" spans="1:21" ht="33.75" customHeight="1">
      <c r="A105" s="1" t="s">
        <v>291</v>
      </c>
      <c r="B105" s="2"/>
      <c r="C105" s="3" t="s">
        <v>48</v>
      </c>
      <c r="D105" s="129" t="s">
        <v>299</v>
      </c>
      <c r="E105" s="113" t="s">
        <v>268</v>
      </c>
      <c r="F105" s="133" t="s">
        <v>300</v>
      </c>
      <c r="G105" s="134">
        <v>39449</v>
      </c>
      <c r="H105" s="233">
        <v>39437</v>
      </c>
      <c r="I105" s="135" t="s">
        <v>53</v>
      </c>
      <c r="J105" s="136">
        <v>105</v>
      </c>
      <c r="K105" s="137">
        <v>21</v>
      </c>
      <c r="L105" s="128">
        <v>126</v>
      </c>
      <c r="M105" s="136">
        <v>105</v>
      </c>
      <c r="N105" s="137">
        <v>21</v>
      </c>
      <c r="O105" s="128">
        <v>126</v>
      </c>
      <c r="P105" s="88">
        <f t="shared" si="19"/>
        <v>68.25</v>
      </c>
      <c r="Q105" s="88">
        <f t="shared" si="19"/>
        <v>13.65</v>
      </c>
      <c r="R105" s="87">
        <f>+Q105+P105</f>
        <v>81.9</v>
      </c>
      <c r="S105" s="288" t="s">
        <v>292</v>
      </c>
      <c r="T105" s="289"/>
      <c r="U105" s="4"/>
    </row>
    <row r="106" spans="1:21" ht="35.25" customHeight="1">
      <c r="A106" s="1" t="s">
        <v>291</v>
      </c>
      <c r="B106" s="2"/>
      <c r="C106" s="3" t="s">
        <v>48</v>
      </c>
      <c r="D106" s="129" t="s">
        <v>299</v>
      </c>
      <c r="E106" s="138" t="s">
        <v>268</v>
      </c>
      <c r="F106" s="133" t="s">
        <v>301</v>
      </c>
      <c r="G106" s="134">
        <v>39449</v>
      </c>
      <c r="H106" s="97">
        <v>39437</v>
      </c>
      <c r="I106" s="135" t="s">
        <v>53</v>
      </c>
      <c r="J106" s="136">
        <v>712.5</v>
      </c>
      <c r="K106" s="137">
        <v>142.5</v>
      </c>
      <c r="L106" s="128">
        <v>855</v>
      </c>
      <c r="M106" s="88">
        <v>712.5</v>
      </c>
      <c r="N106" s="88">
        <v>142.5</v>
      </c>
      <c r="O106" s="87">
        <v>855</v>
      </c>
      <c r="P106" s="88">
        <f t="shared" si="19"/>
        <v>463.125</v>
      </c>
      <c r="Q106" s="88">
        <f t="shared" si="19"/>
        <v>92.625</v>
      </c>
      <c r="R106" s="87">
        <f>+Q106+P106</f>
        <v>555.75</v>
      </c>
      <c r="S106" s="288" t="s">
        <v>292</v>
      </c>
      <c r="T106" s="289"/>
      <c r="U106" s="4"/>
    </row>
    <row r="107" spans="1:21" ht="10.5">
      <c r="A107" s="120"/>
      <c r="B107" s="2"/>
      <c r="C107" s="95"/>
      <c r="D107" s="95"/>
      <c r="E107" s="95"/>
      <c r="F107" s="95"/>
      <c r="G107" s="96"/>
      <c r="H107" s="97"/>
      <c r="I107" s="97"/>
      <c r="J107" s="88"/>
      <c r="K107" s="88"/>
      <c r="L107" s="87"/>
      <c r="M107" s="88"/>
      <c r="N107" s="88"/>
      <c r="O107" s="87"/>
      <c r="P107" s="88"/>
      <c r="Q107" s="88"/>
      <c r="R107" s="87"/>
      <c r="S107" s="262"/>
      <c r="T107" s="262"/>
      <c r="U107" s="4"/>
    </row>
    <row r="108" ht="10.5">
      <c r="U108" s="4"/>
    </row>
    <row r="109" spans="1:21" ht="10.5">
      <c r="A109" s="49"/>
      <c r="B109" s="50"/>
      <c r="C109" s="122"/>
      <c r="D109" s="264" t="s">
        <v>10</v>
      </c>
      <c r="E109" s="264"/>
      <c r="F109" s="264"/>
      <c r="G109" s="264"/>
      <c r="H109" s="264"/>
      <c r="I109" s="264"/>
      <c r="J109" s="278" t="s">
        <v>64</v>
      </c>
      <c r="K109" s="279"/>
      <c r="L109" s="279"/>
      <c r="M109" s="278" t="s">
        <v>63</v>
      </c>
      <c r="N109" s="279"/>
      <c r="O109" s="280"/>
      <c r="P109" s="278" t="s">
        <v>21</v>
      </c>
      <c r="Q109" s="279"/>
      <c r="R109" s="280"/>
      <c r="S109" s="52" t="s">
        <v>23</v>
      </c>
      <c r="T109" s="53" t="s">
        <v>24</v>
      </c>
      <c r="U109" s="4"/>
    </row>
    <row r="110" spans="1:22" ht="10.5">
      <c r="A110" s="271"/>
      <c r="B110" s="272"/>
      <c r="C110" s="275"/>
      <c r="D110" s="276"/>
      <c r="E110" s="276"/>
      <c r="F110" s="276"/>
      <c r="G110" s="276"/>
      <c r="H110" s="276"/>
      <c r="I110" s="276"/>
      <c r="J110" s="276"/>
      <c r="K110" s="277"/>
      <c r="L110" s="121" t="s">
        <v>12</v>
      </c>
      <c r="M110" s="59">
        <f>16.916*1000</f>
        <v>16916</v>
      </c>
      <c r="N110" s="59"/>
      <c r="O110" s="60"/>
      <c r="P110" s="59"/>
      <c r="Q110" s="59"/>
      <c r="R110" s="60"/>
      <c r="S110" s="103"/>
      <c r="T110" s="103"/>
      <c r="U110" s="4"/>
      <c r="V110" s="4"/>
    </row>
    <row r="111" spans="1:22" ht="10.5">
      <c r="A111" s="271"/>
      <c r="B111" s="272"/>
      <c r="C111" s="64"/>
      <c r="D111" s="65"/>
      <c r="E111" s="65"/>
      <c r="F111" s="65"/>
      <c r="G111" s="65"/>
      <c r="H111" s="65"/>
      <c r="I111" s="65"/>
      <c r="J111" s="65"/>
      <c r="K111" s="66"/>
      <c r="L111" s="67" t="s">
        <v>26</v>
      </c>
      <c r="M111" s="66">
        <f aca="true" t="shared" si="20" ref="M111:R111">SUM(M118:M119)</f>
        <v>1775.82</v>
      </c>
      <c r="N111" s="66">
        <f t="shared" si="20"/>
        <v>0</v>
      </c>
      <c r="O111" s="68">
        <f t="shared" si="20"/>
        <v>1775.82</v>
      </c>
      <c r="P111" s="66">
        <f t="shared" si="20"/>
        <v>1154.283</v>
      </c>
      <c r="Q111" s="66">
        <f t="shared" si="20"/>
        <v>0</v>
      </c>
      <c r="R111" s="68">
        <f t="shared" si="20"/>
        <v>1154.283</v>
      </c>
      <c r="S111" s="69">
        <f>R111*0.375</f>
        <v>432.85612499999996</v>
      </c>
      <c r="T111" s="69">
        <f>R111-S111</f>
        <v>721.4268749999999</v>
      </c>
      <c r="U111" s="4"/>
      <c r="V111" s="4"/>
    </row>
    <row r="112" spans="1:22" ht="10.5">
      <c r="A112" s="271"/>
      <c r="B112" s="272"/>
      <c r="C112" s="64"/>
      <c r="D112" s="65"/>
      <c r="E112" s="65"/>
      <c r="F112" s="65"/>
      <c r="G112" s="65"/>
      <c r="H112" s="65"/>
      <c r="I112" s="65"/>
      <c r="J112" s="65"/>
      <c r="K112" s="71"/>
      <c r="L112" s="67" t="s">
        <v>27</v>
      </c>
      <c r="M112" s="66">
        <f>SUM(M120:M191)</f>
        <v>9651.166999999992</v>
      </c>
      <c r="N112" s="66">
        <f>SUM(N120:N191)</f>
        <v>1784.8619999999985</v>
      </c>
      <c r="O112" s="68">
        <f>+N112+M112</f>
        <v>11436.028999999991</v>
      </c>
      <c r="P112" s="66">
        <f>SUM(P120:P191)</f>
        <v>6273.258549999999</v>
      </c>
      <c r="Q112" s="66">
        <f>SUM(Q120:Q191)</f>
        <v>1160.1603</v>
      </c>
      <c r="R112" s="68">
        <f>+Q112+P112</f>
        <v>7433.418849999998</v>
      </c>
      <c r="S112" s="69">
        <f>R112*0.375</f>
        <v>2787.5320687499993</v>
      </c>
      <c r="T112" s="69">
        <f>R112-S112</f>
        <v>4645.886781249999</v>
      </c>
      <c r="U112" s="4"/>
      <c r="V112" s="4"/>
    </row>
    <row r="113" spans="1:22" ht="10.5">
      <c r="A113" s="271"/>
      <c r="B113" s="272"/>
      <c r="C113" s="64"/>
      <c r="D113" s="65"/>
      <c r="E113" s="65"/>
      <c r="F113" s="65"/>
      <c r="G113" s="65"/>
      <c r="H113" s="65"/>
      <c r="I113" s="65"/>
      <c r="J113" s="65"/>
      <c r="K113" s="71"/>
      <c r="L113" s="67" t="s">
        <v>249</v>
      </c>
      <c r="M113" s="66">
        <f>SUM(M192:M213)</f>
        <v>5489.011666666667</v>
      </c>
      <c r="N113" s="66">
        <f>SUM(N192:N213)</f>
        <v>1598.3383333333331</v>
      </c>
      <c r="O113" s="68">
        <f>+N113+M113</f>
        <v>7087.35</v>
      </c>
      <c r="P113" s="66">
        <f>SUM(P192:P213)</f>
        <v>3567.8575833333325</v>
      </c>
      <c r="Q113" s="66">
        <f>SUM(Q192:Q213)</f>
        <v>1038.9199166666672</v>
      </c>
      <c r="R113" s="68">
        <f>+Q113+P113</f>
        <v>4606.7775</v>
      </c>
      <c r="S113" s="69">
        <f>R113*0.375</f>
        <v>1727.5415625</v>
      </c>
      <c r="T113" s="69">
        <f>R113-S113</f>
        <v>2879.2359375</v>
      </c>
      <c r="U113" s="4"/>
      <c r="V113" s="4"/>
    </row>
    <row r="114" spans="1:22" ht="10.5">
      <c r="A114" s="271"/>
      <c r="B114" s="272"/>
      <c r="C114" s="64"/>
      <c r="D114" s="65"/>
      <c r="E114" s="65"/>
      <c r="F114" s="65"/>
      <c r="G114" s="65"/>
      <c r="H114" s="65"/>
      <c r="I114" s="65"/>
      <c r="J114" s="65"/>
      <c r="K114" s="71"/>
      <c r="L114" s="67" t="s">
        <v>276</v>
      </c>
      <c r="M114" s="66">
        <f>SUM(M214:M220)</f>
        <v>10492.67</v>
      </c>
      <c r="N114" s="66">
        <f>SUM(N214:N220)</f>
        <v>2098.534</v>
      </c>
      <c r="O114" s="68">
        <f>+N114+M114</f>
        <v>12591.204</v>
      </c>
      <c r="P114" s="66">
        <f>SUM(P214:P220)</f>
        <v>6820.235500000001</v>
      </c>
      <c r="Q114" s="66">
        <f>SUM(Q214:Q220)</f>
        <v>1364.0471</v>
      </c>
      <c r="R114" s="68">
        <f>+Q114+P114</f>
        <v>8184.2826000000005</v>
      </c>
      <c r="S114" s="69">
        <f>R114*0.375</f>
        <v>3069.1059750000004</v>
      </c>
      <c r="T114" s="69">
        <f>R114-S114</f>
        <v>5115.176625</v>
      </c>
      <c r="U114" s="4"/>
      <c r="V114" s="4"/>
    </row>
    <row r="115" spans="1:22" ht="10.5">
      <c r="A115" s="271"/>
      <c r="B115" s="272"/>
      <c r="C115" s="64"/>
      <c r="D115" s="65"/>
      <c r="E115" s="65"/>
      <c r="F115" s="65"/>
      <c r="G115" s="65"/>
      <c r="H115" s="65"/>
      <c r="I115" s="65"/>
      <c r="J115" s="65"/>
      <c r="K115" s="71"/>
      <c r="L115" s="67" t="s">
        <v>290</v>
      </c>
      <c r="M115" s="66">
        <f>SUM(M221)</f>
        <v>300</v>
      </c>
      <c r="N115" s="66">
        <f>SUM(N221)</f>
        <v>60</v>
      </c>
      <c r="O115" s="68">
        <f>+N115+M115</f>
        <v>360</v>
      </c>
      <c r="P115" s="66">
        <f>SUM(P221)</f>
        <v>195</v>
      </c>
      <c r="Q115" s="66">
        <f>SUM(Q221)</f>
        <v>39</v>
      </c>
      <c r="R115" s="68">
        <f>+Q115+P115</f>
        <v>234</v>
      </c>
      <c r="S115" s="69"/>
      <c r="T115" s="69">
        <f>R115-S115</f>
        <v>234</v>
      </c>
      <c r="U115" s="4"/>
      <c r="V115" s="4"/>
    </row>
    <row r="116" spans="1:22" ht="10.5">
      <c r="A116" s="273"/>
      <c r="B116" s="274"/>
      <c r="C116" s="268"/>
      <c r="D116" s="269"/>
      <c r="E116" s="269"/>
      <c r="F116" s="269"/>
      <c r="G116" s="269"/>
      <c r="H116" s="269"/>
      <c r="I116" s="269"/>
      <c r="J116" s="269"/>
      <c r="K116" s="270"/>
      <c r="L116" s="75" t="s">
        <v>13</v>
      </c>
      <c r="M116" s="76">
        <f>M110-M111-M112-M113-M114-M115</f>
        <v>-10792.66866666666</v>
      </c>
      <c r="N116" s="76"/>
      <c r="O116" s="76"/>
      <c r="P116" s="76">
        <f>P110-P111-P112-P113</f>
        <v>-10995.39913333333</v>
      </c>
      <c r="Q116" s="76">
        <f>Q110-Q111-Q112-Q113</f>
        <v>-2199.080216666667</v>
      </c>
      <c r="R116" s="76">
        <f>R110-R111-R112-R113</f>
        <v>-13194.479349999998</v>
      </c>
      <c r="S116" s="62"/>
      <c r="T116" s="62"/>
      <c r="U116" s="4"/>
      <c r="V116" s="4"/>
    </row>
    <row r="117" spans="1:21" ht="21">
      <c r="A117" s="139" t="s">
        <v>14</v>
      </c>
      <c r="B117" s="139" t="s">
        <v>11</v>
      </c>
      <c r="C117" s="140" t="s">
        <v>22</v>
      </c>
      <c r="D117" s="140" t="s">
        <v>19</v>
      </c>
      <c r="E117" s="141" t="s">
        <v>2</v>
      </c>
      <c r="F117" s="140" t="s">
        <v>18</v>
      </c>
      <c r="G117" s="140" t="s">
        <v>17</v>
      </c>
      <c r="H117" s="141" t="s">
        <v>16</v>
      </c>
      <c r="I117" s="141" t="s">
        <v>15</v>
      </c>
      <c r="J117" s="140" t="s">
        <v>3</v>
      </c>
      <c r="K117" s="140" t="s">
        <v>4</v>
      </c>
      <c r="L117" s="142" t="s">
        <v>5</v>
      </c>
      <c r="M117" s="79" t="s">
        <v>20</v>
      </c>
      <c r="N117" s="79" t="s">
        <v>39</v>
      </c>
      <c r="O117" s="82" t="s">
        <v>40</v>
      </c>
      <c r="P117" s="79" t="s">
        <v>21</v>
      </c>
      <c r="Q117" s="79" t="s">
        <v>41</v>
      </c>
      <c r="R117" s="82" t="s">
        <v>42</v>
      </c>
      <c r="S117" s="281" t="s">
        <v>25</v>
      </c>
      <c r="T117" s="281"/>
      <c r="U117" s="4"/>
    </row>
    <row r="118" spans="1:20" s="13" customFormat="1" ht="42" customHeight="1">
      <c r="A118" s="1" t="s">
        <v>45</v>
      </c>
      <c r="B118" s="2"/>
      <c r="C118" s="3" t="s">
        <v>48</v>
      </c>
      <c r="D118" s="6" t="s">
        <v>55</v>
      </c>
      <c r="E118" s="7" t="s">
        <v>57</v>
      </c>
      <c r="F118" s="16" t="s">
        <v>58</v>
      </c>
      <c r="G118" s="8" t="s">
        <v>59</v>
      </c>
      <c r="H118" s="8">
        <v>38317</v>
      </c>
      <c r="I118" s="8" t="s">
        <v>53</v>
      </c>
      <c r="J118" s="9">
        <v>998.9</v>
      </c>
      <c r="K118" s="5"/>
      <c r="L118" s="19">
        <f>+K118+J118</f>
        <v>998.9</v>
      </c>
      <c r="M118" s="10">
        <f>J118-110.99</f>
        <v>887.91</v>
      </c>
      <c r="N118" s="10"/>
      <c r="O118" s="19">
        <f>+N118+M118</f>
        <v>887.91</v>
      </c>
      <c r="P118" s="10">
        <f>+M118*0.65</f>
        <v>577.1415</v>
      </c>
      <c r="Q118" s="10">
        <f>+N118*0.65</f>
        <v>0</v>
      </c>
      <c r="R118" s="19">
        <f>+Q118+P118</f>
        <v>577.1415</v>
      </c>
      <c r="S118" s="262"/>
      <c r="T118" s="262"/>
    </row>
    <row r="119" spans="1:20" s="13" customFormat="1" ht="43.5" customHeight="1">
      <c r="A119" s="1" t="s">
        <v>45</v>
      </c>
      <c r="B119" s="2"/>
      <c r="C119" s="3" t="s">
        <v>48</v>
      </c>
      <c r="D119" s="6" t="s">
        <v>56</v>
      </c>
      <c r="E119" s="14" t="s">
        <v>57</v>
      </c>
      <c r="F119" s="16" t="s">
        <v>58</v>
      </c>
      <c r="G119" s="8" t="s">
        <v>59</v>
      </c>
      <c r="H119" s="8">
        <v>38679</v>
      </c>
      <c r="I119" s="15" t="s">
        <v>53</v>
      </c>
      <c r="J119" s="17">
        <v>998.9</v>
      </c>
      <c r="K119" s="10"/>
      <c r="L119" s="19">
        <f>+K119+J119</f>
        <v>998.9</v>
      </c>
      <c r="M119" s="10">
        <f>J119-110.99</f>
        <v>887.91</v>
      </c>
      <c r="N119" s="10"/>
      <c r="O119" s="19">
        <f>+N119+M119</f>
        <v>887.91</v>
      </c>
      <c r="P119" s="10">
        <f>+M119*0.65</f>
        <v>577.1415</v>
      </c>
      <c r="Q119" s="10"/>
      <c r="R119" s="19">
        <f>+Q119+P119</f>
        <v>577.1415</v>
      </c>
      <c r="S119" s="262"/>
      <c r="T119" s="262"/>
    </row>
    <row r="120" spans="1:20" ht="21" customHeight="1">
      <c r="A120" s="1" t="s">
        <v>67</v>
      </c>
      <c r="B120" s="2"/>
      <c r="C120" s="3" t="s">
        <v>48</v>
      </c>
      <c r="D120" s="83" t="s">
        <v>70</v>
      </c>
      <c r="E120" s="149" t="s">
        <v>71</v>
      </c>
      <c r="F120" s="155" t="s">
        <v>72</v>
      </c>
      <c r="G120" s="156">
        <v>38278</v>
      </c>
      <c r="H120" s="156">
        <v>38296</v>
      </c>
      <c r="I120" s="156" t="s">
        <v>73</v>
      </c>
      <c r="J120" s="148">
        <f aca="true" t="shared" si="21" ref="J120:J126">2844.54*100/120</f>
        <v>2370.45</v>
      </c>
      <c r="K120" s="148">
        <f aca="true" t="shared" si="22" ref="K120:K126">J120*20/100</f>
        <v>474.09</v>
      </c>
      <c r="L120" s="166">
        <f>J120+K120</f>
        <v>2844.54</v>
      </c>
      <c r="M120" s="148">
        <f>J120*15%</f>
        <v>355.56749999999994</v>
      </c>
      <c r="N120" s="88">
        <f>+K120*0.15</f>
        <v>71.11349999999999</v>
      </c>
      <c r="O120" s="87">
        <f>+N120+M120</f>
        <v>426.6809999999999</v>
      </c>
      <c r="P120" s="10">
        <f>+M120*0.65</f>
        <v>231.11887499999997</v>
      </c>
      <c r="Q120" s="10">
        <f>+N120*0.65</f>
        <v>46.223774999999996</v>
      </c>
      <c r="R120" s="19">
        <f>+Q120+P120</f>
        <v>277.34265</v>
      </c>
      <c r="S120" s="262"/>
      <c r="T120" s="262"/>
    </row>
    <row r="121" spans="1:20" ht="31.5" customHeight="1">
      <c r="A121" s="1" t="s">
        <v>67</v>
      </c>
      <c r="B121" s="2"/>
      <c r="C121" s="3" t="s">
        <v>48</v>
      </c>
      <c r="D121" s="157" t="s">
        <v>74</v>
      </c>
      <c r="E121" s="158" t="s">
        <v>71</v>
      </c>
      <c r="F121" s="150" t="s">
        <v>72</v>
      </c>
      <c r="G121" s="151">
        <v>38306</v>
      </c>
      <c r="H121" s="151">
        <v>38326</v>
      </c>
      <c r="I121" s="151" t="s">
        <v>73</v>
      </c>
      <c r="J121" s="153">
        <f t="shared" si="21"/>
        <v>2370.45</v>
      </c>
      <c r="K121" s="153">
        <f t="shared" si="22"/>
        <v>474.09</v>
      </c>
      <c r="L121" s="154">
        <f aca="true" t="shared" si="23" ref="L121:L131">SUM(J121+K121)</f>
        <v>2844.54</v>
      </c>
      <c r="M121" s="148">
        <f aca="true" t="shared" si="24" ref="M121:M126">J121*15%</f>
        <v>355.56749999999994</v>
      </c>
      <c r="N121" s="88">
        <f aca="true" t="shared" si="25" ref="N121:N126">+K121*0.15</f>
        <v>71.11349999999999</v>
      </c>
      <c r="O121" s="87">
        <f aca="true" t="shared" si="26" ref="O121:O126">+N121+M121</f>
        <v>426.6809999999999</v>
      </c>
      <c r="P121" s="10">
        <f aca="true" t="shared" si="27" ref="P121:P170">+M121*0.65</f>
        <v>231.11887499999997</v>
      </c>
      <c r="Q121" s="10">
        <f aca="true" t="shared" si="28" ref="Q121:Q170">+N121*0.65</f>
        <v>46.223774999999996</v>
      </c>
      <c r="R121" s="19">
        <f aca="true" t="shared" si="29" ref="R121:R170">+Q121+P121</f>
        <v>277.34265</v>
      </c>
      <c r="S121" s="262"/>
      <c r="T121" s="262"/>
    </row>
    <row r="122" spans="1:20" ht="31.5" customHeight="1">
      <c r="A122" s="1" t="s">
        <v>67</v>
      </c>
      <c r="B122" s="2"/>
      <c r="C122" s="3" t="s">
        <v>48</v>
      </c>
      <c r="D122" s="157" t="s">
        <v>75</v>
      </c>
      <c r="E122" s="158" t="s">
        <v>71</v>
      </c>
      <c r="F122" s="150" t="s">
        <v>72</v>
      </c>
      <c r="G122" s="151">
        <v>38336</v>
      </c>
      <c r="H122" s="151">
        <v>38357</v>
      </c>
      <c r="I122" s="151" t="s">
        <v>73</v>
      </c>
      <c r="J122" s="153">
        <f t="shared" si="21"/>
        <v>2370.45</v>
      </c>
      <c r="K122" s="153">
        <f t="shared" si="22"/>
        <v>474.09</v>
      </c>
      <c r="L122" s="154">
        <f t="shared" si="23"/>
        <v>2844.54</v>
      </c>
      <c r="M122" s="148">
        <f t="shared" si="24"/>
        <v>355.56749999999994</v>
      </c>
      <c r="N122" s="88">
        <f t="shared" si="25"/>
        <v>71.11349999999999</v>
      </c>
      <c r="O122" s="87">
        <f t="shared" si="26"/>
        <v>426.6809999999999</v>
      </c>
      <c r="P122" s="10">
        <f t="shared" si="27"/>
        <v>231.11887499999997</v>
      </c>
      <c r="Q122" s="10">
        <f t="shared" si="28"/>
        <v>46.223774999999996</v>
      </c>
      <c r="R122" s="19">
        <f t="shared" si="29"/>
        <v>277.34265</v>
      </c>
      <c r="S122" s="262"/>
      <c r="T122" s="262"/>
    </row>
    <row r="123" spans="1:20" ht="31.5" customHeight="1">
      <c r="A123" s="1" t="s">
        <v>67</v>
      </c>
      <c r="B123" s="2"/>
      <c r="C123" s="3" t="s">
        <v>48</v>
      </c>
      <c r="D123" s="157" t="s">
        <v>76</v>
      </c>
      <c r="E123" s="158" t="s">
        <v>71</v>
      </c>
      <c r="F123" s="150" t="s">
        <v>72</v>
      </c>
      <c r="G123" s="151">
        <v>38369</v>
      </c>
      <c r="H123" s="151">
        <v>38388</v>
      </c>
      <c r="I123" s="151" t="s">
        <v>73</v>
      </c>
      <c r="J123" s="153">
        <f t="shared" si="21"/>
        <v>2370.45</v>
      </c>
      <c r="K123" s="153">
        <f t="shared" si="22"/>
        <v>474.09</v>
      </c>
      <c r="L123" s="154">
        <f t="shared" si="23"/>
        <v>2844.54</v>
      </c>
      <c r="M123" s="148">
        <f t="shared" si="24"/>
        <v>355.56749999999994</v>
      </c>
      <c r="N123" s="88">
        <f t="shared" si="25"/>
        <v>71.11349999999999</v>
      </c>
      <c r="O123" s="87">
        <f t="shared" si="26"/>
        <v>426.6809999999999</v>
      </c>
      <c r="P123" s="10">
        <f t="shared" si="27"/>
        <v>231.11887499999997</v>
      </c>
      <c r="Q123" s="10">
        <f t="shared" si="28"/>
        <v>46.223774999999996</v>
      </c>
      <c r="R123" s="19">
        <f t="shared" si="29"/>
        <v>277.34265</v>
      </c>
      <c r="S123" s="262"/>
      <c r="T123" s="262"/>
    </row>
    <row r="124" spans="1:20" ht="31.5" customHeight="1">
      <c r="A124" s="1" t="s">
        <v>67</v>
      </c>
      <c r="B124" s="2"/>
      <c r="C124" s="3" t="s">
        <v>48</v>
      </c>
      <c r="D124" s="157" t="s">
        <v>77</v>
      </c>
      <c r="E124" s="158" t="s">
        <v>71</v>
      </c>
      <c r="F124" s="150" t="s">
        <v>72</v>
      </c>
      <c r="G124" s="151">
        <v>38399</v>
      </c>
      <c r="H124" s="151">
        <v>38416</v>
      </c>
      <c r="I124" s="151" t="s">
        <v>73</v>
      </c>
      <c r="J124" s="153">
        <f t="shared" si="21"/>
        <v>2370.45</v>
      </c>
      <c r="K124" s="153">
        <f t="shared" si="22"/>
        <v>474.09</v>
      </c>
      <c r="L124" s="154">
        <f t="shared" si="23"/>
        <v>2844.54</v>
      </c>
      <c r="M124" s="148">
        <f t="shared" si="24"/>
        <v>355.56749999999994</v>
      </c>
      <c r="N124" s="88">
        <f t="shared" si="25"/>
        <v>71.11349999999999</v>
      </c>
      <c r="O124" s="87">
        <f t="shared" si="26"/>
        <v>426.6809999999999</v>
      </c>
      <c r="P124" s="10">
        <f t="shared" si="27"/>
        <v>231.11887499999997</v>
      </c>
      <c r="Q124" s="10">
        <f t="shared" si="28"/>
        <v>46.223774999999996</v>
      </c>
      <c r="R124" s="19">
        <f t="shared" si="29"/>
        <v>277.34265</v>
      </c>
      <c r="S124" s="262"/>
      <c r="T124" s="262"/>
    </row>
    <row r="125" spans="1:20" ht="31.5" customHeight="1">
      <c r="A125" s="1" t="s">
        <v>67</v>
      </c>
      <c r="B125" s="2"/>
      <c r="C125" s="3" t="s">
        <v>48</v>
      </c>
      <c r="D125" s="157" t="s">
        <v>78</v>
      </c>
      <c r="E125" s="158" t="s">
        <v>71</v>
      </c>
      <c r="F125" s="150" t="s">
        <v>72</v>
      </c>
      <c r="G125" s="151">
        <v>38429</v>
      </c>
      <c r="H125" s="151">
        <v>38447</v>
      </c>
      <c r="I125" s="151" t="s">
        <v>73</v>
      </c>
      <c r="J125" s="153">
        <f t="shared" si="21"/>
        <v>2370.45</v>
      </c>
      <c r="K125" s="153">
        <f t="shared" si="22"/>
        <v>474.09</v>
      </c>
      <c r="L125" s="154">
        <f t="shared" si="23"/>
        <v>2844.54</v>
      </c>
      <c r="M125" s="148">
        <f t="shared" si="24"/>
        <v>355.56749999999994</v>
      </c>
      <c r="N125" s="88">
        <f t="shared" si="25"/>
        <v>71.11349999999999</v>
      </c>
      <c r="O125" s="87">
        <f t="shared" si="26"/>
        <v>426.6809999999999</v>
      </c>
      <c r="P125" s="10">
        <f t="shared" si="27"/>
        <v>231.11887499999997</v>
      </c>
      <c r="Q125" s="10">
        <f t="shared" si="28"/>
        <v>46.223774999999996</v>
      </c>
      <c r="R125" s="19">
        <f t="shared" si="29"/>
        <v>277.34265</v>
      </c>
      <c r="S125" s="262"/>
      <c r="T125" s="262"/>
    </row>
    <row r="126" spans="1:20" ht="31.5" customHeight="1">
      <c r="A126" s="1" t="s">
        <v>67</v>
      </c>
      <c r="B126" s="2"/>
      <c r="C126" s="3" t="s">
        <v>48</v>
      </c>
      <c r="D126" s="157" t="s">
        <v>79</v>
      </c>
      <c r="E126" s="158" t="s">
        <v>71</v>
      </c>
      <c r="F126" s="150" t="s">
        <v>72</v>
      </c>
      <c r="G126" s="151">
        <v>38457</v>
      </c>
      <c r="H126" s="151">
        <v>38477</v>
      </c>
      <c r="I126" s="151" t="s">
        <v>73</v>
      </c>
      <c r="J126" s="153">
        <f t="shared" si="21"/>
        <v>2370.45</v>
      </c>
      <c r="K126" s="153">
        <f t="shared" si="22"/>
        <v>474.09</v>
      </c>
      <c r="L126" s="154">
        <f t="shared" si="23"/>
        <v>2844.54</v>
      </c>
      <c r="M126" s="148">
        <f t="shared" si="24"/>
        <v>355.56749999999994</v>
      </c>
      <c r="N126" s="88">
        <f t="shared" si="25"/>
        <v>71.11349999999999</v>
      </c>
      <c r="O126" s="87">
        <f t="shared" si="26"/>
        <v>426.6809999999999</v>
      </c>
      <c r="P126" s="10">
        <f t="shared" si="27"/>
        <v>231.11887499999997</v>
      </c>
      <c r="Q126" s="10">
        <f t="shared" si="28"/>
        <v>46.223774999999996</v>
      </c>
      <c r="R126" s="19">
        <f t="shared" si="29"/>
        <v>277.34265</v>
      </c>
      <c r="S126" s="262"/>
      <c r="T126" s="262"/>
    </row>
    <row r="127" spans="1:20" ht="31.5" customHeight="1">
      <c r="A127" s="1" t="s">
        <v>67</v>
      </c>
      <c r="B127" s="2"/>
      <c r="C127" s="3" t="s">
        <v>48</v>
      </c>
      <c r="D127" s="157" t="s">
        <v>80</v>
      </c>
      <c r="E127" s="158" t="s">
        <v>71</v>
      </c>
      <c r="F127" s="150" t="s">
        <v>72</v>
      </c>
      <c r="G127" s="151">
        <v>38495</v>
      </c>
      <c r="H127" s="151">
        <v>38508</v>
      </c>
      <c r="I127" s="151" t="s">
        <v>73</v>
      </c>
      <c r="J127" s="153">
        <f>SUM((2844.54*100/120)+345.5)</f>
        <v>2715.95</v>
      </c>
      <c r="K127" s="153">
        <f>SUM(2370.45*20/100)</f>
        <v>474.09</v>
      </c>
      <c r="L127" s="154">
        <f t="shared" si="23"/>
        <v>3190.04</v>
      </c>
      <c r="M127" s="148">
        <f aca="true" t="shared" si="30" ref="M127:M135">J127*15%</f>
        <v>407.3925</v>
      </c>
      <c r="N127" s="88">
        <f aca="true" t="shared" si="31" ref="N127:N135">+K127*0.15</f>
        <v>71.11349999999999</v>
      </c>
      <c r="O127" s="87">
        <f aca="true" t="shared" si="32" ref="O127:O135">+N127+M127</f>
        <v>478.506</v>
      </c>
      <c r="P127" s="10">
        <f t="shared" si="27"/>
        <v>264.805125</v>
      </c>
      <c r="Q127" s="10">
        <f t="shared" si="28"/>
        <v>46.223774999999996</v>
      </c>
      <c r="R127" s="19">
        <f t="shared" si="29"/>
        <v>311.02889999999996</v>
      </c>
      <c r="S127" s="262"/>
      <c r="T127" s="262"/>
    </row>
    <row r="128" spans="1:20" ht="31.5" customHeight="1">
      <c r="A128" s="1" t="s">
        <v>67</v>
      </c>
      <c r="B128" s="2"/>
      <c r="C128" s="3" t="s">
        <v>48</v>
      </c>
      <c r="D128" s="157" t="s">
        <v>81</v>
      </c>
      <c r="E128" s="158" t="s">
        <v>71</v>
      </c>
      <c r="F128" s="150" t="s">
        <v>72</v>
      </c>
      <c r="G128" s="151">
        <v>38518</v>
      </c>
      <c r="H128" s="151">
        <v>38538</v>
      </c>
      <c r="I128" s="151" t="s">
        <v>73</v>
      </c>
      <c r="J128" s="153">
        <f aca="true" t="shared" si="33" ref="J128:J135">SUM(2880.81*100/120)</f>
        <v>2400.675</v>
      </c>
      <c r="K128" s="153">
        <f aca="true" t="shared" si="34" ref="K128:K135">J128*20/100</f>
        <v>480.135</v>
      </c>
      <c r="L128" s="154">
        <f t="shared" si="23"/>
        <v>2880.8100000000004</v>
      </c>
      <c r="M128" s="148">
        <f t="shared" si="30"/>
        <v>360.10125</v>
      </c>
      <c r="N128" s="88">
        <f t="shared" si="31"/>
        <v>72.02024999999999</v>
      </c>
      <c r="O128" s="87">
        <f t="shared" si="32"/>
        <v>432.12149999999997</v>
      </c>
      <c r="P128" s="10">
        <f t="shared" si="27"/>
        <v>234.0658125</v>
      </c>
      <c r="Q128" s="10">
        <f t="shared" si="28"/>
        <v>46.8131625</v>
      </c>
      <c r="R128" s="19">
        <f t="shared" si="29"/>
        <v>280.87897499999997</v>
      </c>
      <c r="S128" s="262"/>
      <c r="T128" s="262"/>
    </row>
    <row r="129" spans="1:20" ht="31.5" customHeight="1">
      <c r="A129" s="1" t="s">
        <v>67</v>
      </c>
      <c r="B129" s="2"/>
      <c r="C129" s="3" t="s">
        <v>48</v>
      </c>
      <c r="D129" s="157" t="s">
        <v>82</v>
      </c>
      <c r="E129" s="158" t="s">
        <v>71</v>
      </c>
      <c r="F129" s="150" t="s">
        <v>72</v>
      </c>
      <c r="G129" s="151">
        <v>38551</v>
      </c>
      <c r="H129" s="151">
        <v>38569</v>
      </c>
      <c r="I129" s="151" t="s">
        <v>73</v>
      </c>
      <c r="J129" s="153">
        <f t="shared" si="33"/>
        <v>2400.675</v>
      </c>
      <c r="K129" s="153">
        <f t="shared" si="34"/>
        <v>480.135</v>
      </c>
      <c r="L129" s="154">
        <f t="shared" si="23"/>
        <v>2880.8100000000004</v>
      </c>
      <c r="M129" s="148">
        <f t="shared" si="30"/>
        <v>360.10125</v>
      </c>
      <c r="N129" s="88">
        <f t="shared" si="31"/>
        <v>72.02024999999999</v>
      </c>
      <c r="O129" s="87">
        <f t="shared" si="32"/>
        <v>432.12149999999997</v>
      </c>
      <c r="P129" s="10">
        <f t="shared" si="27"/>
        <v>234.0658125</v>
      </c>
      <c r="Q129" s="10">
        <f t="shared" si="28"/>
        <v>46.8131625</v>
      </c>
      <c r="R129" s="19">
        <f t="shared" si="29"/>
        <v>280.87897499999997</v>
      </c>
      <c r="S129" s="262"/>
      <c r="T129" s="262"/>
    </row>
    <row r="130" spans="1:20" ht="31.5" customHeight="1">
      <c r="A130" s="1" t="s">
        <v>67</v>
      </c>
      <c r="B130" s="2"/>
      <c r="C130" s="3" t="s">
        <v>48</v>
      </c>
      <c r="D130" s="157" t="s">
        <v>83</v>
      </c>
      <c r="E130" s="158" t="s">
        <v>71</v>
      </c>
      <c r="F130" s="150" t="s">
        <v>72</v>
      </c>
      <c r="G130" s="151">
        <v>38569</v>
      </c>
      <c r="H130" s="151">
        <v>38600</v>
      </c>
      <c r="I130" s="151" t="s">
        <v>73</v>
      </c>
      <c r="J130" s="153">
        <f t="shared" si="33"/>
        <v>2400.675</v>
      </c>
      <c r="K130" s="153">
        <f t="shared" si="34"/>
        <v>480.135</v>
      </c>
      <c r="L130" s="154">
        <f t="shared" si="23"/>
        <v>2880.8100000000004</v>
      </c>
      <c r="M130" s="148">
        <f t="shared" si="30"/>
        <v>360.10125</v>
      </c>
      <c r="N130" s="88">
        <f t="shared" si="31"/>
        <v>72.02024999999999</v>
      </c>
      <c r="O130" s="87">
        <f t="shared" si="32"/>
        <v>432.12149999999997</v>
      </c>
      <c r="P130" s="10">
        <f t="shared" si="27"/>
        <v>234.0658125</v>
      </c>
      <c r="Q130" s="10">
        <f t="shared" si="28"/>
        <v>46.8131625</v>
      </c>
      <c r="R130" s="19">
        <f t="shared" si="29"/>
        <v>280.87897499999997</v>
      </c>
      <c r="S130" s="262"/>
      <c r="T130" s="262"/>
    </row>
    <row r="131" spans="1:20" ht="31.5" customHeight="1">
      <c r="A131" s="1" t="s">
        <v>67</v>
      </c>
      <c r="B131" s="2"/>
      <c r="C131" s="3" t="s">
        <v>48</v>
      </c>
      <c r="D131" s="159" t="s">
        <v>84</v>
      </c>
      <c r="E131" s="163" t="s">
        <v>71</v>
      </c>
      <c r="F131" s="164" t="s">
        <v>72</v>
      </c>
      <c r="G131" s="165">
        <v>38611</v>
      </c>
      <c r="H131" s="165">
        <v>38630</v>
      </c>
      <c r="I131" s="165" t="s">
        <v>73</v>
      </c>
      <c r="J131" s="153">
        <f t="shared" si="33"/>
        <v>2400.675</v>
      </c>
      <c r="K131" s="153">
        <f t="shared" si="34"/>
        <v>480.135</v>
      </c>
      <c r="L131" s="167">
        <f t="shared" si="23"/>
        <v>2880.8100000000004</v>
      </c>
      <c r="M131" s="148">
        <f t="shared" si="30"/>
        <v>360.10125</v>
      </c>
      <c r="N131" s="88">
        <f t="shared" si="31"/>
        <v>72.02024999999999</v>
      </c>
      <c r="O131" s="87">
        <f t="shared" si="32"/>
        <v>432.12149999999997</v>
      </c>
      <c r="P131" s="10">
        <f t="shared" si="27"/>
        <v>234.0658125</v>
      </c>
      <c r="Q131" s="10">
        <f t="shared" si="28"/>
        <v>46.8131625</v>
      </c>
      <c r="R131" s="19">
        <f t="shared" si="29"/>
        <v>280.87897499999997</v>
      </c>
      <c r="S131" s="262"/>
      <c r="T131" s="262"/>
    </row>
    <row r="132" spans="1:20" ht="31.5" customHeight="1">
      <c r="A132" s="1" t="s">
        <v>67</v>
      </c>
      <c r="B132" s="2"/>
      <c r="C132" s="3" t="s">
        <v>48</v>
      </c>
      <c r="D132" s="157" t="s">
        <v>97</v>
      </c>
      <c r="E132" s="158" t="s">
        <v>71</v>
      </c>
      <c r="F132" s="150" t="s">
        <v>72</v>
      </c>
      <c r="G132" s="151">
        <v>38649</v>
      </c>
      <c r="H132" s="151">
        <v>38661</v>
      </c>
      <c r="I132" s="151" t="s">
        <v>73</v>
      </c>
      <c r="J132" s="153">
        <f t="shared" si="33"/>
        <v>2400.675</v>
      </c>
      <c r="K132" s="153">
        <f t="shared" si="34"/>
        <v>480.135</v>
      </c>
      <c r="L132" s="154">
        <f aca="true" t="shared" si="35" ref="L132:L137">SUM(J132+K132)</f>
        <v>2880.8100000000004</v>
      </c>
      <c r="M132" s="148">
        <f t="shared" si="30"/>
        <v>360.10125</v>
      </c>
      <c r="N132" s="88">
        <f t="shared" si="31"/>
        <v>72.02024999999999</v>
      </c>
      <c r="O132" s="87">
        <f t="shared" si="32"/>
        <v>432.12149999999997</v>
      </c>
      <c r="P132" s="10">
        <f t="shared" si="27"/>
        <v>234.0658125</v>
      </c>
      <c r="Q132" s="10">
        <f t="shared" si="28"/>
        <v>46.8131625</v>
      </c>
      <c r="R132" s="19">
        <f t="shared" si="29"/>
        <v>280.87897499999997</v>
      </c>
      <c r="S132" s="262"/>
      <c r="T132" s="262"/>
    </row>
    <row r="133" spans="1:20" ht="31.5" customHeight="1">
      <c r="A133" s="1" t="s">
        <v>67</v>
      </c>
      <c r="B133" s="2"/>
      <c r="C133" s="3" t="s">
        <v>48</v>
      </c>
      <c r="D133" s="157" t="s">
        <v>98</v>
      </c>
      <c r="E133" s="158" t="s">
        <v>71</v>
      </c>
      <c r="F133" s="150" t="s">
        <v>72</v>
      </c>
      <c r="G133" s="151">
        <v>38671</v>
      </c>
      <c r="H133" s="151">
        <v>38661</v>
      </c>
      <c r="I133" s="151" t="s">
        <v>73</v>
      </c>
      <c r="J133" s="153">
        <f t="shared" si="33"/>
        <v>2400.675</v>
      </c>
      <c r="K133" s="153">
        <f t="shared" si="34"/>
        <v>480.135</v>
      </c>
      <c r="L133" s="154">
        <f t="shared" si="35"/>
        <v>2880.8100000000004</v>
      </c>
      <c r="M133" s="148">
        <f t="shared" si="30"/>
        <v>360.10125</v>
      </c>
      <c r="N133" s="88">
        <f t="shared" si="31"/>
        <v>72.02024999999999</v>
      </c>
      <c r="O133" s="87">
        <f t="shared" si="32"/>
        <v>432.12149999999997</v>
      </c>
      <c r="P133" s="10">
        <f t="shared" si="27"/>
        <v>234.0658125</v>
      </c>
      <c r="Q133" s="10">
        <f t="shared" si="28"/>
        <v>46.8131625</v>
      </c>
      <c r="R133" s="19">
        <f t="shared" si="29"/>
        <v>280.87897499999997</v>
      </c>
      <c r="S133" s="262"/>
      <c r="T133" s="262"/>
    </row>
    <row r="134" spans="1:20" ht="31.5" customHeight="1">
      <c r="A134" s="1" t="s">
        <v>67</v>
      </c>
      <c r="B134" s="2"/>
      <c r="C134" s="3" t="s">
        <v>48</v>
      </c>
      <c r="D134" s="157" t="s">
        <v>99</v>
      </c>
      <c r="E134" s="169" t="s">
        <v>71</v>
      </c>
      <c r="F134" s="150" t="s">
        <v>72</v>
      </c>
      <c r="G134" s="151">
        <v>38705</v>
      </c>
      <c r="H134" s="151">
        <v>38722</v>
      </c>
      <c r="I134" s="151" t="s">
        <v>73</v>
      </c>
      <c r="J134" s="153">
        <f t="shared" si="33"/>
        <v>2400.675</v>
      </c>
      <c r="K134" s="153">
        <f t="shared" si="34"/>
        <v>480.135</v>
      </c>
      <c r="L134" s="154">
        <f t="shared" si="35"/>
        <v>2880.8100000000004</v>
      </c>
      <c r="M134" s="148">
        <f t="shared" si="30"/>
        <v>360.10125</v>
      </c>
      <c r="N134" s="88">
        <f t="shared" si="31"/>
        <v>72.02024999999999</v>
      </c>
      <c r="O134" s="87">
        <f t="shared" si="32"/>
        <v>432.12149999999997</v>
      </c>
      <c r="P134" s="10">
        <f t="shared" si="27"/>
        <v>234.0658125</v>
      </c>
      <c r="Q134" s="10">
        <f t="shared" si="28"/>
        <v>46.8131625</v>
      </c>
      <c r="R134" s="19">
        <f t="shared" si="29"/>
        <v>280.87897499999997</v>
      </c>
      <c r="S134" s="262"/>
      <c r="T134" s="262"/>
    </row>
    <row r="135" spans="1:20" ht="31.5" customHeight="1">
      <c r="A135" s="1" t="s">
        <v>67</v>
      </c>
      <c r="B135" s="2"/>
      <c r="C135" s="3" t="s">
        <v>48</v>
      </c>
      <c r="D135" s="157" t="s">
        <v>100</v>
      </c>
      <c r="E135" s="169" t="s">
        <v>71</v>
      </c>
      <c r="F135" s="150" t="s">
        <v>72</v>
      </c>
      <c r="G135" s="151">
        <v>38734</v>
      </c>
      <c r="H135" s="151">
        <v>38753</v>
      </c>
      <c r="I135" s="151" t="s">
        <v>73</v>
      </c>
      <c r="J135" s="153">
        <f t="shared" si="33"/>
        <v>2400.675</v>
      </c>
      <c r="K135" s="153">
        <f t="shared" si="34"/>
        <v>480.135</v>
      </c>
      <c r="L135" s="154">
        <f t="shared" si="35"/>
        <v>2880.8100000000004</v>
      </c>
      <c r="M135" s="148">
        <f t="shared" si="30"/>
        <v>360.10125</v>
      </c>
      <c r="N135" s="88">
        <f t="shared" si="31"/>
        <v>72.02024999999999</v>
      </c>
      <c r="O135" s="87">
        <f t="shared" si="32"/>
        <v>432.12149999999997</v>
      </c>
      <c r="P135" s="10">
        <f t="shared" si="27"/>
        <v>234.0658125</v>
      </c>
      <c r="Q135" s="10">
        <f t="shared" si="28"/>
        <v>46.8131625</v>
      </c>
      <c r="R135" s="19">
        <f t="shared" si="29"/>
        <v>280.87897499999997</v>
      </c>
      <c r="S135" s="262"/>
      <c r="T135" s="262"/>
    </row>
    <row r="136" spans="1:20" ht="31.5" customHeight="1">
      <c r="A136" s="1" t="s">
        <v>67</v>
      </c>
      <c r="B136" s="2"/>
      <c r="C136" s="3" t="s">
        <v>48</v>
      </c>
      <c r="D136" s="170" t="s">
        <v>101</v>
      </c>
      <c r="E136" s="169" t="s">
        <v>102</v>
      </c>
      <c r="F136" s="168" t="s">
        <v>103</v>
      </c>
      <c r="G136" s="151">
        <v>38385</v>
      </c>
      <c r="H136" s="151">
        <v>38405</v>
      </c>
      <c r="I136" s="151" t="s">
        <v>73</v>
      </c>
      <c r="J136" s="153">
        <v>143.38</v>
      </c>
      <c r="K136" s="153">
        <v>28.68</v>
      </c>
      <c r="L136" s="154">
        <f t="shared" si="35"/>
        <v>172.06</v>
      </c>
      <c r="M136" s="148">
        <f aca="true" t="shared" si="36" ref="M136:M156">J136*15%</f>
        <v>21.506999999999998</v>
      </c>
      <c r="N136" s="88">
        <f aca="true" t="shared" si="37" ref="N136:N156">+K136*0.15</f>
        <v>4.302</v>
      </c>
      <c r="O136" s="87">
        <f aca="true" t="shared" si="38" ref="O136:O156">+N136+M136</f>
        <v>25.808999999999997</v>
      </c>
      <c r="P136" s="10">
        <f t="shared" si="27"/>
        <v>13.97955</v>
      </c>
      <c r="Q136" s="10">
        <f t="shared" si="28"/>
        <v>2.7963</v>
      </c>
      <c r="R136" s="19">
        <f t="shared" si="29"/>
        <v>16.77585</v>
      </c>
      <c r="S136" s="262"/>
      <c r="T136" s="262"/>
    </row>
    <row r="137" spans="1:20" ht="31.5" customHeight="1">
      <c r="A137" s="1" t="s">
        <v>67</v>
      </c>
      <c r="B137" s="2"/>
      <c r="C137" s="3" t="s">
        <v>48</v>
      </c>
      <c r="D137" s="170" t="s">
        <v>104</v>
      </c>
      <c r="E137" s="169" t="s">
        <v>102</v>
      </c>
      <c r="F137" s="168" t="s">
        <v>105</v>
      </c>
      <c r="G137" s="151">
        <v>38435</v>
      </c>
      <c r="H137" s="151">
        <v>38455</v>
      </c>
      <c r="I137" s="151" t="s">
        <v>73</v>
      </c>
      <c r="J137" s="153">
        <v>131.46</v>
      </c>
      <c r="K137" s="153">
        <v>26.29</v>
      </c>
      <c r="L137" s="154">
        <f t="shared" si="35"/>
        <v>157.75</v>
      </c>
      <c r="M137" s="148">
        <f t="shared" si="36"/>
        <v>19.719</v>
      </c>
      <c r="N137" s="88">
        <f t="shared" si="37"/>
        <v>3.9435</v>
      </c>
      <c r="O137" s="87">
        <f t="shared" si="38"/>
        <v>23.6625</v>
      </c>
      <c r="P137" s="10">
        <f t="shared" si="27"/>
        <v>12.817350000000001</v>
      </c>
      <c r="Q137" s="10">
        <f t="shared" si="28"/>
        <v>2.563275</v>
      </c>
      <c r="R137" s="19">
        <f t="shared" si="29"/>
        <v>15.380625000000002</v>
      </c>
      <c r="S137" s="262"/>
      <c r="T137" s="262"/>
    </row>
    <row r="138" spans="1:20" ht="31.5" customHeight="1">
      <c r="A138" s="1" t="s">
        <v>67</v>
      </c>
      <c r="B138" s="2"/>
      <c r="C138" s="3" t="s">
        <v>48</v>
      </c>
      <c r="D138" s="170" t="s">
        <v>106</v>
      </c>
      <c r="E138" s="169" t="s">
        <v>102</v>
      </c>
      <c r="F138" s="168" t="s">
        <v>107</v>
      </c>
      <c r="G138" s="151">
        <v>38497</v>
      </c>
      <c r="H138" s="151">
        <v>38517</v>
      </c>
      <c r="I138" s="151" t="s">
        <v>73</v>
      </c>
      <c r="J138" s="153">
        <v>130.77</v>
      </c>
      <c r="K138" s="153">
        <v>26.15</v>
      </c>
      <c r="L138" s="154">
        <f>SUM(J138:K138)</f>
        <v>156.92000000000002</v>
      </c>
      <c r="M138" s="148">
        <f t="shared" si="36"/>
        <v>19.6155</v>
      </c>
      <c r="N138" s="88">
        <f t="shared" si="37"/>
        <v>3.9224999999999994</v>
      </c>
      <c r="O138" s="87">
        <f t="shared" si="38"/>
        <v>23.538</v>
      </c>
      <c r="P138" s="10">
        <f t="shared" si="27"/>
        <v>12.750075</v>
      </c>
      <c r="Q138" s="10">
        <f t="shared" si="28"/>
        <v>2.549625</v>
      </c>
      <c r="R138" s="19">
        <f t="shared" si="29"/>
        <v>15.299700000000001</v>
      </c>
      <c r="S138" s="262"/>
      <c r="T138" s="262"/>
    </row>
    <row r="139" spans="1:20" ht="31.5" customHeight="1">
      <c r="A139" s="1" t="s">
        <v>67</v>
      </c>
      <c r="B139" s="2"/>
      <c r="C139" s="3" t="s">
        <v>48</v>
      </c>
      <c r="D139" s="170" t="s">
        <v>108</v>
      </c>
      <c r="E139" s="169" t="s">
        <v>102</v>
      </c>
      <c r="F139" s="168" t="s">
        <v>109</v>
      </c>
      <c r="G139" s="151">
        <v>38559</v>
      </c>
      <c r="H139" s="151">
        <v>38580</v>
      </c>
      <c r="I139" s="151" t="s">
        <v>73</v>
      </c>
      <c r="J139" s="153">
        <v>145.92</v>
      </c>
      <c r="K139" s="153">
        <v>29.18</v>
      </c>
      <c r="L139" s="154">
        <f>SUM(J139+K139)</f>
        <v>175.1</v>
      </c>
      <c r="M139" s="148">
        <f t="shared" si="36"/>
        <v>21.887999999999998</v>
      </c>
      <c r="N139" s="88">
        <f t="shared" si="37"/>
        <v>4.377</v>
      </c>
      <c r="O139" s="87">
        <f t="shared" si="38"/>
        <v>26.264999999999997</v>
      </c>
      <c r="P139" s="10">
        <f t="shared" si="27"/>
        <v>14.2272</v>
      </c>
      <c r="Q139" s="10">
        <f t="shared" si="28"/>
        <v>2.84505</v>
      </c>
      <c r="R139" s="19">
        <f t="shared" si="29"/>
        <v>17.07225</v>
      </c>
      <c r="S139" s="262"/>
      <c r="T139" s="262"/>
    </row>
    <row r="140" spans="1:20" ht="31.5" customHeight="1">
      <c r="A140" s="1" t="s">
        <v>67</v>
      </c>
      <c r="B140" s="2"/>
      <c r="C140" s="3" t="s">
        <v>48</v>
      </c>
      <c r="D140" s="170" t="s">
        <v>110</v>
      </c>
      <c r="E140" s="169" t="s">
        <v>102</v>
      </c>
      <c r="F140" s="171" t="s">
        <v>182</v>
      </c>
      <c r="G140" s="151">
        <v>38621</v>
      </c>
      <c r="H140" s="151">
        <v>38642</v>
      </c>
      <c r="I140" s="151" t="s">
        <v>73</v>
      </c>
      <c r="J140" s="153">
        <v>145.67</v>
      </c>
      <c r="K140" s="153">
        <v>29.13</v>
      </c>
      <c r="L140" s="154">
        <f>SUM(J140+K140)</f>
        <v>174.79999999999998</v>
      </c>
      <c r="M140" s="148">
        <f t="shared" si="36"/>
        <v>21.850499999999997</v>
      </c>
      <c r="N140" s="88">
        <f t="shared" si="37"/>
        <v>4.3694999999999995</v>
      </c>
      <c r="O140" s="87">
        <f t="shared" si="38"/>
        <v>26.219999999999995</v>
      </c>
      <c r="P140" s="10">
        <f t="shared" si="27"/>
        <v>14.202824999999999</v>
      </c>
      <c r="Q140" s="10">
        <f t="shared" si="28"/>
        <v>2.840175</v>
      </c>
      <c r="R140" s="19">
        <f t="shared" si="29"/>
        <v>17.043</v>
      </c>
      <c r="S140" s="262"/>
      <c r="T140" s="262"/>
    </row>
    <row r="141" spans="1:20" ht="31.5" customHeight="1">
      <c r="A141" s="1" t="s">
        <v>67</v>
      </c>
      <c r="B141" s="2"/>
      <c r="C141" s="3" t="s">
        <v>48</v>
      </c>
      <c r="D141" s="170" t="s">
        <v>111</v>
      </c>
      <c r="E141" s="169" t="s">
        <v>102</v>
      </c>
      <c r="F141" s="171" t="s">
        <v>184</v>
      </c>
      <c r="G141" s="151">
        <v>38681</v>
      </c>
      <c r="H141" s="151">
        <v>38701</v>
      </c>
      <c r="I141" s="151" t="s">
        <v>73</v>
      </c>
      <c r="J141" s="153">
        <v>140.44</v>
      </c>
      <c r="K141" s="153">
        <v>28.09</v>
      </c>
      <c r="L141" s="154">
        <f>SUM(J141+K141)</f>
        <v>168.53</v>
      </c>
      <c r="M141" s="148">
        <f t="shared" si="36"/>
        <v>21.066</v>
      </c>
      <c r="N141" s="88">
        <f t="shared" si="37"/>
        <v>4.2135</v>
      </c>
      <c r="O141" s="87">
        <f t="shared" si="38"/>
        <v>25.2795</v>
      </c>
      <c r="P141" s="10">
        <f t="shared" si="27"/>
        <v>13.6929</v>
      </c>
      <c r="Q141" s="10">
        <f t="shared" si="28"/>
        <v>2.738775</v>
      </c>
      <c r="R141" s="19">
        <f t="shared" si="29"/>
        <v>16.431675</v>
      </c>
      <c r="S141" s="262"/>
      <c r="T141" s="262"/>
    </row>
    <row r="142" spans="1:20" ht="31.5" customHeight="1">
      <c r="A142" s="1" t="s">
        <v>67</v>
      </c>
      <c r="B142" s="2"/>
      <c r="C142" s="3" t="s">
        <v>48</v>
      </c>
      <c r="D142" s="170" t="s">
        <v>112</v>
      </c>
      <c r="E142" s="169" t="s">
        <v>102</v>
      </c>
      <c r="F142" s="171" t="s">
        <v>183</v>
      </c>
      <c r="G142" s="151">
        <v>38743</v>
      </c>
      <c r="H142" s="151">
        <v>38763</v>
      </c>
      <c r="I142" s="151" t="s">
        <v>73</v>
      </c>
      <c r="J142" s="153">
        <v>148.48</v>
      </c>
      <c r="K142" s="153">
        <v>29.7</v>
      </c>
      <c r="L142" s="154">
        <f>SUM(J142+K142)</f>
        <v>178.17999999999998</v>
      </c>
      <c r="M142" s="148">
        <f t="shared" si="36"/>
        <v>22.272</v>
      </c>
      <c r="N142" s="88">
        <f t="shared" si="37"/>
        <v>4.455</v>
      </c>
      <c r="O142" s="87">
        <f t="shared" si="38"/>
        <v>26.726999999999997</v>
      </c>
      <c r="P142" s="10">
        <f t="shared" si="27"/>
        <v>14.476799999999999</v>
      </c>
      <c r="Q142" s="10">
        <f t="shared" si="28"/>
        <v>2.89575</v>
      </c>
      <c r="R142" s="19">
        <f t="shared" si="29"/>
        <v>17.37255</v>
      </c>
      <c r="S142" s="262"/>
      <c r="T142" s="262"/>
    </row>
    <row r="143" spans="1:20" ht="31.5" customHeight="1">
      <c r="A143" s="1" t="s">
        <v>67</v>
      </c>
      <c r="B143" s="2"/>
      <c r="C143" s="3" t="s">
        <v>48</v>
      </c>
      <c r="D143" s="83" t="s">
        <v>113</v>
      </c>
      <c r="E143" s="149" t="s">
        <v>114</v>
      </c>
      <c r="F143" s="150" t="s">
        <v>115</v>
      </c>
      <c r="G143" s="151">
        <v>38327</v>
      </c>
      <c r="H143" s="151">
        <v>38369</v>
      </c>
      <c r="I143" s="151" t="s">
        <v>73</v>
      </c>
      <c r="J143" s="153">
        <f>155.32+112+8.26+2.09</f>
        <v>277.66999999999996</v>
      </c>
      <c r="K143" s="153">
        <v>55.53</v>
      </c>
      <c r="L143" s="154">
        <f>SUM(J143+K143)-0.2</f>
        <v>332.99999999999994</v>
      </c>
      <c r="M143" s="148">
        <f t="shared" si="36"/>
        <v>41.650499999999994</v>
      </c>
      <c r="N143" s="88">
        <f t="shared" si="37"/>
        <v>8.3295</v>
      </c>
      <c r="O143" s="87">
        <f t="shared" si="38"/>
        <v>49.97999999999999</v>
      </c>
      <c r="P143" s="10">
        <f t="shared" si="27"/>
        <v>27.072824999999998</v>
      </c>
      <c r="Q143" s="10">
        <f t="shared" si="28"/>
        <v>5.414175</v>
      </c>
      <c r="R143" s="19">
        <f t="shared" si="29"/>
        <v>32.486999999999995</v>
      </c>
      <c r="S143" s="262"/>
      <c r="T143" s="262"/>
    </row>
    <row r="144" spans="1:20" ht="31.5" customHeight="1">
      <c r="A144" s="1" t="s">
        <v>67</v>
      </c>
      <c r="B144" s="2"/>
      <c r="C144" s="3" t="s">
        <v>48</v>
      </c>
      <c r="D144" s="83" t="s">
        <v>116</v>
      </c>
      <c r="E144" s="149" t="s">
        <v>114</v>
      </c>
      <c r="F144" s="155" t="s">
        <v>117</v>
      </c>
      <c r="G144" s="156">
        <v>38327</v>
      </c>
      <c r="H144" s="156">
        <v>38369</v>
      </c>
      <c r="I144" s="156" t="s">
        <v>73</v>
      </c>
      <c r="J144" s="148">
        <f>15.11+34+1.13</f>
        <v>50.24</v>
      </c>
      <c r="K144" s="148">
        <v>10.05</v>
      </c>
      <c r="L144" s="166">
        <f>J144+K144-0.29</f>
        <v>60.00000000000001</v>
      </c>
      <c r="M144" s="148">
        <f t="shared" si="36"/>
        <v>7.536</v>
      </c>
      <c r="N144" s="88">
        <f t="shared" si="37"/>
        <v>1.5075</v>
      </c>
      <c r="O144" s="87">
        <f t="shared" si="38"/>
        <v>9.0435</v>
      </c>
      <c r="P144" s="10">
        <f t="shared" si="27"/>
        <v>4.8984</v>
      </c>
      <c r="Q144" s="10">
        <f t="shared" si="28"/>
        <v>0.979875</v>
      </c>
      <c r="R144" s="19">
        <f t="shared" si="29"/>
        <v>5.8782749999999995</v>
      </c>
      <c r="S144" s="262"/>
      <c r="T144" s="262"/>
    </row>
    <row r="145" spans="1:20" ht="31.5" customHeight="1">
      <c r="A145" s="1" t="s">
        <v>67</v>
      </c>
      <c r="B145" s="2"/>
      <c r="C145" s="3" t="s">
        <v>48</v>
      </c>
      <c r="D145" s="157" t="s">
        <v>118</v>
      </c>
      <c r="E145" s="158" t="s">
        <v>114</v>
      </c>
      <c r="F145" s="150" t="s">
        <v>119</v>
      </c>
      <c r="G145" s="151">
        <v>38390</v>
      </c>
      <c r="H145" s="151">
        <v>38426</v>
      </c>
      <c r="I145" s="151" t="s">
        <v>73</v>
      </c>
      <c r="J145" s="153">
        <f>108.19+115+8.26+4.35</f>
        <v>235.79999999999998</v>
      </c>
      <c r="K145" s="153">
        <v>47.16</v>
      </c>
      <c r="L145" s="154">
        <f>J145+K145+0.04</f>
        <v>283</v>
      </c>
      <c r="M145" s="148">
        <f t="shared" si="36"/>
        <v>35.37</v>
      </c>
      <c r="N145" s="88">
        <f t="shared" si="37"/>
        <v>7.073999999999999</v>
      </c>
      <c r="O145" s="87">
        <f t="shared" si="38"/>
        <v>42.443999999999996</v>
      </c>
      <c r="P145" s="10">
        <f t="shared" si="27"/>
        <v>22.9905</v>
      </c>
      <c r="Q145" s="10">
        <f t="shared" si="28"/>
        <v>4.5981</v>
      </c>
      <c r="R145" s="19">
        <f t="shared" si="29"/>
        <v>27.5886</v>
      </c>
      <c r="S145" s="262"/>
      <c r="T145" s="262"/>
    </row>
    <row r="146" spans="1:20" ht="31.5" customHeight="1">
      <c r="A146" s="1" t="s">
        <v>67</v>
      </c>
      <c r="B146" s="2"/>
      <c r="C146" s="3" t="s">
        <v>48</v>
      </c>
      <c r="D146" s="157" t="s">
        <v>120</v>
      </c>
      <c r="E146" s="158" t="s">
        <v>114</v>
      </c>
      <c r="F146" s="150" t="s">
        <v>121</v>
      </c>
      <c r="G146" s="151">
        <v>38390</v>
      </c>
      <c r="H146" s="151">
        <v>38426</v>
      </c>
      <c r="I146" s="151" t="s">
        <v>73</v>
      </c>
      <c r="J146" s="153">
        <f>11.44+39.2+0.17</f>
        <v>50.81</v>
      </c>
      <c r="K146" s="153">
        <v>10.16</v>
      </c>
      <c r="L146" s="154">
        <f>J146+K146+0.03</f>
        <v>61</v>
      </c>
      <c r="M146" s="148">
        <f t="shared" si="36"/>
        <v>7.6215</v>
      </c>
      <c r="N146" s="88">
        <f t="shared" si="37"/>
        <v>1.524</v>
      </c>
      <c r="O146" s="87">
        <f t="shared" si="38"/>
        <v>9.1455</v>
      </c>
      <c r="P146" s="10">
        <f t="shared" si="27"/>
        <v>4.953975000000001</v>
      </c>
      <c r="Q146" s="10">
        <f t="shared" si="28"/>
        <v>0.9906</v>
      </c>
      <c r="R146" s="19">
        <f t="shared" si="29"/>
        <v>5.944575</v>
      </c>
      <c r="S146" s="262"/>
      <c r="T146" s="262"/>
    </row>
    <row r="147" spans="1:20" ht="31.5" customHeight="1">
      <c r="A147" s="1" t="s">
        <v>67</v>
      </c>
      <c r="B147" s="2"/>
      <c r="C147" s="3" t="s">
        <v>48</v>
      </c>
      <c r="D147" s="157" t="s">
        <v>122</v>
      </c>
      <c r="E147" s="158" t="s">
        <v>114</v>
      </c>
      <c r="F147" s="150" t="s">
        <v>123</v>
      </c>
      <c r="G147" s="151">
        <v>38448</v>
      </c>
      <c r="H147" s="151">
        <v>38488</v>
      </c>
      <c r="I147" s="151" t="s">
        <v>73</v>
      </c>
      <c r="J147" s="153">
        <f>119.83+113.5+8.26+8.53</f>
        <v>250.11999999999998</v>
      </c>
      <c r="K147" s="153">
        <v>50.02</v>
      </c>
      <c r="L147" s="154">
        <f>J147+K147-0.14</f>
        <v>300</v>
      </c>
      <c r="M147" s="148">
        <f t="shared" si="36"/>
        <v>37.517999999999994</v>
      </c>
      <c r="N147" s="88">
        <f t="shared" si="37"/>
        <v>7.503</v>
      </c>
      <c r="O147" s="87">
        <f t="shared" si="38"/>
        <v>45.020999999999994</v>
      </c>
      <c r="P147" s="10">
        <f t="shared" si="27"/>
        <v>24.386699999999998</v>
      </c>
      <c r="Q147" s="10">
        <f t="shared" si="28"/>
        <v>4.87695</v>
      </c>
      <c r="R147" s="19">
        <f t="shared" si="29"/>
        <v>29.26365</v>
      </c>
      <c r="S147" s="262"/>
      <c r="T147" s="262"/>
    </row>
    <row r="148" spans="1:20" ht="31.5" customHeight="1">
      <c r="A148" s="1" t="s">
        <v>67</v>
      </c>
      <c r="B148" s="2"/>
      <c r="C148" s="3" t="s">
        <v>48</v>
      </c>
      <c r="D148" s="157" t="s">
        <v>124</v>
      </c>
      <c r="E148" s="158" t="s">
        <v>114</v>
      </c>
      <c r="F148" s="150" t="s">
        <v>125</v>
      </c>
      <c r="G148" s="151">
        <v>38448</v>
      </c>
      <c r="H148" s="151">
        <v>38488</v>
      </c>
      <c r="I148" s="151" t="s">
        <v>73</v>
      </c>
      <c r="J148" s="153">
        <f>15.73+36.6+0.17</f>
        <v>52.5</v>
      </c>
      <c r="K148" s="153">
        <v>10.5</v>
      </c>
      <c r="L148" s="154">
        <f>K148+J148</f>
        <v>63</v>
      </c>
      <c r="M148" s="148">
        <f t="shared" si="36"/>
        <v>7.875</v>
      </c>
      <c r="N148" s="88">
        <f t="shared" si="37"/>
        <v>1.575</v>
      </c>
      <c r="O148" s="87">
        <f t="shared" si="38"/>
        <v>9.45</v>
      </c>
      <c r="P148" s="10">
        <f t="shared" si="27"/>
        <v>5.11875</v>
      </c>
      <c r="Q148" s="10">
        <f t="shared" si="28"/>
        <v>1.02375</v>
      </c>
      <c r="R148" s="19">
        <f t="shared" si="29"/>
        <v>6.1425</v>
      </c>
      <c r="S148" s="262"/>
      <c r="T148" s="262"/>
    </row>
    <row r="149" spans="1:20" ht="31.5" customHeight="1">
      <c r="A149" s="1" t="s">
        <v>67</v>
      </c>
      <c r="B149" s="2"/>
      <c r="C149" s="3" t="s">
        <v>48</v>
      </c>
      <c r="D149" s="157" t="s">
        <v>122</v>
      </c>
      <c r="E149" s="158" t="s">
        <v>114</v>
      </c>
      <c r="F149" s="150" t="s">
        <v>126</v>
      </c>
      <c r="G149" s="151">
        <v>38481</v>
      </c>
      <c r="H149" s="151">
        <v>38518</v>
      </c>
      <c r="I149" s="151" t="s">
        <v>73</v>
      </c>
      <c r="J149" s="153">
        <f>85.07+56.75+4.13+0.17</f>
        <v>146.11999999999998</v>
      </c>
      <c r="K149" s="153">
        <v>29.22</v>
      </c>
      <c r="L149" s="154">
        <f>J149+K149+0.16</f>
        <v>175.49999999999997</v>
      </c>
      <c r="M149" s="148">
        <f t="shared" si="36"/>
        <v>21.917999999999996</v>
      </c>
      <c r="N149" s="88">
        <f t="shared" si="37"/>
        <v>4.383</v>
      </c>
      <c r="O149" s="87">
        <f t="shared" si="38"/>
        <v>26.300999999999995</v>
      </c>
      <c r="P149" s="10">
        <f t="shared" si="27"/>
        <v>14.246699999999997</v>
      </c>
      <c r="Q149" s="10">
        <f t="shared" si="28"/>
        <v>2.8489500000000003</v>
      </c>
      <c r="R149" s="19">
        <f t="shared" si="29"/>
        <v>17.09565</v>
      </c>
      <c r="S149" s="262"/>
      <c r="T149" s="262"/>
    </row>
    <row r="150" spans="1:20" ht="31.5" customHeight="1">
      <c r="A150" s="1" t="s">
        <v>67</v>
      </c>
      <c r="B150" s="2"/>
      <c r="C150" s="3" t="s">
        <v>48</v>
      </c>
      <c r="D150" s="157" t="s">
        <v>124</v>
      </c>
      <c r="E150" s="158" t="s">
        <v>114</v>
      </c>
      <c r="F150" s="150" t="s">
        <v>127</v>
      </c>
      <c r="G150" s="151">
        <v>38481</v>
      </c>
      <c r="H150" s="151">
        <v>38518</v>
      </c>
      <c r="I150" s="151" t="s">
        <v>73</v>
      </c>
      <c r="J150" s="153">
        <f>12.6+18.3+0.17</f>
        <v>31.07</v>
      </c>
      <c r="K150" s="153">
        <v>6.21</v>
      </c>
      <c r="L150" s="154">
        <f>J150+K150+0.22</f>
        <v>37.5</v>
      </c>
      <c r="M150" s="148">
        <f t="shared" si="36"/>
        <v>4.6605</v>
      </c>
      <c r="N150" s="88">
        <f t="shared" si="37"/>
        <v>0.9315</v>
      </c>
      <c r="O150" s="87">
        <f t="shared" si="38"/>
        <v>5.592</v>
      </c>
      <c r="P150" s="10">
        <f t="shared" si="27"/>
        <v>3.029325</v>
      </c>
      <c r="Q150" s="10">
        <f t="shared" si="28"/>
        <v>0.605475</v>
      </c>
      <c r="R150" s="19">
        <f t="shared" si="29"/>
        <v>3.6348000000000003</v>
      </c>
      <c r="S150" s="262"/>
      <c r="T150" s="262"/>
    </row>
    <row r="151" spans="1:20" ht="31.5" customHeight="1">
      <c r="A151" s="1" t="s">
        <v>67</v>
      </c>
      <c r="B151" s="2"/>
      <c r="C151" s="3" t="s">
        <v>48</v>
      </c>
      <c r="D151" s="157" t="s">
        <v>128</v>
      </c>
      <c r="E151" s="158" t="s">
        <v>114</v>
      </c>
      <c r="F151" s="150" t="s">
        <v>129</v>
      </c>
      <c r="G151" s="151">
        <v>38541</v>
      </c>
      <c r="H151" s="151">
        <v>38580</v>
      </c>
      <c r="I151" s="151" t="s">
        <v>73</v>
      </c>
      <c r="J151" s="153">
        <f>171.52+113.5+8.26+0.17</f>
        <v>293.45</v>
      </c>
      <c r="K151" s="153">
        <v>58.69</v>
      </c>
      <c r="L151" s="154">
        <f>J151+K151-0.14</f>
        <v>352</v>
      </c>
      <c r="M151" s="148">
        <f t="shared" si="36"/>
        <v>44.0175</v>
      </c>
      <c r="N151" s="88">
        <f t="shared" si="37"/>
        <v>8.8035</v>
      </c>
      <c r="O151" s="87">
        <f t="shared" si="38"/>
        <v>52.821</v>
      </c>
      <c r="P151" s="10">
        <f t="shared" si="27"/>
        <v>28.611375</v>
      </c>
      <c r="Q151" s="10">
        <f t="shared" si="28"/>
        <v>5.722275</v>
      </c>
      <c r="R151" s="19">
        <f t="shared" si="29"/>
        <v>34.33365</v>
      </c>
      <c r="S151" s="262"/>
      <c r="T151" s="262"/>
    </row>
    <row r="152" spans="1:20" ht="31.5" customHeight="1">
      <c r="A152" s="1" t="s">
        <v>67</v>
      </c>
      <c r="B152" s="2"/>
      <c r="C152" s="3" t="s">
        <v>48</v>
      </c>
      <c r="D152" s="157" t="s">
        <v>130</v>
      </c>
      <c r="E152" s="158" t="s">
        <v>114</v>
      </c>
      <c r="F152" s="150" t="s">
        <v>131</v>
      </c>
      <c r="G152" s="151">
        <v>38541</v>
      </c>
      <c r="H152" s="151">
        <v>38580</v>
      </c>
      <c r="I152" s="151" t="s">
        <v>73</v>
      </c>
      <c r="J152" s="153">
        <f>17.78+36.6+0.17</f>
        <v>54.550000000000004</v>
      </c>
      <c r="K152" s="153">
        <v>10.91</v>
      </c>
      <c r="L152" s="154">
        <f>J152+K152+0.04</f>
        <v>65.50000000000001</v>
      </c>
      <c r="M152" s="148">
        <f t="shared" si="36"/>
        <v>8.182500000000001</v>
      </c>
      <c r="N152" s="88">
        <f t="shared" si="37"/>
        <v>1.6365</v>
      </c>
      <c r="O152" s="87">
        <f t="shared" si="38"/>
        <v>9.819</v>
      </c>
      <c r="P152" s="10">
        <f t="shared" si="27"/>
        <v>5.318625000000001</v>
      </c>
      <c r="Q152" s="10">
        <f t="shared" si="28"/>
        <v>1.063725</v>
      </c>
      <c r="R152" s="19">
        <f t="shared" si="29"/>
        <v>6.382350000000001</v>
      </c>
      <c r="S152" s="262"/>
      <c r="T152" s="262"/>
    </row>
    <row r="153" spans="1:20" ht="31.5" customHeight="1">
      <c r="A153" s="1" t="s">
        <v>67</v>
      </c>
      <c r="B153" s="2"/>
      <c r="C153" s="3" t="s">
        <v>48</v>
      </c>
      <c r="D153" s="157" t="s">
        <v>132</v>
      </c>
      <c r="E153" s="158" t="s">
        <v>114</v>
      </c>
      <c r="F153" s="150" t="s">
        <v>133</v>
      </c>
      <c r="G153" s="151">
        <v>38603</v>
      </c>
      <c r="H153" s="151">
        <v>38642</v>
      </c>
      <c r="I153" s="151" t="s">
        <v>73</v>
      </c>
      <c r="J153" s="153">
        <f>76.73+113.5+8.26+10.45</f>
        <v>208.94</v>
      </c>
      <c r="K153" s="153">
        <v>41.79</v>
      </c>
      <c r="L153" s="154">
        <f>J153+K153+0.27</f>
        <v>251</v>
      </c>
      <c r="M153" s="148">
        <f t="shared" si="36"/>
        <v>31.340999999999998</v>
      </c>
      <c r="N153" s="88">
        <f t="shared" si="37"/>
        <v>6.2684999999999995</v>
      </c>
      <c r="O153" s="87">
        <f t="shared" si="38"/>
        <v>37.6095</v>
      </c>
      <c r="P153" s="10">
        <f t="shared" si="27"/>
        <v>20.37165</v>
      </c>
      <c r="Q153" s="10">
        <f t="shared" si="28"/>
        <v>4.0745249999999995</v>
      </c>
      <c r="R153" s="19">
        <f t="shared" si="29"/>
        <v>24.446174999999997</v>
      </c>
      <c r="S153" s="262"/>
      <c r="T153" s="262"/>
    </row>
    <row r="154" spans="1:20" ht="31.5" customHeight="1">
      <c r="A154" s="1" t="s">
        <v>67</v>
      </c>
      <c r="B154" s="2"/>
      <c r="C154" s="3" t="s">
        <v>48</v>
      </c>
      <c r="D154" s="157" t="s">
        <v>134</v>
      </c>
      <c r="E154" s="158" t="s">
        <v>114</v>
      </c>
      <c r="F154" s="150" t="s">
        <v>135</v>
      </c>
      <c r="G154" s="151">
        <v>38603</v>
      </c>
      <c r="H154" s="151">
        <v>38642</v>
      </c>
      <c r="I154" s="151" t="s">
        <v>73</v>
      </c>
      <c r="J154" s="153">
        <f>10.15+36.6+0.17</f>
        <v>46.92</v>
      </c>
      <c r="K154" s="153">
        <v>9.38</v>
      </c>
      <c r="L154" s="154">
        <f>J154+K154-0.3</f>
        <v>56.00000000000001</v>
      </c>
      <c r="M154" s="148">
        <f t="shared" si="36"/>
        <v>7.038</v>
      </c>
      <c r="N154" s="88">
        <f t="shared" si="37"/>
        <v>1.407</v>
      </c>
      <c r="O154" s="87">
        <f t="shared" si="38"/>
        <v>8.445</v>
      </c>
      <c r="P154" s="10">
        <f t="shared" si="27"/>
        <v>4.5747</v>
      </c>
      <c r="Q154" s="10">
        <f t="shared" si="28"/>
        <v>0.9145500000000001</v>
      </c>
      <c r="R154" s="19">
        <f t="shared" si="29"/>
        <v>5.48925</v>
      </c>
      <c r="S154" s="262"/>
      <c r="T154" s="262"/>
    </row>
    <row r="155" spans="1:20" ht="31.5" customHeight="1">
      <c r="A155" s="1" t="s">
        <v>67</v>
      </c>
      <c r="B155" s="2"/>
      <c r="C155" s="3" t="s">
        <v>48</v>
      </c>
      <c r="D155" s="157" t="s">
        <v>136</v>
      </c>
      <c r="E155" s="158" t="s">
        <v>114</v>
      </c>
      <c r="F155" s="150" t="s">
        <v>137</v>
      </c>
      <c r="G155" s="151">
        <v>38665</v>
      </c>
      <c r="H155" s="151">
        <v>38699</v>
      </c>
      <c r="I155" s="151" t="s">
        <v>73</v>
      </c>
      <c r="J155" s="153">
        <f>162.58+113.5+8.26+6.27</f>
        <v>290.61</v>
      </c>
      <c r="K155" s="153">
        <v>58.12</v>
      </c>
      <c r="L155" s="154">
        <f>J155+K155-0.23</f>
        <v>348.5</v>
      </c>
      <c r="M155" s="148">
        <f t="shared" si="36"/>
        <v>43.5915</v>
      </c>
      <c r="N155" s="88">
        <f t="shared" si="37"/>
        <v>8.718</v>
      </c>
      <c r="O155" s="87">
        <f t="shared" si="38"/>
        <v>52.3095</v>
      </c>
      <c r="P155" s="10">
        <f t="shared" si="27"/>
        <v>28.334475000000005</v>
      </c>
      <c r="Q155" s="10">
        <f t="shared" si="28"/>
        <v>5.6667000000000005</v>
      </c>
      <c r="R155" s="19">
        <f t="shared" si="29"/>
        <v>34.001175</v>
      </c>
      <c r="S155" s="262"/>
      <c r="T155" s="262"/>
    </row>
    <row r="156" spans="1:20" ht="31.5" customHeight="1">
      <c r="A156" s="1" t="s">
        <v>67</v>
      </c>
      <c r="B156" s="2"/>
      <c r="C156" s="3" t="s">
        <v>48</v>
      </c>
      <c r="D156" s="83" t="s">
        <v>138</v>
      </c>
      <c r="E156" s="149" t="s">
        <v>114</v>
      </c>
      <c r="F156" s="155" t="s">
        <v>139</v>
      </c>
      <c r="G156" s="156">
        <v>38665</v>
      </c>
      <c r="H156" s="156">
        <v>38699</v>
      </c>
      <c r="I156" s="156" t="s">
        <v>73</v>
      </c>
      <c r="J156" s="148">
        <f>23.91+36.6+0.17</f>
        <v>60.68000000000001</v>
      </c>
      <c r="K156" s="148">
        <v>12.14</v>
      </c>
      <c r="L156" s="166">
        <f>J156+K156+0.18</f>
        <v>73.00000000000001</v>
      </c>
      <c r="M156" s="148">
        <f t="shared" si="36"/>
        <v>9.102</v>
      </c>
      <c r="N156" s="88">
        <f t="shared" si="37"/>
        <v>1.821</v>
      </c>
      <c r="O156" s="87">
        <f t="shared" si="38"/>
        <v>10.923</v>
      </c>
      <c r="P156" s="10">
        <f t="shared" si="27"/>
        <v>5.916300000000001</v>
      </c>
      <c r="Q156" s="10">
        <f t="shared" si="28"/>
        <v>1.18365</v>
      </c>
      <c r="R156" s="19">
        <f t="shared" si="29"/>
        <v>7.099950000000001</v>
      </c>
      <c r="S156" s="262"/>
      <c r="T156" s="262"/>
    </row>
    <row r="157" spans="1:20" ht="52.5" customHeight="1">
      <c r="A157" s="1" t="s">
        <v>67</v>
      </c>
      <c r="B157" s="2"/>
      <c r="C157" s="3" t="s">
        <v>48</v>
      </c>
      <c r="D157" s="157" t="s">
        <v>140</v>
      </c>
      <c r="E157" s="158" t="s">
        <v>141</v>
      </c>
      <c r="F157" s="150">
        <v>2253</v>
      </c>
      <c r="G157" s="151">
        <v>38383</v>
      </c>
      <c r="H157" s="151">
        <v>38398</v>
      </c>
      <c r="I157" s="151" t="s">
        <v>142</v>
      </c>
      <c r="J157" s="153">
        <v>180.76</v>
      </c>
      <c r="K157" s="153">
        <v>36.15</v>
      </c>
      <c r="L157" s="154">
        <f>SUM(J157+K157)</f>
        <v>216.91</v>
      </c>
      <c r="M157" s="148">
        <f aca="true" t="shared" si="39" ref="M157:M170">J157*15%</f>
        <v>27.113999999999997</v>
      </c>
      <c r="N157" s="88">
        <f aca="true" t="shared" si="40" ref="N157:N170">+K157*0.15</f>
        <v>5.422499999999999</v>
      </c>
      <c r="O157" s="87">
        <f aca="true" t="shared" si="41" ref="O157:O170">+N157+M157</f>
        <v>32.5365</v>
      </c>
      <c r="P157" s="10">
        <f t="shared" si="27"/>
        <v>17.6241</v>
      </c>
      <c r="Q157" s="10">
        <f t="shared" si="28"/>
        <v>3.524625</v>
      </c>
      <c r="R157" s="19">
        <f t="shared" si="29"/>
        <v>21.148725</v>
      </c>
      <c r="S157" s="262"/>
      <c r="T157" s="262"/>
    </row>
    <row r="158" spans="1:20" ht="52.5" customHeight="1">
      <c r="A158" s="1" t="s">
        <v>67</v>
      </c>
      <c r="B158" s="2"/>
      <c r="C158" s="3" t="s">
        <v>48</v>
      </c>
      <c r="D158" s="157" t="s">
        <v>143</v>
      </c>
      <c r="E158" s="158" t="s">
        <v>141</v>
      </c>
      <c r="F158" s="150">
        <v>21</v>
      </c>
      <c r="G158" s="151">
        <v>38411</v>
      </c>
      <c r="H158" s="151">
        <v>38419</v>
      </c>
      <c r="I158" s="151" t="s">
        <v>144</v>
      </c>
      <c r="J158" s="153">
        <v>180.76</v>
      </c>
      <c r="K158" s="153">
        <v>36.15</v>
      </c>
      <c r="L158" s="154">
        <f>SUM(J158+K158)</f>
        <v>216.91</v>
      </c>
      <c r="M158" s="148">
        <f t="shared" si="39"/>
        <v>27.113999999999997</v>
      </c>
      <c r="N158" s="88">
        <f t="shared" si="40"/>
        <v>5.422499999999999</v>
      </c>
      <c r="O158" s="87">
        <f t="shared" si="41"/>
        <v>32.5365</v>
      </c>
      <c r="P158" s="10">
        <f t="shared" si="27"/>
        <v>17.6241</v>
      </c>
      <c r="Q158" s="10">
        <f t="shared" si="28"/>
        <v>3.524625</v>
      </c>
      <c r="R158" s="19">
        <f t="shared" si="29"/>
        <v>21.148725</v>
      </c>
      <c r="S158" s="262"/>
      <c r="T158" s="262"/>
    </row>
    <row r="159" spans="1:20" ht="52.5" customHeight="1">
      <c r="A159" s="1" t="s">
        <v>67</v>
      </c>
      <c r="B159" s="2"/>
      <c r="C159" s="3" t="s">
        <v>48</v>
      </c>
      <c r="D159" s="157" t="s">
        <v>145</v>
      </c>
      <c r="E159" s="158" t="s">
        <v>141</v>
      </c>
      <c r="F159" s="150">
        <v>320</v>
      </c>
      <c r="G159" s="151">
        <v>38442</v>
      </c>
      <c r="H159" s="151">
        <v>38454</v>
      </c>
      <c r="I159" s="151" t="s">
        <v>146</v>
      </c>
      <c r="J159" s="153">
        <v>180.76</v>
      </c>
      <c r="K159" s="153">
        <v>36.15</v>
      </c>
      <c r="L159" s="154">
        <f>J159+K159</f>
        <v>216.91</v>
      </c>
      <c r="M159" s="148">
        <f t="shared" si="39"/>
        <v>27.113999999999997</v>
      </c>
      <c r="N159" s="88">
        <f t="shared" si="40"/>
        <v>5.422499999999999</v>
      </c>
      <c r="O159" s="87">
        <f t="shared" si="41"/>
        <v>32.5365</v>
      </c>
      <c r="P159" s="10">
        <f t="shared" si="27"/>
        <v>17.6241</v>
      </c>
      <c r="Q159" s="10">
        <f t="shared" si="28"/>
        <v>3.524625</v>
      </c>
      <c r="R159" s="19">
        <f t="shared" si="29"/>
        <v>21.148725</v>
      </c>
      <c r="S159" s="262"/>
      <c r="T159" s="262"/>
    </row>
    <row r="160" spans="1:20" ht="52.5" customHeight="1">
      <c r="A160" s="1" t="s">
        <v>67</v>
      </c>
      <c r="B160" s="2"/>
      <c r="C160" s="3" t="s">
        <v>48</v>
      </c>
      <c r="D160" s="157" t="s">
        <v>147</v>
      </c>
      <c r="E160" s="158" t="s">
        <v>141</v>
      </c>
      <c r="F160" s="150">
        <v>494</v>
      </c>
      <c r="G160" s="151">
        <v>38472</v>
      </c>
      <c r="H160" s="151">
        <v>38474</v>
      </c>
      <c r="I160" s="151" t="s">
        <v>148</v>
      </c>
      <c r="J160" s="153">
        <v>180.76</v>
      </c>
      <c r="K160" s="153">
        <v>36.15</v>
      </c>
      <c r="L160" s="154">
        <f>K160+J160</f>
        <v>216.91</v>
      </c>
      <c r="M160" s="148">
        <f t="shared" si="39"/>
        <v>27.113999999999997</v>
      </c>
      <c r="N160" s="88">
        <f t="shared" si="40"/>
        <v>5.422499999999999</v>
      </c>
      <c r="O160" s="87">
        <f t="shared" si="41"/>
        <v>32.5365</v>
      </c>
      <c r="P160" s="10">
        <f t="shared" si="27"/>
        <v>17.6241</v>
      </c>
      <c r="Q160" s="10">
        <f t="shared" si="28"/>
        <v>3.524625</v>
      </c>
      <c r="R160" s="19">
        <f t="shared" si="29"/>
        <v>21.148725</v>
      </c>
      <c r="S160" s="262"/>
      <c r="T160" s="262"/>
    </row>
    <row r="161" spans="1:20" ht="52.5" customHeight="1">
      <c r="A161" s="1" t="s">
        <v>67</v>
      </c>
      <c r="B161" s="2"/>
      <c r="C161" s="3" t="s">
        <v>48</v>
      </c>
      <c r="D161" s="157" t="s">
        <v>149</v>
      </c>
      <c r="E161" s="158" t="s">
        <v>141</v>
      </c>
      <c r="F161" s="150">
        <v>741</v>
      </c>
      <c r="G161" s="151">
        <v>38503</v>
      </c>
      <c r="H161" s="151">
        <v>38503</v>
      </c>
      <c r="I161" s="151" t="s">
        <v>150</v>
      </c>
      <c r="J161" s="153">
        <v>180.76</v>
      </c>
      <c r="K161" s="153">
        <v>36.15</v>
      </c>
      <c r="L161" s="154">
        <f aca="true" t="shared" si="42" ref="L161:L167">J161+K161</f>
        <v>216.91</v>
      </c>
      <c r="M161" s="148">
        <f t="shared" si="39"/>
        <v>27.113999999999997</v>
      </c>
      <c r="N161" s="88">
        <f t="shared" si="40"/>
        <v>5.422499999999999</v>
      </c>
      <c r="O161" s="87">
        <f t="shared" si="41"/>
        <v>32.5365</v>
      </c>
      <c r="P161" s="10">
        <f t="shared" si="27"/>
        <v>17.6241</v>
      </c>
      <c r="Q161" s="10">
        <f t="shared" si="28"/>
        <v>3.524625</v>
      </c>
      <c r="R161" s="19">
        <f t="shared" si="29"/>
        <v>21.148725</v>
      </c>
      <c r="S161" s="262"/>
      <c r="T161" s="262"/>
    </row>
    <row r="162" spans="1:20" ht="52.5" customHeight="1">
      <c r="A162" s="1" t="s">
        <v>67</v>
      </c>
      <c r="B162" s="2"/>
      <c r="C162" s="3" t="s">
        <v>48</v>
      </c>
      <c r="D162" s="157" t="s">
        <v>151</v>
      </c>
      <c r="E162" s="158" t="s">
        <v>141</v>
      </c>
      <c r="F162" s="150">
        <v>940</v>
      </c>
      <c r="G162" s="151">
        <v>38533</v>
      </c>
      <c r="H162" s="151">
        <v>38534</v>
      </c>
      <c r="I162" s="151" t="s">
        <v>152</v>
      </c>
      <c r="J162" s="153">
        <v>180.76</v>
      </c>
      <c r="K162" s="153">
        <v>36.15</v>
      </c>
      <c r="L162" s="154">
        <f t="shared" si="42"/>
        <v>216.91</v>
      </c>
      <c r="M162" s="148">
        <f t="shared" si="39"/>
        <v>27.113999999999997</v>
      </c>
      <c r="N162" s="88">
        <f t="shared" si="40"/>
        <v>5.422499999999999</v>
      </c>
      <c r="O162" s="87">
        <f t="shared" si="41"/>
        <v>32.5365</v>
      </c>
      <c r="P162" s="10">
        <f t="shared" si="27"/>
        <v>17.6241</v>
      </c>
      <c r="Q162" s="10">
        <f t="shared" si="28"/>
        <v>3.524625</v>
      </c>
      <c r="R162" s="19">
        <f t="shared" si="29"/>
        <v>21.148725</v>
      </c>
      <c r="S162" s="262"/>
      <c r="T162" s="262"/>
    </row>
    <row r="163" spans="1:20" ht="42" customHeight="1">
      <c r="A163" s="1" t="s">
        <v>67</v>
      </c>
      <c r="B163" s="2"/>
      <c r="C163" s="3" t="s">
        <v>48</v>
      </c>
      <c r="D163" s="157" t="s">
        <v>153</v>
      </c>
      <c r="E163" s="158" t="s">
        <v>141</v>
      </c>
      <c r="F163" s="150">
        <v>86</v>
      </c>
      <c r="G163" s="151">
        <v>38563</v>
      </c>
      <c r="H163" s="151">
        <v>38622</v>
      </c>
      <c r="I163" s="151" t="s">
        <v>154</v>
      </c>
      <c r="J163" s="153">
        <v>180.76</v>
      </c>
      <c r="K163" s="153">
        <v>36.15</v>
      </c>
      <c r="L163" s="154">
        <f t="shared" si="42"/>
        <v>216.91</v>
      </c>
      <c r="M163" s="148">
        <f t="shared" si="39"/>
        <v>27.113999999999997</v>
      </c>
      <c r="N163" s="88">
        <f t="shared" si="40"/>
        <v>5.422499999999999</v>
      </c>
      <c r="O163" s="87">
        <f t="shared" si="41"/>
        <v>32.5365</v>
      </c>
      <c r="P163" s="10">
        <f t="shared" si="27"/>
        <v>17.6241</v>
      </c>
      <c r="Q163" s="10">
        <f t="shared" si="28"/>
        <v>3.524625</v>
      </c>
      <c r="R163" s="19">
        <f t="shared" si="29"/>
        <v>21.148725</v>
      </c>
      <c r="S163" s="262"/>
      <c r="T163" s="262"/>
    </row>
    <row r="164" spans="1:20" ht="42" customHeight="1">
      <c r="A164" s="1" t="s">
        <v>67</v>
      </c>
      <c r="B164" s="2"/>
      <c r="C164" s="3" t="s">
        <v>48</v>
      </c>
      <c r="D164" s="157" t="s">
        <v>155</v>
      </c>
      <c r="E164" s="158" t="s">
        <v>141</v>
      </c>
      <c r="F164" s="150">
        <v>254</v>
      </c>
      <c r="G164" s="151">
        <v>38595</v>
      </c>
      <c r="H164" s="151">
        <v>38622</v>
      </c>
      <c r="I164" s="151" t="s">
        <v>154</v>
      </c>
      <c r="J164" s="153">
        <v>180.76</v>
      </c>
      <c r="K164" s="153">
        <v>36.15</v>
      </c>
      <c r="L164" s="154">
        <f t="shared" si="42"/>
        <v>216.91</v>
      </c>
      <c r="M164" s="148">
        <f t="shared" si="39"/>
        <v>27.113999999999997</v>
      </c>
      <c r="N164" s="88">
        <f t="shared" si="40"/>
        <v>5.422499999999999</v>
      </c>
      <c r="O164" s="87">
        <f t="shared" si="41"/>
        <v>32.5365</v>
      </c>
      <c r="P164" s="10">
        <f t="shared" si="27"/>
        <v>17.6241</v>
      </c>
      <c r="Q164" s="10">
        <f t="shared" si="28"/>
        <v>3.524625</v>
      </c>
      <c r="R164" s="19">
        <f t="shared" si="29"/>
        <v>21.148725</v>
      </c>
      <c r="S164" s="262"/>
      <c r="T164" s="262"/>
    </row>
    <row r="165" spans="1:20" ht="31.5" customHeight="1">
      <c r="A165" s="1" t="s">
        <v>67</v>
      </c>
      <c r="B165" s="2"/>
      <c r="C165" s="3" t="s">
        <v>48</v>
      </c>
      <c r="D165" s="157" t="s">
        <v>156</v>
      </c>
      <c r="E165" s="158" t="s">
        <v>141</v>
      </c>
      <c r="F165" s="150">
        <v>609</v>
      </c>
      <c r="G165" s="151">
        <v>38625</v>
      </c>
      <c r="H165" s="151">
        <v>38625</v>
      </c>
      <c r="I165" s="151" t="s">
        <v>157</v>
      </c>
      <c r="J165" s="153">
        <v>180.76</v>
      </c>
      <c r="K165" s="153">
        <v>36.15</v>
      </c>
      <c r="L165" s="154">
        <f t="shared" si="42"/>
        <v>216.91</v>
      </c>
      <c r="M165" s="148">
        <f t="shared" si="39"/>
        <v>27.113999999999997</v>
      </c>
      <c r="N165" s="88">
        <f t="shared" si="40"/>
        <v>5.422499999999999</v>
      </c>
      <c r="O165" s="87">
        <f t="shared" si="41"/>
        <v>32.5365</v>
      </c>
      <c r="P165" s="10">
        <f t="shared" si="27"/>
        <v>17.6241</v>
      </c>
      <c r="Q165" s="10">
        <f t="shared" si="28"/>
        <v>3.524625</v>
      </c>
      <c r="R165" s="19">
        <f t="shared" si="29"/>
        <v>21.148725</v>
      </c>
      <c r="S165" s="262"/>
      <c r="T165" s="262"/>
    </row>
    <row r="166" spans="1:20" ht="52.5" customHeight="1">
      <c r="A166" s="1" t="s">
        <v>67</v>
      </c>
      <c r="B166" s="2"/>
      <c r="C166" s="3" t="s">
        <v>48</v>
      </c>
      <c r="D166" s="157" t="s">
        <v>158</v>
      </c>
      <c r="E166" s="158" t="s">
        <v>141</v>
      </c>
      <c r="F166" s="150">
        <v>786</v>
      </c>
      <c r="G166" s="151">
        <v>38656</v>
      </c>
      <c r="H166" s="151">
        <v>38670</v>
      </c>
      <c r="I166" s="151" t="s">
        <v>159</v>
      </c>
      <c r="J166" s="153">
        <v>180.76</v>
      </c>
      <c r="K166" s="153">
        <v>36.15</v>
      </c>
      <c r="L166" s="154">
        <f t="shared" si="42"/>
        <v>216.91</v>
      </c>
      <c r="M166" s="148">
        <f t="shared" si="39"/>
        <v>27.113999999999997</v>
      </c>
      <c r="N166" s="88">
        <f t="shared" si="40"/>
        <v>5.422499999999999</v>
      </c>
      <c r="O166" s="87">
        <f t="shared" si="41"/>
        <v>32.5365</v>
      </c>
      <c r="P166" s="10">
        <f t="shared" si="27"/>
        <v>17.6241</v>
      </c>
      <c r="Q166" s="10">
        <f t="shared" si="28"/>
        <v>3.524625</v>
      </c>
      <c r="R166" s="19">
        <f t="shared" si="29"/>
        <v>21.148725</v>
      </c>
      <c r="S166" s="262"/>
      <c r="T166" s="262"/>
    </row>
    <row r="167" spans="1:20" ht="52.5" customHeight="1">
      <c r="A167" s="1" t="s">
        <v>67</v>
      </c>
      <c r="B167" s="2"/>
      <c r="C167" s="3" t="s">
        <v>48</v>
      </c>
      <c r="D167" s="157" t="s">
        <v>160</v>
      </c>
      <c r="E167" s="158" t="s">
        <v>141</v>
      </c>
      <c r="F167" s="150">
        <v>1055</v>
      </c>
      <c r="G167" s="151">
        <v>38686</v>
      </c>
      <c r="H167" s="151">
        <v>38698</v>
      </c>
      <c r="I167" s="151" t="s">
        <v>161</v>
      </c>
      <c r="J167" s="153">
        <v>180.76</v>
      </c>
      <c r="K167" s="153">
        <v>36.15</v>
      </c>
      <c r="L167" s="154">
        <f t="shared" si="42"/>
        <v>216.91</v>
      </c>
      <c r="M167" s="148">
        <f t="shared" si="39"/>
        <v>27.113999999999997</v>
      </c>
      <c r="N167" s="88">
        <f t="shared" si="40"/>
        <v>5.422499999999999</v>
      </c>
      <c r="O167" s="87">
        <f t="shared" si="41"/>
        <v>32.5365</v>
      </c>
      <c r="P167" s="10">
        <f t="shared" si="27"/>
        <v>17.6241</v>
      </c>
      <c r="Q167" s="10">
        <f t="shared" si="28"/>
        <v>3.524625</v>
      </c>
      <c r="R167" s="19">
        <f t="shared" si="29"/>
        <v>21.148725</v>
      </c>
      <c r="S167" s="262"/>
      <c r="T167" s="262"/>
    </row>
    <row r="168" spans="1:20" ht="52.5" customHeight="1">
      <c r="A168" s="1" t="s">
        <v>67</v>
      </c>
      <c r="B168" s="2"/>
      <c r="C168" s="3" t="s">
        <v>48</v>
      </c>
      <c r="D168" s="172" t="s">
        <v>162</v>
      </c>
      <c r="E168" s="149" t="s">
        <v>141</v>
      </c>
      <c r="F168" s="155">
        <v>1536</v>
      </c>
      <c r="G168" s="156">
        <v>38716</v>
      </c>
      <c r="H168" s="156">
        <v>38738</v>
      </c>
      <c r="I168" s="156" t="s">
        <v>163</v>
      </c>
      <c r="J168" s="148">
        <v>180.76</v>
      </c>
      <c r="K168" s="148">
        <v>36.15</v>
      </c>
      <c r="L168" s="166">
        <f>J168+K168</f>
        <v>216.91</v>
      </c>
      <c r="M168" s="148">
        <f t="shared" si="39"/>
        <v>27.113999999999997</v>
      </c>
      <c r="N168" s="88">
        <f t="shared" si="40"/>
        <v>5.422499999999999</v>
      </c>
      <c r="O168" s="87">
        <f t="shared" si="41"/>
        <v>32.5365</v>
      </c>
      <c r="P168" s="10">
        <f t="shared" si="27"/>
        <v>17.6241</v>
      </c>
      <c r="Q168" s="10">
        <f t="shared" si="28"/>
        <v>3.524625</v>
      </c>
      <c r="R168" s="19">
        <f t="shared" si="29"/>
        <v>21.148725</v>
      </c>
      <c r="S168" s="262"/>
      <c r="T168" s="262"/>
    </row>
    <row r="169" spans="1:20" ht="52.5" customHeight="1">
      <c r="A169" s="1" t="s">
        <v>67</v>
      </c>
      <c r="B169" s="2"/>
      <c r="C169" s="3" t="s">
        <v>48</v>
      </c>
      <c r="D169" s="173" t="s">
        <v>164</v>
      </c>
      <c r="E169" s="174" t="s">
        <v>141</v>
      </c>
      <c r="F169" s="150">
        <v>49</v>
      </c>
      <c r="G169" s="151">
        <v>38748</v>
      </c>
      <c r="H169" s="151">
        <v>38748</v>
      </c>
      <c r="I169" s="151" t="s">
        <v>165</v>
      </c>
      <c r="J169" s="153">
        <v>180.76</v>
      </c>
      <c r="K169" s="153">
        <v>36.15</v>
      </c>
      <c r="L169" s="154">
        <f>SUM(J169+K169)</f>
        <v>216.91</v>
      </c>
      <c r="M169" s="148">
        <f t="shared" si="39"/>
        <v>27.113999999999997</v>
      </c>
      <c r="N169" s="88">
        <f t="shared" si="40"/>
        <v>5.422499999999999</v>
      </c>
      <c r="O169" s="87">
        <f t="shared" si="41"/>
        <v>32.5365</v>
      </c>
      <c r="P169" s="10">
        <f t="shared" si="27"/>
        <v>17.6241</v>
      </c>
      <c r="Q169" s="10">
        <f t="shared" si="28"/>
        <v>3.524625</v>
      </c>
      <c r="R169" s="19">
        <f t="shared" si="29"/>
        <v>21.148725</v>
      </c>
      <c r="S169" s="262"/>
      <c r="T169" s="262"/>
    </row>
    <row r="170" spans="1:20" ht="52.5" customHeight="1">
      <c r="A170" s="1" t="s">
        <v>67</v>
      </c>
      <c r="B170" s="2"/>
      <c r="C170" s="3" t="s">
        <v>48</v>
      </c>
      <c r="D170" s="157" t="s">
        <v>166</v>
      </c>
      <c r="E170" s="158" t="s">
        <v>141</v>
      </c>
      <c r="F170" s="150">
        <v>339</v>
      </c>
      <c r="G170" s="151">
        <v>38776</v>
      </c>
      <c r="H170" s="151">
        <v>38797</v>
      </c>
      <c r="I170" s="151" t="s">
        <v>167</v>
      </c>
      <c r="J170" s="153">
        <v>180.76</v>
      </c>
      <c r="K170" s="153">
        <v>36.15</v>
      </c>
      <c r="L170" s="154">
        <f>SUM(J170+K170)</f>
        <v>216.91</v>
      </c>
      <c r="M170" s="148">
        <f t="shared" si="39"/>
        <v>27.113999999999997</v>
      </c>
      <c r="N170" s="88">
        <f t="shared" si="40"/>
        <v>5.422499999999999</v>
      </c>
      <c r="O170" s="87">
        <f t="shared" si="41"/>
        <v>32.5365</v>
      </c>
      <c r="P170" s="10">
        <f t="shared" si="27"/>
        <v>17.6241</v>
      </c>
      <c r="Q170" s="10">
        <f t="shared" si="28"/>
        <v>3.524625</v>
      </c>
      <c r="R170" s="19">
        <f t="shared" si="29"/>
        <v>21.148725</v>
      </c>
      <c r="S170" s="262"/>
      <c r="T170" s="262"/>
    </row>
    <row r="171" spans="1:20" ht="31.5">
      <c r="A171" s="1" t="s">
        <v>67</v>
      </c>
      <c r="B171" s="2"/>
      <c r="C171" s="3" t="s">
        <v>48</v>
      </c>
      <c r="D171" s="157" t="s">
        <v>168</v>
      </c>
      <c r="E171" s="158" t="s">
        <v>169</v>
      </c>
      <c r="F171" s="150" t="s">
        <v>72</v>
      </c>
      <c r="G171" s="151">
        <v>38414</v>
      </c>
      <c r="H171" s="151">
        <v>38414</v>
      </c>
      <c r="I171" s="151" t="s">
        <v>170</v>
      </c>
      <c r="J171" s="153">
        <v>2000</v>
      </c>
      <c r="K171" s="153">
        <v>0</v>
      </c>
      <c r="L171" s="154">
        <f>J171+K171</f>
        <v>2000</v>
      </c>
      <c r="M171" s="153">
        <f>L171*15%</f>
        <v>300</v>
      </c>
      <c r="N171" s="88"/>
      <c r="O171" s="87">
        <f>+N171+M171</f>
        <v>300</v>
      </c>
      <c r="P171" s="10">
        <f aca="true" t="shared" si="43" ref="P171:P178">+M171*0.65</f>
        <v>195</v>
      </c>
      <c r="Q171" s="10">
        <f aca="true" t="shared" si="44" ref="Q171:Q178">+N171*0.65</f>
        <v>0</v>
      </c>
      <c r="R171" s="19">
        <f aca="true" t="shared" si="45" ref="R171:R178">+Q171+P171</f>
        <v>195</v>
      </c>
      <c r="S171" s="262"/>
      <c r="T171" s="262"/>
    </row>
    <row r="172" spans="1:20" ht="31.5">
      <c r="A172" s="1" t="s">
        <v>67</v>
      </c>
      <c r="B172" s="2"/>
      <c r="C172" s="3" t="s">
        <v>48</v>
      </c>
      <c r="D172" s="157" t="s">
        <v>168</v>
      </c>
      <c r="E172" s="158" t="s">
        <v>169</v>
      </c>
      <c r="F172" s="150" t="s">
        <v>72</v>
      </c>
      <c r="G172" s="151">
        <v>38513</v>
      </c>
      <c r="H172" s="151">
        <v>38513</v>
      </c>
      <c r="I172" s="151" t="s">
        <v>170</v>
      </c>
      <c r="J172" s="153">
        <v>500</v>
      </c>
      <c r="K172" s="153">
        <v>0</v>
      </c>
      <c r="L172" s="154">
        <f>K172+J172</f>
        <v>500</v>
      </c>
      <c r="M172" s="153">
        <f>L172*15%</f>
        <v>75</v>
      </c>
      <c r="N172" s="88"/>
      <c r="O172" s="87">
        <f aca="true" t="shared" si="46" ref="O172:O178">+N172+M172</f>
        <v>75</v>
      </c>
      <c r="P172" s="10">
        <f t="shared" si="43"/>
        <v>48.75</v>
      </c>
      <c r="Q172" s="10">
        <f t="shared" si="44"/>
        <v>0</v>
      </c>
      <c r="R172" s="19">
        <f t="shared" si="45"/>
        <v>48.75</v>
      </c>
      <c r="S172" s="262"/>
      <c r="T172" s="262"/>
    </row>
    <row r="173" spans="1:20" ht="31.5">
      <c r="A173" s="1" t="s">
        <v>67</v>
      </c>
      <c r="B173" s="2"/>
      <c r="C173" s="3" t="s">
        <v>48</v>
      </c>
      <c r="D173" s="157" t="s">
        <v>168</v>
      </c>
      <c r="E173" s="158" t="s">
        <v>169</v>
      </c>
      <c r="F173" s="150" t="s">
        <v>72</v>
      </c>
      <c r="G173" s="151">
        <v>38547</v>
      </c>
      <c r="H173" s="151">
        <v>38547</v>
      </c>
      <c r="I173" s="151" t="s">
        <v>170</v>
      </c>
      <c r="J173" s="153">
        <v>2000</v>
      </c>
      <c r="K173" s="153">
        <v>0</v>
      </c>
      <c r="L173" s="154">
        <f aca="true" t="shared" si="47" ref="L173:L179">J173+K173</f>
        <v>2000</v>
      </c>
      <c r="M173" s="153">
        <f>L173*15%</f>
        <v>300</v>
      </c>
      <c r="N173" s="88"/>
      <c r="O173" s="87">
        <f t="shared" si="46"/>
        <v>300</v>
      </c>
      <c r="P173" s="10">
        <f t="shared" si="43"/>
        <v>195</v>
      </c>
      <c r="Q173" s="10">
        <f t="shared" si="44"/>
        <v>0</v>
      </c>
      <c r="R173" s="19">
        <f t="shared" si="45"/>
        <v>195</v>
      </c>
      <c r="S173" s="262"/>
      <c r="T173" s="262"/>
    </row>
    <row r="174" spans="1:20" ht="34.5" customHeight="1">
      <c r="A174" s="1" t="s">
        <v>67</v>
      </c>
      <c r="B174" s="2"/>
      <c r="C174" s="3" t="s">
        <v>48</v>
      </c>
      <c r="D174" s="157" t="s">
        <v>171</v>
      </c>
      <c r="E174" s="158" t="s">
        <v>172</v>
      </c>
      <c r="F174" s="150">
        <v>917</v>
      </c>
      <c r="G174" s="151">
        <v>38404</v>
      </c>
      <c r="H174" s="151">
        <v>38454</v>
      </c>
      <c r="I174" s="151" t="s">
        <v>173</v>
      </c>
      <c r="J174" s="153">
        <v>370.37</v>
      </c>
      <c r="K174" s="153">
        <v>74.07</v>
      </c>
      <c r="L174" s="154">
        <f t="shared" si="47"/>
        <v>444.44</v>
      </c>
      <c r="M174" s="148">
        <f aca="true" t="shared" si="48" ref="M174:M189">J174*15%</f>
        <v>55.5555</v>
      </c>
      <c r="N174" s="88">
        <f aca="true" t="shared" si="49" ref="N174:N189">+K174*0.15</f>
        <v>11.110499999999998</v>
      </c>
      <c r="O174" s="87">
        <f t="shared" si="46"/>
        <v>66.666</v>
      </c>
      <c r="P174" s="10">
        <f t="shared" si="43"/>
        <v>36.111075</v>
      </c>
      <c r="Q174" s="10">
        <f t="shared" si="44"/>
        <v>7.221824999999999</v>
      </c>
      <c r="R174" s="19">
        <f t="shared" si="45"/>
        <v>43.332899999999995</v>
      </c>
      <c r="S174" s="262"/>
      <c r="T174" s="262"/>
    </row>
    <row r="175" spans="1:20" ht="34.5" customHeight="1">
      <c r="A175" s="1" t="s">
        <v>67</v>
      </c>
      <c r="B175" s="2"/>
      <c r="C175" s="3" t="s">
        <v>48</v>
      </c>
      <c r="D175" s="157" t="s">
        <v>171</v>
      </c>
      <c r="E175" s="158" t="s">
        <v>172</v>
      </c>
      <c r="F175" s="150">
        <v>1855</v>
      </c>
      <c r="G175" s="151">
        <v>38443</v>
      </c>
      <c r="H175" s="151">
        <v>38454</v>
      </c>
      <c r="I175" s="151" t="s">
        <v>173</v>
      </c>
      <c r="J175" s="153">
        <v>435.96</v>
      </c>
      <c r="K175" s="153">
        <v>87.19</v>
      </c>
      <c r="L175" s="154">
        <f t="shared" si="47"/>
        <v>523.15</v>
      </c>
      <c r="M175" s="148">
        <f t="shared" si="48"/>
        <v>65.39399999999999</v>
      </c>
      <c r="N175" s="88">
        <f t="shared" si="49"/>
        <v>13.0785</v>
      </c>
      <c r="O175" s="87">
        <f t="shared" si="46"/>
        <v>78.4725</v>
      </c>
      <c r="P175" s="10">
        <f t="shared" si="43"/>
        <v>42.506099999999996</v>
      </c>
      <c r="Q175" s="10">
        <f t="shared" si="44"/>
        <v>8.501025</v>
      </c>
      <c r="R175" s="19">
        <f t="shared" si="45"/>
        <v>51.007124999999995</v>
      </c>
      <c r="S175" s="262"/>
      <c r="T175" s="262"/>
    </row>
    <row r="176" spans="1:20" ht="34.5" customHeight="1">
      <c r="A176" s="1" t="s">
        <v>67</v>
      </c>
      <c r="B176" s="2"/>
      <c r="C176" s="3" t="s">
        <v>48</v>
      </c>
      <c r="D176" s="157" t="s">
        <v>171</v>
      </c>
      <c r="E176" s="158" t="s">
        <v>172</v>
      </c>
      <c r="F176" s="150">
        <v>4063</v>
      </c>
      <c r="G176" s="151">
        <v>38558</v>
      </c>
      <c r="H176" s="151">
        <v>38559</v>
      </c>
      <c r="I176" s="151" t="s">
        <v>173</v>
      </c>
      <c r="J176" s="153">
        <v>174.7</v>
      </c>
      <c r="K176" s="153">
        <v>34.94</v>
      </c>
      <c r="L176" s="154">
        <f t="shared" si="47"/>
        <v>209.64</v>
      </c>
      <c r="M176" s="148">
        <f t="shared" si="48"/>
        <v>26.205</v>
      </c>
      <c r="N176" s="88">
        <f t="shared" si="49"/>
        <v>5.241</v>
      </c>
      <c r="O176" s="87">
        <f t="shared" si="46"/>
        <v>31.445999999999998</v>
      </c>
      <c r="P176" s="10">
        <f t="shared" si="43"/>
        <v>17.03325</v>
      </c>
      <c r="Q176" s="10">
        <f t="shared" si="44"/>
        <v>3.40665</v>
      </c>
      <c r="R176" s="19">
        <f t="shared" si="45"/>
        <v>20.439899999999998</v>
      </c>
      <c r="S176" s="262"/>
      <c r="T176" s="262"/>
    </row>
    <row r="177" spans="1:20" ht="34.5" customHeight="1">
      <c r="A177" s="1" t="s">
        <v>67</v>
      </c>
      <c r="B177" s="2"/>
      <c r="C177" s="3" t="s">
        <v>48</v>
      </c>
      <c r="D177" s="157" t="s">
        <v>171</v>
      </c>
      <c r="E177" s="158" t="s">
        <v>172</v>
      </c>
      <c r="F177" s="150">
        <v>5517</v>
      </c>
      <c r="G177" s="151">
        <v>38643</v>
      </c>
      <c r="H177" s="151">
        <v>38704</v>
      </c>
      <c r="I177" s="151" t="s">
        <v>173</v>
      </c>
      <c r="J177" s="153">
        <v>358.39</v>
      </c>
      <c r="K177" s="153">
        <v>71.68</v>
      </c>
      <c r="L177" s="154">
        <f t="shared" si="47"/>
        <v>430.07</v>
      </c>
      <c r="M177" s="148">
        <f t="shared" si="48"/>
        <v>53.7585</v>
      </c>
      <c r="N177" s="88">
        <f t="shared" si="49"/>
        <v>10.752</v>
      </c>
      <c r="O177" s="87">
        <f t="shared" si="46"/>
        <v>64.5105</v>
      </c>
      <c r="P177" s="10">
        <f t="shared" si="43"/>
        <v>34.943025</v>
      </c>
      <c r="Q177" s="10">
        <f t="shared" si="44"/>
        <v>6.9888</v>
      </c>
      <c r="R177" s="19">
        <f t="shared" si="45"/>
        <v>41.931824999999996</v>
      </c>
      <c r="S177" s="262"/>
      <c r="T177" s="262"/>
    </row>
    <row r="178" spans="1:20" ht="34.5" customHeight="1">
      <c r="A178" s="1" t="s">
        <v>67</v>
      </c>
      <c r="B178" s="2"/>
      <c r="C178" s="3" t="s">
        <v>48</v>
      </c>
      <c r="D178" s="157" t="s">
        <v>171</v>
      </c>
      <c r="E178" s="158" t="s">
        <v>172</v>
      </c>
      <c r="F178" s="150">
        <v>6759</v>
      </c>
      <c r="G178" s="151">
        <v>38698</v>
      </c>
      <c r="H178" s="151">
        <v>38760</v>
      </c>
      <c r="I178" s="151" t="s">
        <v>173</v>
      </c>
      <c r="J178" s="153">
        <v>544.78</v>
      </c>
      <c r="K178" s="153">
        <v>108.96</v>
      </c>
      <c r="L178" s="154">
        <f t="shared" si="47"/>
        <v>653.74</v>
      </c>
      <c r="M178" s="148">
        <f t="shared" si="48"/>
        <v>81.717</v>
      </c>
      <c r="N178" s="88">
        <f t="shared" si="49"/>
        <v>16.343999999999998</v>
      </c>
      <c r="O178" s="87">
        <f t="shared" si="46"/>
        <v>98.06099999999999</v>
      </c>
      <c r="P178" s="10">
        <f t="shared" si="43"/>
        <v>53.11605</v>
      </c>
      <c r="Q178" s="10">
        <f t="shared" si="44"/>
        <v>10.6236</v>
      </c>
      <c r="R178" s="19">
        <f t="shared" si="45"/>
        <v>63.73965</v>
      </c>
      <c r="S178" s="262"/>
      <c r="T178" s="262"/>
    </row>
    <row r="179" spans="1:20" ht="34.5" customHeight="1">
      <c r="A179" s="1" t="s">
        <v>67</v>
      </c>
      <c r="B179" s="2"/>
      <c r="C179" s="3" t="s">
        <v>48</v>
      </c>
      <c r="D179" s="157" t="s">
        <v>171</v>
      </c>
      <c r="E179" s="158" t="s">
        <v>174</v>
      </c>
      <c r="F179" s="150">
        <v>113</v>
      </c>
      <c r="G179" s="151">
        <v>38411</v>
      </c>
      <c r="H179" s="156">
        <v>38503</v>
      </c>
      <c r="I179" s="151" t="s">
        <v>173</v>
      </c>
      <c r="J179" s="153">
        <v>450</v>
      </c>
      <c r="K179" s="153">
        <v>90</v>
      </c>
      <c r="L179" s="154">
        <f t="shared" si="47"/>
        <v>540</v>
      </c>
      <c r="M179" s="148">
        <f t="shared" si="48"/>
        <v>67.5</v>
      </c>
      <c r="N179" s="88">
        <f t="shared" si="49"/>
        <v>13.5</v>
      </c>
      <c r="O179" s="87">
        <f aca="true" t="shared" si="50" ref="O179:O191">+N179+M179</f>
        <v>81</v>
      </c>
      <c r="P179" s="10">
        <f aca="true" t="shared" si="51" ref="P179:P191">+M179*0.65</f>
        <v>43.875</v>
      </c>
      <c r="Q179" s="10">
        <f aca="true" t="shared" si="52" ref="Q179:Q191">+N179*0.65</f>
        <v>8.775</v>
      </c>
      <c r="R179" s="19">
        <f aca="true" t="shared" si="53" ref="R179:R191">+Q179+P179</f>
        <v>52.65</v>
      </c>
      <c r="S179" s="262"/>
      <c r="T179" s="262"/>
    </row>
    <row r="180" spans="1:20" ht="34.5" customHeight="1">
      <c r="A180" s="1" t="s">
        <v>67</v>
      </c>
      <c r="B180" s="2"/>
      <c r="C180" s="3" t="s">
        <v>48</v>
      </c>
      <c r="D180" s="83" t="s">
        <v>171</v>
      </c>
      <c r="E180" s="149" t="s">
        <v>174</v>
      </c>
      <c r="F180" s="155">
        <v>241</v>
      </c>
      <c r="G180" s="156">
        <v>38442</v>
      </c>
      <c r="H180" s="156">
        <v>38503</v>
      </c>
      <c r="I180" s="156" t="s">
        <v>173</v>
      </c>
      <c r="J180" s="148">
        <v>366.8</v>
      </c>
      <c r="K180" s="148">
        <v>73.36</v>
      </c>
      <c r="L180" s="166">
        <f>SUM(J180+K180)</f>
        <v>440.16</v>
      </c>
      <c r="M180" s="148">
        <f t="shared" si="48"/>
        <v>55.02</v>
      </c>
      <c r="N180" s="88">
        <f t="shared" si="49"/>
        <v>11.004</v>
      </c>
      <c r="O180" s="87">
        <f t="shared" si="50"/>
        <v>66.024</v>
      </c>
      <c r="P180" s="10">
        <f t="shared" si="51"/>
        <v>35.763000000000005</v>
      </c>
      <c r="Q180" s="10">
        <f t="shared" si="52"/>
        <v>7.1526</v>
      </c>
      <c r="R180" s="19">
        <f t="shared" si="53"/>
        <v>42.915600000000005</v>
      </c>
      <c r="S180" s="262"/>
      <c r="T180" s="262"/>
    </row>
    <row r="181" spans="1:20" ht="34.5" customHeight="1">
      <c r="A181" s="1" t="s">
        <v>67</v>
      </c>
      <c r="B181" s="2"/>
      <c r="C181" s="3" t="s">
        <v>48</v>
      </c>
      <c r="D181" s="157" t="s">
        <v>171</v>
      </c>
      <c r="E181" s="158" t="s">
        <v>174</v>
      </c>
      <c r="F181" s="150">
        <v>545</v>
      </c>
      <c r="G181" s="151">
        <v>38533</v>
      </c>
      <c r="H181" s="151">
        <v>38545</v>
      </c>
      <c r="I181" s="151" t="s">
        <v>173</v>
      </c>
      <c r="J181" s="153">
        <v>350</v>
      </c>
      <c r="K181" s="153">
        <v>70</v>
      </c>
      <c r="L181" s="154">
        <f>SUM(J181+K181)</f>
        <v>420</v>
      </c>
      <c r="M181" s="148">
        <f t="shared" si="48"/>
        <v>52.5</v>
      </c>
      <c r="N181" s="88">
        <f t="shared" si="49"/>
        <v>10.5</v>
      </c>
      <c r="O181" s="87">
        <f t="shared" si="50"/>
        <v>63</v>
      </c>
      <c r="P181" s="10">
        <f t="shared" si="51"/>
        <v>34.125</v>
      </c>
      <c r="Q181" s="10">
        <f t="shared" si="52"/>
        <v>6.825</v>
      </c>
      <c r="R181" s="19">
        <f t="shared" si="53"/>
        <v>40.95</v>
      </c>
      <c r="S181" s="262"/>
      <c r="T181" s="262"/>
    </row>
    <row r="182" spans="1:20" ht="34.5" customHeight="1">
      <c r="A182" s="1" t="s">
        <v>67</v>
      </c>
      <c r="B182" s="2"/>
      <c r="C182" s="3" t="s">
        <v>48</v>
      </c>
      <c r="D182" s="157" t="s">
        <v>171</v>
      </c>
      <c r="E182" s="158" t="s">
        <v>174</v>
      </c>
      <c r="F182" s="150">
        <v>897</v>
      </c>
      <c r="G182" s="151">
        <v>38656</v>
      </c>
      <c r="H182" s="151">
        <v>38671</v>
      </c>
      <c r="I182" s="151" t="s">
        <v>173</v>
      </c>
      <c r="J182" s="153">
        <v>526</v>
      </c>
      <c r="K182" s="153">
        <v>105.2</v>
      </c>
      <c r="L182" s="154">
        <f>SUM(J182+K182)</f>
        <v>631.2</v>
      </c>
      <c r="M182" s="148">
        <f t="shared" si="48"/>
        <v>78.89999999999999</v>
      </c>
      <c r="N182" s="88">
        <f t="shared" si="49"/>
        <v>15.78</v>
      </c>
      <c r="O182" s="87">
        <f t="shared" si="50"/>
        <v>94.67999999999999</v>
      </c>
      <c r="P182" s="10">
        <f t="shared" si="51"/>
        <v>51.285</v>
      </c>
      <c r="Q182" s="10">
        <f t="shared" si="52"/>
        <v>10.257</v>
      </c>
      <c r="R182" s="19">
        <f t="shared" si="53"/>
        <v>61.541999999999994</v>
      </c>
      <c r="S182" s="262"/>
      <c r="T182" s="262"/>
    </row>
    <row r="183" spans="1:20" ht="34.5" customHeight="1">
      <c r="A183" s="1" t="s">
        <v>67</v>
      </c>
      <c r="B183" s="2"/>
      <c r="C183" s="3" t="s">
        <v>48</v>
      </c>
      <c r="D183" s="157" t="s">
        <v>171</v>
      </c>
      <c r="E183" s="158" t="s">
        <v>174</v>
      </c>
      <c r="F183" s="150">
        <v>958</v>
      </c>
      <c r="G183" s="151">
        <v>38678</v>
      </c>
      <c r="H183" s="151">
        <v>38699</v>
      </c>
      <c r="I183" s="151" t="s">
        <v>173</v>
      </c>
      <c r="J183" s="153">
        <v>160</v>
      </c>
      <c r="K183" s="153">
        <v>32</v>
      </c>
      <c r="L183" s="154">
        <f>J183+K183</f>
        <v>192</v>
      </c>
      <c r="M183" s="148">
        <f t="shared" si="48"/>
        <v>24</v>
      </c>
      <c r="N183" s="88">
        <f t="shared" si="49"/>
        <v>4.8</v>
      </c>
      <c r="O183" s="87">
        <f t="shared" si="50"/>
        <v>28.8</v>
      </c>
      <c r="P183" s="10">
        <f t="shared" si="51"/>
        <v>15.600000000000001</v>
      </c>
      <c r="Q183" s="10">
        <f t="shared" si="52"/>
        <v>3.12</v>
      </c>
      <c r="R183" s="19">
        <f t="shared" si="53"/>
        <v>18.720000000000002</v>
      </c>
      <c r="S183" s="262"/>
      <c r="T183" s="262"/>
    </row>
    <row r="184" spans="1:20" ht="34.5" customHeight="1">
      <c r="A184" s="1" t="s">
        <v>67</v>
      </c>
      <c r="B184" s="2"/>
      <c r="C184" s="3" t="s">
        <v>48</v>
      </c>
      <c r="D184" s="157" t="s">
        <v>175</v>
      </c>
      <c r="E184" s="158" t="s">
        <v>176</v>
      </c>
      <c r="F184" s="150">
        <v>1497</v>
      </c>
      <c r="G184" s="151">
        <v>38436</v>
      </c>
      <c r="H184" s="151">
        <v>38454</v>
      </c>
      <c r="I184" s="151" t="s">
        <v>173</v>
      </c>
      <c r="J184" s="153">
        <v>55</v>
      </c>
      <c r="K184" s="153">
        <v>11</v>
      </c>
      <c r="L184" s="154">
        <f>K184+J184</f>
        <v>66</v>
      </c>
      <c r="M184" s="148">
        <f t="shared" si="48"/>
        <v>8.25</v>
      </c>
      <c r="N184" s="88">
        <f t="shared" si="49"/>
        <v>1.65</v>
      </c>
      <c r="O184" s="87">
        <f t="shared" si="50"/>
        <v>9.9</v>
      </c>
      <c r="P184" s="10">
        <f t="shared" si="51"/>
        <v>5.3625</v>
      </c>
      <c r="Q184" s="10">
        <f t="shared" si="52"/>
        <v>1.0725</v>
      </c>
      <c r="R184" s="19">
        <f t="shared" si="53"/>
        <v>6.435</v>
      </c>
      <c r="S184" s="262"/>
      <c r="T184" s="262"/>
    </row>
    <row r="185" spans="1:20" ht="34.5" customHeight="1">
      <c r="A185" s="1" t="s">
        <v>67</v>
      </c>
      <c r="B185" s="2"/>
      <c r="C185" s="3" t="s">
        <v>48</v>
      </c>
      <c r="D185" s="157" t="s">
        <v>175</v>
      </c>
      <c r="E185" s="158" t="s">
        <v>176</v>
      </c>
      <c r="F185" s="150">
        <v>3718</v>
      </c>
      <c r="G185" s="151">
        <v>38567</v>
      </c>
      <c r="H185" s="151">
        <v>38630</v>
      </c>
      <c r="I185" s="151" t="s">
        <v>173</v>
      </c>
      <c r="J185" s="153">
        <v>213</v>
      </c>
      <c r="K185" s="153">
        <v>42.6</v>
      </c>
      <c r="L185" s="154">
        <f>J185+K185</f>
        <v>255.6</v>
      </c>
      <c r="M185" s="148">
        <f t="shared" si="48"/>
        <v>31.95</v>
      </c>
      <c r="N185" s="88">
        <f t="shared" si="49"/>
        <v>6.39</v>
      </c>
      <c r="O185" s="87">
        <f t="shared" si="50"/>
        <v>38.339999999999996</v>
      </c>
      <c r="P185" s="10">
        <f t="shared" si="51"/>
        <v>20.767500000000002</v>
      </c>
      <c r="Q185" s="10">
        <f t="shared" si="52"/>
        <v>4.1535</v>
      </c>
      <c r="R185" s="19">
        <f t="shared" si="53"/>
        <v>24.921000000000003</v>
      </c>
      <c r="S185" s="262"/>
      <c r="T185" s="262"/>
    </row>
    <row r="186" spans="1:20" ht="34.5" customHeight="1">
      <c r="A186" s="1" t="s">
        <v>67</v>
      </c>
      <c r="B186" s="2"/>
      <c r="C186" s="3" t="s">
        <v>48</v>
      </c>
      <c r="D186" s="157" t="s">
        <v>175</v>
      </c>
      <c r="E186" s="158" t="s">
        <v>176</v>
      </c>
      <c r="F186" s="150">
        <v>5229</v>
      </c>
      <c r="G186" s="151">
        <v>38680</v>
      </c>
      <c r="H186" s="151">
        <v>38699</v>
      </c>
      <c r="I186" s="151" t="s">
        <v>173</v>
      </c>
      <c r="J186" s="153">
        <v>213</v>
      </c>
      <c r="K186" s="153">
        <v>42.6</v>
      </c>
      <c r="L186" s="154">
        <f>J186+K186</f>
        <v>255.6</v>
      </c>
      <c r="M186" s="148">
        <f t="shared" si="48"/>
        <v>31.95</v>
      </c>
      <c r="N186" s="88">
        <f t="shared" si="49"/>
        <v>6.39</v>
      </c>
      <c r="O186" s="87">
        <f t="shared" si="50"/>
        <v>38.339999999999996</v>
      </c>
      <c r="P186" s="10">
        <f t="shared" si="51"/>
        <v>20.767500000000002</v>
      </c>
      <c r="Q186" s="10">
        <f t="shared" si="52"/>
        <v>4.1535</v>
      </c>
      <c r="R186" s="19">
        <f t="shared" si="53"/>
        <v>24.921000000000003</v>
      </c>
      <c r="S186" s="262"/>
      <c r="T186" s="262"/>
    </row>
    <row r="187" spans="1:20" ht="52.5" customHeight="1">
      <c r="A187" s="1" t="s">
        <v>67</v>
      </c>
      <c r="B187" s="2"/>
      <c r="C187" s="3" t="s">
        <v>48</v>
      </c>
      <c r="D187" s="157" t="s">
        <v>177</v>
      </c>
      <c r="E187" s="158" t="s">
        <v>178</v>
      </c>
      <c r="F187" s="150">
        <v>136</v>
      </c>
      <c r="G187" s="151">
        <v>38400</v>
      </c>
      <c r="H187" s="151">
        <v>38519</v>
      </c>
      <c r="I187" s="151" t="s">
        <v>179</v>
      </c>
      <c r="J187" s="153">
        <v>102</v>
      </c>
      <c r="K187" s="153">
        <v>20.4</v>
      </c>
      <c r="L187" s="154">
        <f>J187+K187</f>
        <v>122.4</v>
      </c>
      <c r="M187" s="148">
        <f t="shared" si="48"/>
        <v>15.299999999999999</v>
      </c>
      <c r="N187" s="88">
        <f t="shared" si="49"/>
        <v>3.0599999999999996</v>
      </c>
      <c r="O187" s="87">
        <f t="shared" si="50"/>
        <v>18.36</v>
      </c>
      <c r="P187" s="10">
        <f t="shared" si="51"/>
        <v>9.945</v>
      </c>
      <c r="Q187" s="10">
        <f t="shared" si="52"/>
        <v>1.9889999999999999</v>
      </c>
      <c r="R187" s="19">
        <f t="shared" si="53"/>
        <v>11.934000000000001</v>
      </c>
      <c r="S187" s="262"/>
      <c r="T187" s="262"/>
    </row>
    <row r="188" spans="1:20" ht="52.5" customHeight="1">
      <c r="A188" s="1" t="s">
        <v>67</v>
      </c>
      <c r="B188" s="2"/>
      <c r="C188" s="3" t="s">
        <v>48</v>
      </c>
      <c r="D188" s="157" t="s">
        <v>177</v>
      </c>
      <c r="E188" s="158" t="s">
        <v>178</v>
      </c>
      <c r="F188" s="150">
        <v>178</v>
      </c>
      <c r="G188" s="151">
        <v>38414</v>
      </c>
      <c r="H188" s="151">
        <v>38519</v>
      </c>
      <c r="I188" s="151" t="s">
        <v>180</v>
      </c>
      <c r="J188" s="153">
        <v>170</v>
      </c>
      <c r="K188" s="153">
        <v>34</v>
      </c>
      <c r="L188" s="154">
        <f>J188+K188</f>
        <v>204</v>
      </c>
      <c r="M188" s="148">
        <f t="shared" si="48"/>
        <v>25.5</v>
      </c>
      <c r="N188" s="88">
        <f t="shared" si="49"/>
        <v>5.1</v>
      </c>
      <c r="O188" s="87">
        <f t="shared" si="50"/>
        <v>30.6</v>
      </c>
      <c r="P188" s="10">
        <f t="shared" si="51"/>
        <v>16.575</v>
      </c>
      <c r="Q188" s="10">
        <f t="shared" si="52"/>
        <v>3.315</v>
      </c>
      <c r="R188" s="19">
        <f t="shared" si="53"/>
        <v>19.89</v>
      </c>
      <c r="S188" s="262"/>
      <c r="T188" s="262"/>
    </row>
    <row r="189" spans="1:20" ht="52.5">
      <c r="A189" s="1" t="s">
        <v>67</v>
      </c>
      <c r="B189" s="2"/>
      <c r="C189" s="3" t="s">
        <v>48</v>
      </c>
      <c r="D189" s="157" t="s">
        <v>177</v>
      </c>
      <c r="E189" s="158" t="s">
        <v>178</v>
      </c>
      <c r="F189" s="150">
        <v>631</v>
      </c>
      <c r="G189" s="151">
        <v>38545</v>
      </c>
      <c r="H189" s="151">
        <v>38545</v>
      </c>
      <c r="I189" s="212" t="s">
        <v>181</v>
      </c>
      <c r="J189" s="213">
        <v>170</v>
      </c>
      <c r="K189" s="213">
        <v>34</v>
      </c>
      <c r="L189" s="214">
        <f>J189+K189</f>
        <v>204</v>
      </c>
      <c r="M189" s="148">
        <f t="shared" si="48"/>
        <v>25.5</v>
      </c>
      <c r="N189" s="88">
        <f t="shared" si="49"/>
        <v>5.1</v>
      </c>
      <c r="O189" s="87">
        <f t="shared" si="50"/>
        <v>30.6</v>
      </c>
      <c r="P189" s="10">
        <f t="shared" si="51"/>
        <v>16.575</v>
      </c>
      <c r="Q189" s="10">
        <f t="shared" si="52"/>
        <v>3.315</v>
      </c>
      <c r="R189" s="19">
        <f t="shared" si="53"/>
        <v>19.89</v>
      </c>
      <c r="S189" s="262"/>
      <c r="T189" s="262"/>
    </row>
    <row r="190" spans="1:20" ht="31.5" customHeight="1">
      <c r="A190" s="1" t="s">
        <v>67</v>
      </c>
      <c r="B190" s="2"/>
      <c r="C190" s="3" t="s">
        <v>92</v>
      </c>
      <c r="D190" s="83" t="s">
        <v>91</v>
      </c>
      <c r="E190" s="149" t="s">
        <v>89</v>
      </c>
      <c r="F190" s="155">
        <v>84</v>
      </c>
      <c r="G190" s="156">
        <v>38518</v>
      </c>
      <c r="H190" s="156">
        <v>38518</v>
      </c>
      <c r="I190" s="215" t="s">
        <v>90</v>
      </c>
      <c r="J190" s="216">
        <v>8325.28</v>
      </c>
      <c r="K190" s="216">
        <v>1665.06</v>
      </c>
      <c r="L190" s="217">
        <f>SUM(J190:K190)</f>
        <v>9990.34</v>
      </c>
      <c r="M190" s="148">
        <f>J190*10%</f>
        <v>832.5280000000001</v>
      </c>
      <c r="N190" s="88">
        <f>+K190*0.1</f>
        <v>166.506</v>
      </c>
      <c r="O190" s="87">
        <f t="shared" si="50"/>
        <v>999.0340000000001</v>
      </c>
      <c r="P190" s="10">
        <f t="shared" si="51"/>
        <v>541.1432000000001</v>
      </c>
      <c r="Q190" s="10">
        <f t="shared" si="52"/>
        <v>108.22890000000001</v>
      </c>
      <c r="R190" s="19">
        <f t="shared" si="53"/>
        <v>649.3721</v>
      </c>
      <c r="S190" s="262" t="s">
        <v>187</v>
      </c>
      <c r="T190" s="262"/>
    </row>
    <row r="191" spans="1:20" ht="31.5" customHeight="1">
      <c r="A191" s="1" t="s">
        <v>67</v>
      </c>
      <c r="B191" s="2"/>
      <c r="C191" s="3" t="s">
        <v>92</v>
      </c>
      <c r="D191" s="83" t="s">
        <v>91</v>
      </c>
      <c r="E191" s="149" t="s">
        <v>89</v>
      </c>
      <c r="F191" s="155">
        <v>93</v>
      </c>
      <c r="G191" s="156">
        <v>38538</v>
      </c>
      <c r="H191" s="156">
        <v>38538</v>
      </c>
      <c r="I191" s="215" t="s">
        <v>90</v>
      </c>
      <c r="J191" s="216">
        <v>8325.28</v>
      </c>
      <c r="K191" s="216">
        <v>1665.06</v>
      </c>
      <c r="L191" s="217">
        <f>SUM(J191:K191)</f>
        <v>9990.34</v>
      </c>
      <c r="M191" s="148">
        <f>J191*10%</f>
        <v>832.5280000000001</v>
      </c>
      <c r="N191" s="88">
        <f>+K191*0.1</f>
        <v>166.506</v>
      </c>
      <c r="O191" s="87">
        <f t="shared" si="50"/>
        <v>999.0340000000001</v>
      </c>
      <c r="P191" s="10">
        <f t="shared" si="51"/>
        <v>541.1432000000001</v>
      </c>
      <c r="Q191" s="10">
        <f t="shared" si="52"/>
        <v>108.22890000000001</v>
      </c>
      <c r="R191" s="19">
        <f t="shared" si="53"/>
        <v>649.3721</v>
      </c>
      <c r="S191" s="262" t="s">
        <v>187</v>
      </c>
      <c r="T191" s="262"/>
    </row>
    <row r="192" spans="1:20" ht="31.5" customHeight="1">
      <c r="A192" s="1" t="s">
        <v>217</v>
      </c>
      <c r="B192" s="2"/>
      <c r="C192" s="3" t="s">
        <v>48</v>
      </c>
      <c r="D192" s="90" t="s">
        <v>224</v>
      </c>
      <c r="E192" s="206" t="s">
        <v>225</v>
      </c>
      <c r="F192" s="207" t="s">
        <v>58</v>
      </c>
      <c r="G192" s="208" t="s">
        <v>59</v>
      </c>
      <c r="H192" s="208">
        <v>39071</v>
      </c>
      <c r="I192" s="215" t="s">
        <v>53</v>
      </c>
      <c r="J192" s="216">
        <v>998.8</v>
      </c>
      <c r="K192" s="216">
        <v>0</v>
      </c>
      <c r="L192" s="217">
        <v>998.8</v>
      </c>
      <c r="M192" s="216">
        <v>998.8</v>
      </c>
      <c r="N192" s="216">
        <v>0</v>
      </c>
      <c r="O192" s="217">
        <v>998.8</v>
      </c>
      <c r="P192" s="10">
        <f aca="true" t="shared" si="54" ref="P192:P210">+M192*0.65</f>
        <v>649.22</v>
      </c>
      <c r="Q192" s="10">
        <f aca="true" t="shared" si="55" ref="Q192:Q210">+N192*0.65</f>
        <v>0</v>
      </c>
      <c r="R192" s="19">
        <f aca="true" t="shared" si="56" ref="R192:R210">+Q192+P192</f>
        <v>649.22</v>
      </c>
      <c r="S192" s="292"/>
      <c r="T192" s="252"/>
    </row>
    <row r="193" spans="1:20" ht="31.5" customHeight="1">
      <c r="A193" s="1" t="s">
        <v>217</v>
      </c>
      <c r="B193" s="2"/>
      <c r="C193" s="3" t="s">
        <v>48</v>
      </c>
      <c r="D193" s="90" t="s">
        <v>226</v>
      </c>
      <c r="E193" s="206" t="s">
        <v>227</v>
      </c>
      <c r="F193" s="207">
        <v>378</v>
      </c>
      <c r="G193" s="208">
        <v>38674</v>
      </c>
      <c r="H193" s="208">
        <v>38705</v>
      </c>
      <c r="I193" s="215" t="s">
        <v>53</v>
      </c>
      <c r="J193" s="216">
        <v>250</v>
      </c>
      <c r="K193" s="216">
        <v>50</v>
      </c>
      <c r="L193" s="217">
        <v>300</v>
      </c>
      <c r="M193" s="216">
        <v>250</v>
      </c>
      <c r="N193" s="216">
        <v>50</v>
      </c>
      <c r="O193" s="217">
        <v>300</v>
      </c>
      <c r="P193" s="10">
        <f t="shared" si="54"/>
        <v>162.5</v>
      </c>
      <c r="Q193" s="10">
        <f t="shared" si="55"/>
        <v>32.5</v>
      </c>
      <c r="R193" s="19">
        <f t="shared" si="56"/>
        <v>195</v>
      </c>
      <c r="S193" s="292"/>
      <c r="T193" s="252"/>
    </row>
    <row r="194" spans="1:20" ht="31.5" customHeight="1">
      <c r="A194" s="1" t="s">
        <v>217</v>
      </c>
      <c r="B194" s="2"/>
      <c r="C194" s="3" t="s">
        <v>48</v>
      </c>
      <c r="D194" s="90" t="s">
        <v>226</v>
      </c>
      <c r="E194" s="206" t="s">
        <v>227</v>
      </c>
      <c r="F194" s="207">
        <v>461</v>
      </c>
      <c r="G194" s="208">
        <v>39051</v>
      </c>
      <c r="H194" s="208">
        <v>39071</v>
      </c>
      <c r="I194" s="215" t="s">
        <v>53</v>
      </c>
      <c r="J194" s="216">
        <v>250</v>
      </c>
      <c r="K194" s="216">
        <v>50</v>
      </c>
      <c r="L194" s="217">
        <v>300</v>
      </c>
      <c r="M194" s="216">
        <v>250</v>
      </c>
      <c r="N194" s="216">
        <v>50</v>
      </c>
      <c r="O194" s="217">
        <v>300</v>
      </c>
      <c r="P194" s="10">
        <f t="shared" si="54"/>
        <v>162.5</v>
      </c>
      <c r="Q194" s="10">
        <f t="shared" si="55"/>
        <v>32.5</v>
      </c>
      <c r="R194" s="19">
        <f t="shared" si="56"/>
        <v>195</v>
      </c>
      <c r="S194" s="292"/>
      <c r="T194" s="252"/>
    </row>
    <row r="195" spans="1:20" ht="31.5" customHeight="1">
      <c r="A195" s="1" t="s">
        <v>217</v>
      </c>
      <c r="B195" s="2"/>
      <c r="C195" s="3" t="s">
        <v>48</v>
      </c>
      <c r="D195" s="90" t="s">
        <v>228</v>
      </c>
      <c r="E195" s="206" t="s">
        <v>229</v>
      </c>
      <c r="F195" s="207">
        <v>32689</v>
      </c>
      <c r="G195" s="208">
        <v>38805</v>
      </c>
      <c r="H195" s="208">
        <v>38868</v>
      </c>
      <c r="I195" s="215" t="s">
        <v>53</v>
      </c>
      <c r="J195" s="216">
        <v>1305</v>
      </c>
      <c r="K195" s="216">
        <v>261</v>
      </c>
      <c r="L195" s="217">
        <v>1566</v>
      </c>
      <c r="M195" s="216">
        <v>1305</v>
      </c>
      <c r="N195" s="216">
        <v>261</v>
      </c>
      <c r="O195" s="217">
        <v>1566</v>
      </c>
      <c r="P195" s="10">
        <f t="shared" si="54"/>
        <v>848.25</v>
      </c>
      <c r="Q195" s="10">
        <f t="shared" si="55"/>
        <v>169.65</v>
      </c>
      <c r="R195" s="19">
        <f t="shared" si="56"/>
        <v>1017.9</v>
      </c>
      <c r="S195" s="292"/>
      <c r="T195" s="252"/>
    </row>
    <row r="196" spans="1:20" ht="31.5" customHeight="1">
      <c r="A196" s="1" t="s">
        <v>217</v>
      </c>
      <c r="B196" s="2"/>
      <c r="C196" s="3" t="s">
        <v>48</v>
      </c>
      <c r="D196" s="90" t="s">
        <v>228</v>
      </c>
      <c r="E196" s="206" t="s">
        <v>230</v>
      </c>
      <c r="F196" s="207">
        <v>2006026821</v>
      </c>
      <c r="G196" s="208">
        <v>38807</v>
      </c>
      <c r="H196" s="208">
        <v>38868</v>
      </c>
      <c r="I196" s="215" t="s">
        <v>53</v>
      </c>
      <c r="J196" s="216">
        <v>280</v>
      </c>
      <c r="K196" s="216">
        <v>56</v>
      </c>
      <c r="L196" s="217">
        <v>336</v>
      </c>
      <c r="M196" s="216">
        <v>280</v>
      </c>
      <c r="N196" s="216">
        <v>56</v>
      </c>
      <c r="O196" s="217">
        <v>336</v>
      </c>
      <c r="P196" s="10">
        <f t="shared" si="54"/>
        <v>182</v>
      </c>
      <c r="Q196" s="10">
        <f t="shared" si="55"/>
        <v>36.4</v>
      </c>
      <c r="R196" s="19">
        <f t="shared" si="56"/>
        <v>218.4</v>
      </c>
      <c r="S196" s="292"/>
      <c r="T196" s="252"/>
    </row>
    <row r="197" spans="1:20" ht="31.5" customHeight="1">
      <c r="A197" s="1" t="s">
        <v>217</v>
      </c>
      <c r="B197" s="2"/>
      <c r="C197" s="3" t="s">
        <v>48</v>
      </c>
      <c r="D197" s="90" t="s">
        <v>228</v>
      </c>
      <c r="E197" s="206" t="s">
        <v>230</v>
      </c>
      <c r="F197" s="207">
        <v>2006026820</v>
      </c>
      <c r="G197" s="208">
        <v>38807</v>
      </c>
      <c r="H197" s="208">
        <v>38868</v>
      </c>
      <c r="I197" s="215" t="s">
        <v>53</v>
      </c>
      <c r="J197" s="216">
        <v>1470</v>
      </c>
      <c r="K197" s="216">
        <v>294</v>
      </c>
      <c r="L197" s="217">
        <v>1764</v>
      </c>
      <c r="M197" s="216">
        <v>1470</v>
      </c>
      <c r="N197" s="216">
        <v>294</v>
      </c>
      <c r="O197" s="217">
        <v>1764</v>
      </c>
      <c r="P197" s="10">
        <f t="shared" si="54"/>
        <v>955.5</v>
      </c>
      <c r="Q197" s="10">
        <f t="shared" si="55"/>
        <v>191.1</v>
      </c>
      <c r="R197" s="19">
        <f t="shared" si="56"/>
        <v>1146.6</v>
      </c>
      <c r="S197" s="292"/>
      <c r="T197" s="252"/>
    </row>
    <row r="198" spans="1:20" ht="31.5" customHeight="1">
      <c r="A198" s="1" t="s">
        <v>217</v>
      </c>
      <c r="B198" s="2"/>
      <c r="C198" s="3" t="s">
        <v>48</v>
      </c>
      <c r="D198" s="90" t="s">
        <v>231</v>
      </c>
      <c r="E198" s="206" t="s">
        <v>71</v>
      </c>
      <c r="F198" s="207" t="s">
        <v>72</v>
      </c>
      <c r="G198" s="208">
        <v>38763</v>
      </c>
      <c r="H198" s="208">
        <v>38781</v>
      </c>
      <c r="I198" s="215" t="s">
        <v>73</v>
      </c>
      <c r="J198" s="216">
        <v>2400.68</v>
      </c>
      <c r="K198" s="216">
        <v>480.14</v>
      </c>
      <c r="L198" s="217">
        <v>2880.82</v>
      </c>
      <c r="M198" s="201">
        <f>216.06/1.2</f>
        <v>180.05</v>
      </c>
      <c r="N198" s="88">
        <f>+M198*0.2</f>
        <v>36.010000000000005</v>
      </c>
      <c r="O198" s="87">
        <f>+N198+M198</f>
        <v>216.06</v>
      </c>
      <c r="P198" s="10">
        <f t="shared" si="54"/>
        <v>117.03250000000001</v>
      </c>
      <c r="Q198" s="10">
        <f t="shared" si="55"/>
        <v>23.406500000000005</v>
      </c>
      <c r="R198" s="19">
        <f t="shared" si="56"/>
        <v>140.43900000000002</v>
      </c>
      <c r="S198" s="292"/>
      <c r="T198" s="252"/>
    </row>
    <row r="199" spans="1:20" ht="31.5" customHeight="1">
      <c r="A199" s="1" t="s">
        <v>217</v>
      </c>
      <c r="B199" s="2"/>
      <c r="C199" s="3" t="s">
        <v>48</v>
      </c>
      <c r="D199" s="90" t="s">
        <v>232</v>
      </c>
      <c r="E199" s="206" t="s">
        <v>71</v>
      </c>
      <c r="F199" s="207" t="s">
        <v>72</v>
      </c>
      <c r="G199" s="208">
        <v>38792</v>
      </c>
      <c r="H199" s="208">
        <v>38811</v>
      </c>
      <c r="I199" s="215" t="s">
        <v>73</v>
      </c>
      <c r="J199" s="216">
        <v>2400.68</v>
      </c>
      <c r="K199" s="216">
        <v>480.14</v>
      </c>
      <c r="L199" s="217">
        <v>2880.82</v>
      </c>
      <c r="M199" s="201">
        <f>+O199/1.2</f>
        <v>180.05</v>
      </c>
      <c r="N199" s="88">
        <f>+M199*0.2</f>
        <v>36.010000000000005</v>
      </c>
      <c r="O199" s="87">
        <v>216.06</v>
      </c>
      <c r="P199" s="10">
        <f t="shared" si="54"/>
        <v>117.03250000000001</v>
      </c>
      <c r="Q199" s="10">
        <f t="shared" si="55"/>
        <v>23.406500000000005</v>
      </c>
      <c r="R199" s="19">
        <f t="shared" si="56"/>
        <v>140.43900000000002</v>
      </c>
      <c r="S199" s="292"/>
      <c r="T199" s="252"/>
    </row>
    <row r="200" spans="1:20" ht="31.5" customHeight="1">
      <c r="A200" s="1" t="s">
        <v>217</v>
      </c>
      <c r="B200" s="2"/>
      <c r="C200" s="3" t="s">
        <v>48</v>
      </c>
      <c r="D200" s="90" t="s">
        <v>233</v>
      </c>
      <c r="E200" s="206" t="s">
        <v>71</v>
      </c>
      <c r="F200" s="207" t="s">
        <v>72</v>
      </c>
      <c r="G200" s="208">
        <v>38826</v>
      </c>
      <c r="H200" s="208">
        <v>38842</v>
      </c>
      <c r="I200" s="215" t="s">
        <v>73</v>
      </c>
      <c r="J200" s="216">
        <v>2400.68</v>
      </c>
      <c r="K200" s="216">
        <v>480.14</v>
      </c>
      <c r="L200" s="217">
        <v>2880.82</v>
      </c>
      <c r="M200" s="201">
        <f aca="true" t="shared" si="57" ref="M200:M210">+O200/1.2</f>
        <v>180.05</v>
      </c>
      <c r="N200" s="88">
        <f aca="true" t="shared" si="58" ref="N200:N212">+M200*0.2</f>
        <v>36.010000000000005</v>
      </c>
      <c r="O200" s="87">
        <v>216.06</v>
      </c>
      <c r="P200" s="10">
        <f t="shared" si="54"/>
        <v>117.03250000000001</v>
      </c>
      <c r="Q200" s="10">
        <f t="shared" si="55"/>
        <v>23.406500000000005</v>
      </c>
      <c r="R200" s="19">
        <f t="shared" si="56"/>
        <v>140.43900000000002</v>
      </c>
      <c r="S200" s="292"/>
      <c r="T200" s="252"/>
    </row>
    <row r="201" spans="1:20" ht="31.5" customHeight="1">
      <c r="A201" s="1" t="s">
        <v>217</v>
      </c>
      <c r="B201" s="2"/>
      <c r="C201" s="3" t="s">
        <v>48</v>
      </c>
      <c r="D201" s="90" t="s">
        <v>234</v>
      </c>
      <c r="E201" s="206" t="s">
        <v>71</v>
      </c>
      <c r="F201" s="207" t="s">
        <v>72</v>
      </c>
      <c r="G201" s="208">
        <v>38854</v>
      </c>
      <c r="H201" s="208">
        <v>38873</v>
      </c>
      <c r="I201" s="215" t="s">
        <v>73</v>
      </c>
      <c r="J201" s="216">
        <v>2400.68</v>
      </c>
      <c r="K201" s="216">
        <v>480.14</v>
      </c>
      <c r="L201" s="217">
        <v>2880.82</v>
      </c>
      <c r="M201" s="201">
        <f t="shared" si="57"/>
        <v>180.05</v>
      </c>
      <c r="N201" s="88">
        <f t="shared" si="58"/>
        <v>36.010000000000005</v>
      </c>
      <c r="O201" s="87">
        <v>216.06</v>
      </c>
      <c r="P201" s="10">
        <f t="shared" si="54"/>
        <v>117.03250000000001</v>
      </c>
      <c r="Q201" s="10">
        <f t="shared" si="55"/>
        <v>23.406500000000005</v>
      </c>
      <c r="R201" s="19">
        <f t="shared" si="56"/>
        <v>140.43900000000002</v>
      </c>
      <c r="S201" s="292"/>
      <c r="T201" s="252"/>
    </row>
    <row r="202" spans="1:20" ht="31.5" customHeight="1">
      <c r="A202" s="1" t="s">
        <v>217</v>
      </c>
      <c r="B202" s="2"/>
      <c r="C202" s="3" t="s">
        <v>48</v>
      </c>
      <c r="D202" s="90" t="s">
        <v>235</v>
      </c>
      <c r="E202" s="206" t="s">
        <v>71</v>
      </c>
      <c r="F202" s="207" t="s">
        <v>72</v>
      </c>
      <c r="G202" s="208">
        <v>38883</v>
      </c>
      <c r="H202" s="208">
        <v>38903</v>
      </c>
      <c r="I202" s="215" t="s">
        <v>73</v>
      </c>
      <c r="J202" s="216">
        <v>2436.68</v>
      </c>
      <c r="K202" s="216">
        <v>487.34</v>
      </c>
      <c r="L202" s="217">
        <v>2924.02</v>
      </c>
      <c r="M202" s="201">
        <f t="shared" si="57"/>
        <v>182.75000000000003</v>
      </c>
      <c r="N202" s="88">
        <f t="shared" si="58"/>
        <v>36.550000000000004</v>
      </c>
      <c r="O202" s="87">
        <v>219.3</v>
      </c>
      <c r="P202" s="10">
        <f t="shared" si="54"/>
        <v>118.78750000000002</v>
      </c>
      <c r="Q202" s="10">
        <f t="shared" si="55"/>
        <v>23.757500000000004</v>
      </c>
      <c r="R202" s="19">
        <f t="shared" si="56"/>
        <v>142.54500000000002</v>
      </c>
      <c r="S202" s="292"/>
      <c r="T202" s="252"/>
    </row>
    <row r="203" spans="1:20" ht="31.5" customHeight="1">
      <c r="A203" s="1" t="s">
        <v>217</v>
      </c>
      <c r="B203" s="2"/>
      <c r="C203" s="3" t="s">
        <v>48</v>
      </c>
      <c r="D203" s="90" t="s">
        <v>236</v>
      </c>
      <c r="E203" s="206" t="s">
        <v>71</v>
      </c>
      <c r="F203" s="207" t="s">
        <v>72</v>
      </c>
      <c r="G203" s="208">
        <v>38915</v>
      </c>
      <c r="H203" s="208">
        <v>38934</v>
      </c>
      <c r="I203" s="215" t="s">
        <v>73</v>
      </c>
      <c r="J203" s="216">
        <v>2436.68</v>
      </c>
      <c r="K203" s="216">
        <v>487.34</v>
      </c>
      <c r="L203" s="217">
        <v>2924.02</v>
      </c>
      <c r="M203" s="201">
        <f t="shared" si="57"/>
        <v>182.75000000000003</v>
      </c>
      <c r="N203" s="88">
        <f t="shared" si="58"/>
        <v>36.550000000000004</v>
      </c>
      <c r="O203" s="87">
        <v>219.3</v>
      </c>
      <c r="P203" s="10">
        <f t="shared" si="54"/>
        <v>118.78750000000002</v>
      </c>
      <c r="Q203" s="10">
        <f t="shared" si="55"/>
        <v>23.757500000000004</v>
      </c>
      <c r="R203" s="19">
        <f t="shared" si="56"/>
        <v>142.54500000000002</v>
      </c>
      <c r="S203" s="292"/>
      <c r="T203" s="252"/>
    </row>
    <row r="204" spans="1:20" ht="31.5" customHeight="1">
      <c r="A204" s="1" t="s">
        <v>217</v>
      </c>
      <c r="B204" s="2"/>
      <c r="C204" s="3" t="s">
        <v>48</v>
      </c>
      <c r="D204" s="90" t="s">
        <v>237</v>
      </c>
      <c r="E204" s="206" t="s">
        <v>71</v>
      </c>
      <c r="F204" s="207" t="s">
        <v>72</v>
      </c>
      <c r="G204" s="208">
        <v>38939</v>
      </c>
      <c r="H204" s="208">
        <v>38965</v>
      </c>
      <c r="I204" s="215" t="s">
        <v>73</v>
      </c>
      <c r="J204" s="216">
        <v>2436.68</v>
      </c>
      <c r="K204" s="216">
        <v>487.34</v>
      </c>
      <c r="L204" s="217">
        <v>2924.02</v>
      </c>
      <c r="M204" s="201">
        <f t="shared" si="57"/>
        <v>182.75000000000003</v>
      </c>
      <c r="N204" s="88">
        <f t="shared" si="58"/>
        <v>36.550000000000004</v>
      </c>
      <c r="O204" s="87">
        <v>219.3</v>
      </c>
      <c r="P204" s="10">
        <f t="shared" si="54"/>
        <v>118.78750000000002</v>
      </c>
      <c r="Q204" s="10">
        <f t="shared" si="55"/>
        <v>23.757500000000004</v>
      </c>
      <c r="R204" s="19">
        <f t="shared" si="56"/>
        <v>142.54500000000002</v>
      </c>
      <c r="S204" s="292"/>
      <c r="T204" s="252"/>
    </row>
    <row r="205" spans="1:20" ht="31.5" customHeight="1">
      <c r="A205" s="1" t="s">
        <v>217</v>
      </c>
      <c r="B205" s="2"/>
      <c r="C205" s="3" t="s">
        <v>48</v>
      </c>
      <c r="D205" s="90" t="s">
        <v>238</v>
      </c>
      <c r="E205" s="206" t="s">
        <v>71</v>
      </c>
      <c r="F205" s="207" t="s">
        <v>72</v>
      </c>
      <c r="G205" s="208">
        <v>38975</v>
      </c>
      <c r="H205" s="208">
        <v>38995</v>
      </c>
      <c r="I205" s="215" t="s">
        <v>73</v>
      </c>
      <c r="J205" s="216">
        <v>2436.68</v>
      </c>
      <c r="K205" s="216">
        <v>487.34</v>
      </c>
      <c r="L205" s="217">
        <v>2924.02</v>
      </c>
      <c r="M205" s="201">
        <f t="shared" si="57"/>
        <v>182.75000000000003</v>
      </c>
      <c r="N205" s="88">
        <f t="shared" si="58"/>
        <v>36.550000000000004</v>
      </c>
      <c r="O205" s="87">
        <v>219.3</v>
      </c>
      <c r="P205" s="10">
        <f t="shared" si="54"/>
        <v>118.78750000000002</v>
      </c>
      <c r="Q205" s="10">
        <f t="shared" si="55"/>
        <v>23.757500000000004</v>
      </c>
      <c r="R205" s="19">
        <f t="shared" si="56"/>
        <v>142.54500000000002</v>
      </c>
      <c r="S205" s="292"/>
      <c r="T205" s="252"/>
    </row>
    <row r="206" spans="1:20" ht="31.5" customHeight="1">
      <c r="A206" s="1" t="s">
        <v>217</v>
      </c>
      <c r="B206" s="2"/>
      <c r="C206" s="3" t="s">
        <v>48</v>
      </c>
      <c r="D206" s="90" t="s">
        <v>239</v>
      </c>
      <c r="E206" s="206" t="s">
        <v>71</v>
      </c>
      <c r="F206" s="207" t="s">
        <v>72</v>
      </c>
      <c r="G206" s="208">
        <v>39006</v>
      </c>
      <c r="H206" s="208">
        <v>39026</v>
      </c>
      <c r="I206" s="215" t="s">
        <v>73</v>
      </c>
      <c r="J206" s="216">
        <v>2436.68</v>
      </c>
      <c r="K206" s="216">
        <v>487.34</v>
      </c>
      <c r="L206" s="217">
        <v>2924.02</v>
      </c>
      <c r="M206" s="201">
        <f t="shared" si="57"/>
        <v>182.75000000000003</v>
      </c>
      <c r="N206" s="88">
        <f t="shared" si="58"/>
        <v>36.550000000000004</v>
      </c>
      <c r="O206" s="87">
        <v>219.3</v>
      </c>
      <c r="P206" s="10">
        <f t="shared" si="54"/>
        <v>118.78750000000002</v>
      </c>
      <c r="Q206" s="10">
        <f t="shared" si="55"/>
        <v>23.757500000000004</v>
      </c>
      <c r="R206" s="19">
        <f t="shared" si="56"/>
        <v>142.54500000000002</v>
      </c>
      <c r="S206" s="292"/>
      <c r="T206" s="252"/>
    </row>
    <row r="207" spans="1:20" ht="31.5" customHeight="1">
      <c r="A207" s="1" t="s">
        <v>217</v>
      </c>
      <c r="B207" s="2"/>
      <c r="C207" s="3" t="s">
        <v>48</v>
      </c>
      <c r="D207" s="90" t="s">
        <v>240</v>
      </c>
      <c r="E207" s="206" t="s">
        <v>71</v>
      </c>
      <c r="F207" s="207" t="s">
        <v>72</v>
      </c>
      <c r="G207" s="208">
        <v>39037</v>
      </c>
      <c r="H207" s="208">
        <v>39056</v>
      </c>
      <c r="I207" s="215" t="s">
        <v>73</v>
      </c>
      <c r="J207" s="216">
        <v>2436.68</v>
      </c>
      <c r="K207" s="216">
        <v>487.34</v>
      </c>
      <c r="L207" s="217">
        <v>2924.02</v>
      </c>
      <c r="M207" s="201">
        <f t="shared" si="57"/>
        <v>182.75000000000003</v>
      </c>
      <c r="N207" s="88">
        <f t="shared" si="58"/>
        <v>36.550000000000004</v>
      </c>
      <c r="O207" s="87">
        <v>219.3</v>
      </c>
      <c r="P207" s="10">
        <f t="shared" si="54"/>
        <v>118.78750000000002</v>
      </c>
      <c r="Q207" s="10">
        <f t="shared" si="55"/>
        <v>23.757500000000004</v>
      </c>
      <c r="R207" s="19">
        <f t="shared" si="56"/>
        <v>142.54500000000002</v>
      </c>
      <c r="S207" s="292"/>
      <c r="T207" s="252"/>
    </row>
    <row r="208" spans="1:20" ht="31.5" customHeight="1">
      <c r="A208" s="1" t="s">
        <v>217</v>
      </c>
      <c r="B208" s="2"/>
      <c r="C208" s="3" t="s">
        <v>48</v>
      </c>
      <c r="D208" s="90" t="s">
        <v>241</v>
      </c>
      <c r="E208" s="206" t="s">
        <v>71</v>
      </c>
      <c r="F208" s="207" t="s">
        <v>72</v>
      </c>
      <c r="G208" s="208">
        <v>39066</v>
      </c>
      <c r="H208" s="208">
        <v>39087</v>
      </c>
      <c r="I208" s="215" t="s">
        <v>73</v>
      </c>
      <c r="J208" s="216">
        <v>2436.68</v>
      </c>
      <c r="K208" s="216">
        <v>487.34</v>
      </c>
      <c r="L208" s="217">
        <v>2924.02</v>
      </c>
      <c r="M208" s="201">
        <f t="shared" si="57"/>
        <v>182.75000000000003</v>
      </c>
      <c r="N208" s="88">
        <f t="shared" si="58"/>
        <v>36.550000000000004</v>
      </c>
      <c r="O208" s="87">
        <v>219.3</v>
      </c>
      <c r="P208" s="10">
        <f t="shared" si="54"/>
        <v>118.78750000000002</v>
      </c>
      <c r="Q208" s="10">
        <f t="shared" si="55"/>
        <v>23.757500000000004</v>
      </c>
      <c r="R208" s="19">
        <f t="shared" si="56"/>
        <v>142.54500000000002</v>
      </c>
      <c r="S208" s="292"/>
      <c r="T208" s="252"/>
    </row>
    <row r="209" spans="1:20" ht="31.5" customHeight="1">
      <c r="A209" s="1" t="s">
        <v>217</v>
      </c>
      <c r="B209" s="2"/>
      <c r="C209" s="3" t="s">
        <v>48</v>
      </c>
      <c r="D209" s="90" t="s">
        <v>242</v>
      </c>
      <c r="E209" s="206" t="s">
        <v>71</v>
      </c>
      <c r="F209" s="207" t="s">
        <v>72</v>
      </c>
      <c r="G209" s="208">
        <v>39098</v>
      </c>
      <c r="H209" s="208">
        <v>39118</v>
      </c>
      <c r="I209" s="215" t="s">
        <v>73</v>
      </c>
      <c r="J209" s="216">
        <v>2436.68</v>
      </c>
      <c r="K209" s="216">
        <v>487.34</v>
      </c>
      <c r="L209" s="217">
        <v>2924.02</v>
      </c>
      <c r="M209" s="201">
        <f t="shared" si="57"/>
        <v>182.75000000000003</v>
      </c>
      <c r="N209" s="88">
        <f t="shared" si="58"/>
        <v>36.550000000000004</v>
      </c>
      <c r="O209" s="87">
        <v>219.3</v>
      </c>
      <c r="P209" s="10">
        <f t="shared" si="54"/>
        <v>118.78750000000002</v>
      </c>
      <c r="Q209" s="10">
        <f t="shared" si="55"/>
        <v>23.757500000000004</v>
      </c>
      <c r="R209" s="19">
        <f t="shared" si="56"/>
        <v>142.54500000000002</v>
      </c>
      <c r="S209" s="292"/>
      <c r="T209" s="252"/>
    </row>
    <row r="210" spans="1:20" ht="31.5" customHeight="1">
      <c r="A210" s="1" t="s">
        <v>217</v>
      </c>
      <c r="B210" s="2"/>
      <c r="C210" s="3" t="s">
        <v>243</v>
      </c>
      <c r="D210" s="90" t="s">
        <v>244</v>
      </c>
      <c r="E210" s="206" t="s">
        <v>89</v>
      </c>
      <c r="F210" s="207">
        <v>106</v>
      </c>
      <c r="G210" s="208">
        <v>38911</v>
      </c>
      <c r="H210" s="208">
        <v>38916</v>
      </c>
      <c r="I210" s="215" t="s">
        <v>245</v>
      </c>
      <c r="J210" s="216">
        <v>4166.67</v>
      </c>
      <c r="K210" s="216">
        <v>833.3340000000001</v>
      </c>
      <c r="L210" s="217">
        <v>5000.004</v>
      </c>
      <c r="M210" s="201">
        <f t="shared" si="57"/>
        <v>1041.6666666666667</v>
      </c>
      <c r="N210" s="88">
        <f t="shared" si="58"/>
        <v>208.33333333333337</v>
      </c>
      <c r="O210" s="87">
        <v>1250</v>
      </c>
      <c r="P210" s="10">
        <f t="shared" si="54"/>
        <v>677.0833333333334</v>
      </c>
      <c r="Q210" s="10">
        <f t="shared" si="55"/>
        <v>135.41666666666669</v>
      </c>
      <c r="R210" s="19">
        <f t="shared" si="56"/>
        <v>812.5</v>
      </c>
      <c r="S210" s="282"/>
      <c r="T210" s="283"/>
    </row>
    <row r="211" spans="1:20" ht="31.5" customHeight="1">
      <c r="A211" s="1" t="s">
        <v>217</v>
      </c>
      <c r="B211" s="2"/>
      <c r="C211" s="3" t="s">
        <v>243</v>
      </c>
      <c r="D211" s="90" t="s">
        <v>244</v>
      </c>
      <c r="E211" s="206" t="s">
        <v>89</v>
      </c>
      <c r="F211" s="207">
        <v>118</v>
      </c>
      <c r="G211" s="208">
        <v>38980</v>
      </c>
      <c r="H211" s="208">
        <v>38985</v>
      </c>
      <c r="I211" s="215" t="s">
        <v>246</v>
      </c>
      <c r="J211" s="216">
        <v>4166.67</v>
      </c>
      <c r="K211" s="216">
        <v>833.3340000000001</v>
      </c>
      <c r="L211" s="217">
        <v>5000.004</v>
      </c>
      <c r="M211" s="201">
        <f>+O211/1.2</f>
        <v>1041.6666666666667</v>
      </c>
      <c r="N211" s="88">
        <f t="shared" si="58"/>
        <v>208.33333333333337</v>
      </c>
      <c r="O211" s="87">
        <v>1250</v>
      </c>
      <c r="P211" s="10">
        <f aca="true" t="shared" si="59" ref="P211:Q213">+M211*0.65</f>
        <v>677.0833333333334</v>
      </c>
      <c r="Q211" s="10">
        <f t="shared" si="59"/>
        <v>135.41666666666669</v>
      </c>
      <c r="R211" s="19">
        <f>+Q211+P211</f>
        <v>812.5</v>
      </c>
      <c r="S211" s="282"/>
      <c r="T211" s="283"/>
    </row>
    <row r="212" spans="1:20" ht="31.5" customHeight="1">
      <c r="A212" s="1" t="s">
        <v>217</v>
      </c>
      <c r="B212" s="2"/>
      <c r="C212" s="3" t="s">
        <v>243</v>
      </c>
      <c r="D212" s="90" t="s">
        <v>247</v>
      </c>
      <c r="E212" s="206" t="s">
        <v>89</v>
      </c>
      <c r="F212" s="207">
        <v>147</v>
      </c>
      <c r="G212" s="208">
        <v>39079</v>
      </c>
      <c r="H212" s="208">
        <v>39079</v>
      </c>
      <c r="I212" s="215" t="s">
        <v>248</v>
      </c>
      <c r="J212" s="216">
        <v>5542.04</v>
      </c>
      <c r="K212" s="216">
        <v>1108.4080000000001</v>
      </c>
      <c r="L212" s="217">
        <v>6650.448</v>
      </c>
      <c r="M212" s="201">
        <f>+O212/1.2</f>
        <v>1385.5083333333332</v>
      </c>
      <c r="N212" s="88">
        <f t="shared" si="58"/>
        <v>277.10166666666663</v>
      </c>
      <c r="O212" s="87">
        <v>1662.61</v>
      </c>
      <c r="P212" s="10">
        <f t="shared" si="59"/>
        <v>900.5804166666666</v>
      </c>
      <c r="Q212" s="10">
        <f t="shared" si="59"/>
        <v>180.1160833333333</v>
      </c>
      <c r="R212" s="19">
        <f>+Q212+P212</f>
        <v>1080.6964999999998</v>
      </c>
      <c r="S212" s="282"/>
      <c r="T212" s="283"/>
    </row>
    <row r="213" spans="1:20" s="29" customFormat="1" ht="17.25" customHeight="1">
      <c r="A213" s="220" t="s">
        <v>217</v>
      </c>
      <c r="B213" s="221"/>
      <c r="C213" s="288" t="s">
        <v>252</v>
      </c>
      <c r="D213" s="253"/>
      <c r="E213" s="253"/>
      <c r="F213" s="253"/>
      <c r="G213" s="253"/>
      <c r="H213" s="253"/>
      <c r="I213" s="253"/>
      <c r="J213" s="253"/>
      <c r="K213" s="289"/>
      <c r="L213" s="222"/>
      <c r="M213" s="223">
        <v>-4715.83</v>
      </c>
      <c r="N213" s="224">
        <v>-242.87</v>
      </c>
      <c r="O213" s="225">
        <f>+N213+M213</f>
        <v>-4958.7</v>
      </c>
      <c r="P213" s="226">
        <f t="shared" si="59"/>
        <v>-3065.2895</v>
      </c>
      <c r="Q213" s="226">
        <f t="shared" si="59"/>
        <v>-157.8655</v>
      </c>
      <c r="R213" s="227">
        <f>+Q213+P213</f>
        <v>-3223.1549999999997</v>
      </c>
      <c r="S213" s="254" t="s">
        <v>253</v>
      </c>
      <c r="T213" s="255"/>
    </row>
    <row r="214" spans="1:20" ht="31.5">
      <c r="A214" s="1" t="s">
        <v>254</v>
      </c>
      <c r="B214" s="2" t="s">
        <v>277</v>
      </c>
      <c r="C214" s="3" t="s">
        <v>48</v>
      </c>
      <c r="D214" s="202" t="s">
        <v>256</v>
      </c>
      <c r="E214" s="203" t="s">
        <v>257</v>
      </c>
      <c r="F214" s="228">
        <v>600096</v>
      </c>
      <c r="G214" s="204">
        <v>39190</v>
      </c>
      <c r="H214" s="204">
        <v>39184</v>
      </c>
      <c r="I214" s="204" t="s">
        <v>53</v>
      </c>
      <c r="J214" s="205">
        <v>140</v>
      </c>
      <c r="K214" s="205">
        <v>28</v>
      </c>
      <c r="L214" s="19">
        <v>168</v>
      </c>
      <c r="M214" s="205">
        <v>140</v>
      </c>
      <c r="N214" s="205">
        <v>28</v>
      </c>
      <c r="O214" s="19">
        <v>168</v>
      </c>
      <c r="P214" s="10">
        <f aca="true" t="shared" si="60" ref="P214:P220">+M214*0.65</f>
        <v>91</v>
      </c>
      <c r="Q214" s="10">
        <f aca="true" t="shared" si="61" ref="Q214:Q220">+N214*0.65</f>
        <v>18.2</v>
      </c>
      <c r="R214" s="19">
        <f aca="true" t="shared" si="62" ref="R214:R220">+Q214+P214</f>
        <v>109.2</v>
      </c>
      <c r="S214" s="218"/>
      <c r="T214" s="219"/>
    </row>
    <row r="215" spans="1:20" ht="31.5">
      <c r="A215" s="1" t="s">
        <v>254</v>
      </c>
      <c r="B215" s="2" t="s">
        <v>277</v>
      </c>
      <c r="C215" s="3" t="s">
        <v>48</v>
      </c>
      <c r="D215" s="202" t="s">
        <v>256</v>
      </c>
      <c r="E215" s="203" t="s">
        <v>258</v>
      </c>
      <c r="F215" s="228">
        <v>38</v>
      </c>
      <c r="G215" s="204">
        <v>39274</v>
      </c>
      <c r="H215" s="204">
        <v>39656</v>
      </c>
      <c r="I215" s="204" t="s">
        <v>53</v>
      </c>
      <c r="J215" s="205">
        <v>356.67</v>
      </c>
      <c r="K215" s="205">
        <v>71.334</v>
      </c>
      <c r="L215" s="19">
        <v>428.004</v>
      </c>
      <c r="M215" s="205">
        <v>356.67</v>
      </c>
      <c r="N215" s="205">
        <v>71.334</v>
      </c>
      <c r="O215" s="19">
        <v>428.004</v>
      </c>
      <c r="P215" s="10">
        <f t="shared" si="60"/>
        <v>231.83550000000002</v>
      </c>
      <c r="Q215" s="10">
        <f t="shared" si="61"/>
        <v>46.3671</v>
      </c>
      <c r="R215" s="19">
        <f t="shared" si="62"/>
        <v>278.2026</v>
      </c>
      <c r="S215" s="218"/>
      <c r="T215" s="219"/>
    </row>
    <row r="216" spans="1:20" ht="31.5">
      <c r="A216" s="1" t="s">
        <v>254</v>
      </c>
      <c r="B216" s="2" t="s">
        <v>277</v>
      </c>
      <c r="C216" s="3" t="s">
        <v>48</v>
      </c>
      <c r="D216" s="202" t="s">
        <v>256</v>
      </c>
      <c r="E216" s="203" t="s">
        <v>174</v>
      </c>
      <c r="F216" s="228">
        <v>721</v>
      </c>
      <c r="G216" s="204">
        <v>39280</v>
      </c>
      <c r="H216" s="204">
        <v>39283</v>
      </c>
      <c r="I216" s="204" t="s">
        <v>53</v>
      </c>
      <c r="J216" s="205">
        <v>2051</v>
      </c>
      <c r="K216" s="205">
        <v>410.2</v>
      </c>
      <c r="L216" s="19">
        <v>2461.2</v>
      </c>
      <c r="M216" s="205">
        <v>2051</v>
      </c>
      <c r="N216" s="205">
        <v>410.2</v>
      </c>
      <c r="O216" s="19">
        <v>2461.2</v>
      </c>
      <c r="P216" s="10">
        <f t="shared" si="60"/>
        <v>1333.15</v>
      </c>
      <c r="Q216" s="10">
        <f t="shared" si="61"/>
        <v>266.63</v>
      </c>
      <c r="R216" s="19">
        <f t="shared" si="62"/>
        <v>1599.7800000000002</v>
      </c>
      <c r="S216" s="218"/>
      <c r="T216" s="219"/>
    </row>
    <row r="217" spans="1:20" ht="31.5">
      <c r="A217" s="1" t="s">
        <v>254</v>
      </c>
      <c r="B217" s="2" t="s">
        <v>277</v>
      </c>
      <c r="C217" s="3" t="s">
        <v>48</v>
      </c>
      <c r="D217" s="202" t="s">
        <v>259</v>
      </c>
      <c r="E217" s="203" t="s">
        <v>260</v>
      </c>
      <c r="F217" s="228">
        <v>3141</v>
      </c>
      <c r="G217" s="204">
        <v>39281</v>
      </c>
      <c r="H217" s="204" t="s">
        <v>261</v>
      </c>
      <c r="I217" s="204" t="s">
        <v>53</v>
      </c>
      <c r="J217" s="205">
        <v>3595</v>
      </c>
      <c r="K217" s="205">
        <v>719</v>
      </c>
      <c r="L217" s="19">
        <v>4314</v>
      </c>
      <c r="M217" s="205">
        <v>3595</v>
      </c>
      <c r="N217" s="205">
        <v>719</v>
      </c>
      <c r="O217" s="19">
        <v>4314</v>
      </c>
      <c r="P217" s="10">
        <f t="shared" si="60"/>
        <v>2336.75</v>
      </c>
      <c r="Q217" s="10">
        <f t="shared" si="61"/>
        <v>467.35</v>
      </c>
      <c r="R217" s="19">
        <f t="shared" si="62"/>
        <v>2804.1</v>
      </c>
      <c r="S217" s="218"/>
      <c r="T217" s="219"/>
    </row>
    <row r="218" spans="1:20" ht="31.5">
      <c r="A218" s="1" t="s">
        <v>254</v>
      </c>
      <c r="B218" s="2" t="s">
        <v>277</v>
      </c>
      <c r="C218" s="3" t="s">
        <v>48</v>
      </c>
      <c r="D218" s="202" t="s">
        <v>256</v>
      </c>
      <c r="E218" s="203" t="s">
        <v>263</v>
      </c>
      <c r="F218" s="228" t="s">
        <v>264</v>
      </c>
      <c r="G218" s="204">
        <v>39289</v>
      </c>
      <c r="H218" s="204">
        <v>39290</v>
      </c>
      <c r="I218" s="204" t="s">
        <v>53</v>
      </c>
      <c r="J218" s="205">
        <v>3000</v>
      </c>
      <c r="K218" s="205">
        <v>600</v>
      </c>
      <c r="L218" s="19">
        <v>3600</v>
      </c>
      <c r="M218" s="205">
        <v>3000</v>
      </c>
      <c r="N218" s="205">
        <v>600</v>
      </c>
      <c r="O218" s="19">
        <v>3600</v>
      </c>
      <c r="P218" s="10">
        <f t="shared" si="60"/>
        <v>1950</v>
      </c>
      <c r="Q218" s="10">
        <f t="shared" si="61"/>
        <v>390</v>
      </c>
      <c r="R218" s="19">
        <f t="shared" si="62"/>
        <v>2340</v>
      </c>
      <c r="S218" s="218"/>
      <c r="T218" s="219"/>
    </row>
    <row r="219" spans="1:20" ht="31.5">
      <c r="A219" s="1" t="s">
        <v>254</v>
      </c>
      <c r="B219" s="2" t="s">
        <v>277</v>
      </c>
      <c r="C219" s="3" t="s">
        <v>48</v>
      </c>
      <c r="D219" s="202" t="s">
        <v>256</v>
      </c>
      <c r="E219" s="203" t="s">
        <v>265</v>
      </c>
      <c r="F219" s="228">
        <v>795</v>
      </c>
      <c r="G219" s="204">
        <v>39294</v>
      </c>
      <c r="H219" s="204">
        <v>39373</v>
      </c>
      <c r="I219" s="204" t="s">
        <v>53</v>
      </c>
      <c r="J219" s="205">
        <v>500</v>
      </c>
      <c r="K219" s="205">
        <v>100</v>
      </c>
      <c r="L219" s="19">
        <v>600</v>
      </c>
      <c r="M219" s="205">
        <v>500</v>
      </c>
      <c r="N219" s="205">
        <v>100</v>
      </c>
      <c r="O219" s="19">
        <v>600</v>
      </c>
      <c r="P219" s="10">
        <f t="shared" si="60"/>
        <v>325</v>
      </c>
      <c r="Q219" s="10">
        <f t="shared" si="61"/>
        <v>65</v>
      </c>
      <c r="R219" s="19">
        <f t="shared" si="62"/>
        <v>390</v>
      </c>
      <c r="S219" s="218"/>
      <c r="T219" s="219"/>
    </row>
    <row r="220" spans="1:20" ht="31.5">
      <c r="A220" s="1" t="s">
        <v>254</v>
      </c>
      <c r="B220" s="2" t="s">
        <v>277</v>
      </c>
      <c r="C220" s="3" t="s">
        <v>48</v>
      </c>
      <c r="D220" s="202" t="s">
        <v>256</v>
      </c>
      <c r="E220" s="203" t="s">
        <v>266</v>
      </c>
      <c r="F220" s="228">
        <v>90128</v>
      </c>
      <c r="G220" s="204">
        <v>39323</v>
      </c>
      <c r="H220" s="204">
        <v>39373</v>
      </c>
      <c r="I220" s="204" t="s">
        <v>53</v>
      </c>
      <c r="J220" s="205">
        <v>850</v>
      </c>
      <c r="K220" s="205">
        <v>170</v>
      </c>
      <c r="L220" s="19">
        <v>1020</v>
      </c>
      <c r="M220" s="205">
        <v>850</v>
      </c>
      <c r="N220" s="205">
        <v>170</v>
      </c>
      <c r="O220" s="19">
        <v>1020</v>
      </c>
      <c r="P220" s="10">
        <f t="shared" si="60"/>
        <v>552.5</v>
      </c>
      <c r="Q220" s="10">
        <f t="shared" si="61"/>
        <v>110.5</v>
      </c>
      <c r="R220" s="19">
        <f t="shared" si="62"/>
        <v>663</v>
      </c>
      <c r="S220" s="218"/>
      <c r="T220" s="219"/>
    </row>
    <row r="221" spans="1:20" ht="33" customHeight="1">
      <c r="A221" s="1" t="s">
        <v>291</v>
      </c>
      <c r="B221" s="2" t="s">
        <v>277</v>
      </c>
      <c r="C221" s="3" t="s">
        <v>48</v>
      </c>
      <c r="D221" s="202" t="s">
        <v>256</v>
      </c>
      <c r="E221" s="203" t="s">
        <v>303</v>
      </c>
      <c r="F221" s="228" t="s">
        <v>305</v>
      </c>
      <c r="G221" s="204">
        <v>39287</v>
      </c>
      <c r="H221" s="204">
        <v>39575</v>
      </c>
      <c r="I221" s="204" t="s">
        <v>53</v>
      </c>
      <c r="J221" s="205">
        <v>300</v>
      </c>
      <c r="K221" s="205">
        <v>60</v>
      </c>
      <c r="L221" s="19">
        <v>360</v>
      </c>
      <c r="M221" s="205">
        <v>300</v>
      </c>
      <c r="N221" s="205">
        <v>60</v>
      </c>
      <c r="O221" s="19">
        <v>360</v>
      </c>
      <c r="P221" s="10">
        <f>+M221*0.65</f>
        <v>195</v>
      </c>
      <c r="Q221" s="10">
        <f>+N221*0.65</f>
        <v>39</v>
      </c>
      <c r="R221" s="19">
        <f>+Q221+P221</f>
        <v>234</v>
      </c>
      <c r="S221" s="288" t="s">
        <v>304</v>
      </c>
      <c r="T221" s="289"/>
    </row>
    <row r="222" spans="1:20" ht="10.5">
      <c r="A222" s="1"/>
      <c r="B222" s="2"/>
      <c r="C222" s="245"/>
      <c r="D222" s="202"/>
      <c r="E222" s="203"/>
      <c r="F222" s="228"/>
      <c r="G222" s="204"/>
      <c r="H222" s="204"/>
      <c r="I222" s="204"/>
      <c r="J222" s="205"/>
      <c r="K222" s="205"/>
      <c r="L222" s="19"/>
      <c r="M222" s="205"/>
      <c r="N222" s="205"/>
      <c r="O222" s="19"/>
      <c r="P222" s="10"/>
      <c r="Q222" s="10"/>
      <c r="R222" s="19"/>
      <c r="S222" s="218"/>
      <c r="T222" s="219"/>
    </row>
    <row r="223" spans="1:20" ht="10.5">
      <c r="A223" s="1"/>
      <c r="B223" s="2"/>
      <c r="C223" s="245"/>
      <c r="D223" s="202"/>
      <c r="E223" s="203"/>
      <c r="F223" s="228"/>
      <c r="G223" s="204"/>
      <c r="H223" s="204"/>
      <c r="I223" s="204"/>
      <c r="J223" s="205"/>
      <c r="K223" s="205"/>
      <c r="L223" s="19"/>
      <c r="M223" s="205"/>
      <c r="N223" s="205"/>
      <c r="O223" s="19"/>
      <c r="P223" s="10"/>
      <c r="Q223" s="10"/>
      <c r="R223" s="19"/>
      <c r="S223" s="218"/>
      <c r="T223" s="219"/>
    </row>
    <row r="224" spans="1:20" ht="15" customHeight="1">
      <c r="A224" s="1"/>
      <c r="B224" s="2"/>
      <c r="C224" s="95"/>
      <c r="D224" s="95"/>
      <c r="E224" s="95"/>
      <c r="F224" s="2"/>
      <c r="G224" s="143"/>
      <c r="H224" s="144"/>
      <c r="I224" s="145"/>
      <c r="J224" s="88"/>
      <c r="K224" s="146"/>
      <c r="L224" s="87"/>
      <c r="M224" s="88"/>
      <c r="N224" s="88"/>
      <c r="O224" s="87"/>
      <c r="P224" s="88"/>
      <c r="Q224" s="88"/>
      <c r="R224" s="87"/>
      <c r="S224" s="18"/>
      <c r="T224" s="18"/>
    </row>
    <row r="225" ht="10.5">
      <c r="J225" s="147"/>
    </row>
  </sheetData>
  <mergeCells count="177">
    <mergeCell ref="S48:T48"/>
    <mergeCell ref="S104:T104"/>
    <mergeCell ref="S105:T105"/>
    <mergeCell ref="S221:T221"/>
    <mergeCell ref="S78:T78"/>
    <mergeCell ref="S200:T200"/>
    <mergeCell ref="S201:T201"/>
    <mergeCell ref="S194:T194"/>
    <mergeCell ref="S195:T195"/>
    <mergeCell ref="S196:T196"/>
    <mergeCell ref="S47:T47"/>
    <mergeCell ref="S210:T210"/>
    <mergeCell ref="S211:T211"/>
    <mergeCell ref="S212:T212"/>
    <mergeCell ref="S202:T202"/>
    <mergeCell ref="S203:T203"/>
    <mergeCell ref="S204:T204"/>
    <mergeCell ref="S205:T205"/>
    <mergeCell ref="S198:T198"/>
    <mergeCell ref="S199:T199"/>
    <mergeCell ref="C213:K213"/>
    <mergeCell ref="S213:T213"/>
    <mergeCell ref="S206:T206"/>
    <mergeCell ref="S207:T207"/>
    <mergeCell ref="S208:T208"/>
    <mergeCell ref="S209:T209"/>
    <mergeCell ref="S197:T197"/>
    <mergeCell ref="S75:T75"/>
    <mergeCell ref="S192:T192"/>
    <mergeCell ref="S193:T193"/>
    <mergeCell ref="S191:T191"/>
    <mergeCell ref="S187:T187"/>
    <mergeCell ref="S188:T188"/>
    <mergeCell ref="S189:T189"/>
    <mergeCell ref="S190:T190"/>
    <mergeCell ref="S183:T183"/>
    <mergeCell ref="S184:T184"/>
    <mergeCell ref="S185:T185"/>
    <mergeCell ref="S186:T186"/>
    <mergeCell ref="S179:T179"/>
    <mergeCell ref="S180:T180"/>
    <mergeCell ref="S181:T181"/>
    <mergeCell ref="S182:T182"/>
    <mergeCell ref="S175:T175"/>
    <mergeCell ref="S176:T176"/>
    <mergeCell ref="S177:T177"/>
    <mergeCell ref="S178:T178"/>
    <mergeCell ref="S171:T171"/>
    <mergeCell ref="S172:T172"/>
    <mergeCell ref="S173:T173"/>
    <mergeCell ref="S174:T174"/>
    <mergeCell ref="S167:T167"/>
    <mergeCell ref="S168:T168"/>
    <mergeCell ref="S169:T169"/>
    <mergeCell ref="S170:T170"/>
    <mergeCell ref="S163:T163"/>
    <mergeCell ref="S164:T164"/>
    <mergeCell ref="S165:T165"/>
    <mergeCell ref="S166:T166"/>
    <mergeCell ref="S159:T159"/>
    <mergeCell ref="S160:T160"/>
    <mergeCell ref="S161:T161"/>
    <mergeCell ref="S162:T162"/>
    <mergeCell ref="S155:T155"/>
    <mergeCell ref="S156:T156"/>
    <mergeCell ref="S157:T157"/>
    <mergeCell ref="S158:T158"/>
    <mergeCell ref="S151:T151"/>
    <mergeCell ref="S152:T152"/>
    <mergeCell ref="S153:T153"/>
    <mergeCell ref="S154:T154"/>
    <mergeCell ref="S147:T147"/>
    <mergeCell ref="S148:T148"/>
    <mergeCell ref="S149:T149"/>
    <mergeCell ref="S150:T150"/>
    <mergeCell ref="S143:T143"/>
    <mergeCell ref="S144:T144"/>
    <mergeCell ref="S145:T145"/>
    <mergeCell ref="S146:T146"/>
    <mergeCell ref="S139:T139"/>
    <mergeCell ref="S140:T140"/>
    <mergeCell ref="S141:T141"/>
    <mergeCell ref="S142:T142"/>
    <mergeCell ref="S135:T135"/>
    <mergeCell ref="S136:T136"/>
    <mergeCell ref="S137:T137"/>
    <mergeCell ref="S138:T138"/>
    <mergeCell ref="S131:T131"/>
    <mergeCell ref="S132:T132"/>
    <mergeCell ref="S133:T133"/>
    <mergeCell ref="S134:T134"/>
    <mergeCell ref="S127:T127"/>
    <mergeCell ref="S128:T128"/>
    <mergeCell ref="S129:T129"/>
    <mergeCell ref="S130:T130"/>
    <mergeCell ref="S121:T121"/>
    <mergeCell ref="S122:T122"/>
    <mergeCell ref="S123:T123"/>
    <mergeCell ref="S71:T71"/>
    <mergeCell ref="S72:T72"/>
    <mergeCell ref="S90:T90"/>
    <mergeCell ref="S89:T89"/>
    <mergeCell ref="S79:T79"/>
    <mergeCell ref="S107:T107"/>
    <mergeCell ref="S106:T106"/>
    <mergeCell ref="J109:L109"/>
    <mergeCell ref="M109:O109"/>
    <mergeCell ref="P109:R109"/>
    <mergeCell ref="J81:L81"/>
    <mergeCell ref="M81:O81"/>
    <mergeCell ref="P81:R81"/>
    <mergeCell ref="J94:L94"/>
    <mergeCell ref="M94:O94"/>
    <mergeCell ref="P94:R94"/>
    <mergeCell ref="S102:T102"/>
    <mergeCell ref="J33:L33"/>
    <mergeCell ref="P33:R33"/>
    <mergeCell ref="P51:R51"/>
    <mergeCell ref="J63:L63"/>
    <mergeCell ref="M63:O63"/>
    <mergeCell ref="P63:R63"/>
    <mergeCell ref="S44:T44"/>
    <mergeCell ref="S45:T45"/>
    <mergeCell ref="S74:T74"/>
    <mergeCell ref="S117:T117"/>
    <mergeCell ref="S118:T118"/>
    <mergeCell ref="S119:T119"/>
    <mergeCell ref="S120:T120"/>
    <mergeCell ref="S124:T124"/>
    <mergeCell ref="S125:T125"/>
    <mergeCell ref="S126:T126"/>
    <mergeCell ref="A34:B40"/>
    <mergeCell ref="C34:K34"/>
    <mergeCell ref="C40:K40"/>
    <mergeCell ref="S61:T61"/>
    <mergeCell ref="S59:T59"/>
    <mergeCell ref="A110:B116"/>
    <mergeCell ref="C110:K110"/>
    <mergeCell ref="A1:T1"/>
    <mergeCell ref="S31:T31"/>
    <mergeCell ref="A10:B16"/>
    <mergeCell ref="S17:T17"/>
    <mergeCell ref="D9:I9"/>
    <mergeCell ref="J9:L9"/>
    <mergeCell ref="M9:O9"/>
    <mergeCell ref="P9:R9"/>
    <mergeCell ref="S29:T29"/>
    <mergeCell ref="D33:I33"/>
    <mergeCell ref="M33:O33"/>
    <mergeCell ref="S41:T41"/>
    <mergeCell ref="A52:B58"/>
    <mergeCell ref="S42:T42"/>
    <mergeCell ref="S43:T43"/>
    <mergeCell ref="S49:T49"/>
    <mergeCell ref="J51:L51"/>
    <mergeCell ref="M51:O51"/>
    <mergeCell ref="S46:T46"/>
    <mergeCell ref="C116:K116"/>
    <mergeCell ref="C58:K58"/>
    <mergeCell ref="A95:B101"/>
    <mergeCell ref="C95:K95"/>
    <mergeCell ref="C101:K101"/>
    <mergeCell ref="A82:B88"/>
    <mergeCell ref="C82:K82"/>
    <mergeCell ref="A64:B70"/>
    <mergeCell ref="D94:I94"/>
    <mergeCell ref="D109:I109"/>
    <mergeCell ref="S103:T103"/>
    <mergeCell ref="S91:T91"/>
    <mergeCell ref="D51:I51"/>
    <mergeCell ref="D63:I63"/>
    <mergeCell ref="S73:T73"/>
    <mergeCell ref="D81:I81"/>
    <mergeCell ref="C64:K64"/>
    <mergeCell ref="C70:K70"/>
    <mergeCell ref="C52:K52"/>
    <mergeCell ref="S92:T92"/>
  </mergeCells>
  <printOptions horizontalCentered="1"/>
  <pageMargins left="0.19" right="0.17" top="0.33" bottom="0.27" header="0.22" footer="0.17"/>
  <pageSetup horizontalDpi="300" verticalDpi="300" orientation="landscape" paperSize="9" scale="65" r:id="rId3"/>
  <headerFooter alignWithMargins="0"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9"/>
  <sheetViews>
    <sheetView workbookViewId="0" topLeftCell="B28">
      <selection activeCell="J16" sqref="J16"/>
    </sheetView>
  </sheetViews>
  <sheetFormatPr defaultColWidth="9.140625" defaultRowHeight="12.75"/>
  <cols>
    <col min="1" max="1" width="9.140625" style="180" customWidth="1"/>
    <col min="2" max="2" width="9.7109375" style="180" customWidth="1"/>
    <col min="3" max="3" width="9.421875" style="180" customWidth="1"/>
    <col min="4" max="4" width="11.140625" style="180" customWidth="1"/>
    <col min="5" max="5" width="10.8515625" style="180" customWidth="1"/>
    <col min="6" max="6" width="10.57421875" style="180" customWidth="1"/>
    <col min="7" max="7" width="10.8515625" style="180" customWidth="1"/>
    <col min="8" max="8" width="9.00390625" style="180" customWidth="1"/>
    <col min="9" max="9" width="11.28125" style="180" customWidth="1"/>
    <col min="10" max="10" width="10.140625" style="180" customWidth="1"/>
    <col min="11" max="11" width="10.00390625" style="180" customWidth="1"/>
    <col min="12" max="12" width="9.8515625" style="180" customWidth="1"/>
    <col min="13" max="13" width="9.140625" style="180" customWidth="1"/>
    <col min="14" max="14" width="10.140625" style="180" bestFit="1" customWidth="1"/>
    <col min="15" max="16384" width="9.140625" style="180" customWidth="1"/>
  </cols>
  <sheetData>
    <row r="2" spans="1:11" ht="12.75">
      <c r="A2" s="295" t="s">
        <v>211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5" ht="12.75">
      <c r="D5" s="181"/>
    </row>
    <row r="6" spans="1:10" ht="12.75">
      <c r="A6" s="182" t="s">
        <v>0</v>
      </c>
      <c r="B6" s="183"/>
      <c r="C6" s="184" t="s">
        <v>46</v>
      </c>
      <c r="E6" s="177"/>
      <c r="I6" s="180" t="s">
        <v>188</v>
      </c>
      <c r="J6" s="178">
        <v>38387</v>
      </c>
    </row>
    <row r="7" spans="1:10" ht="12.75">
      <c r="A7" s="160" t="s">
        <v>32</v>
      </c>
      <c r="B7" s="161"/>
      <c r="C7" s="161"/>
      <c r="D7" s="162">
        <f>+Complessivo!G2</f>
        <v>438880</v>
      </c>
      <c r="E7" s="130">
        <f>+Complessivo!H2</f>
        <v>0.947095512820513</v>
      </c>
      <c r="G7" s="131"/>
      <c r="I7" s="180" t="s">
        <v>189</v>
      </c>
      <c r="J7" s="178">
        <v>39482</v>
      </c>
    </row>
    <row r="8" spans="1:9" ht="12.75">
      <c r="A8" s="160" t="s">
        <v>33</v>
      </c>
      <c r="B8" s="161"/>
      <c r="C8" s="161"/>
      <c r="D8" s="162">
        <f>+Complessivo!G3</f>
        <v>285272</v>
      </c>
      <c r="E8" s="130">
        <f>+Complessivo!H3</f>
        <v>0.9470955128205127</v>
      </c>
      <c r="I8" s="132" t="s">
        <v>284</v>
      </c>
    </row>
    <row r="9" spans="1:5" ht="12.75">
      <c r="A9" s="160" t="s">
        <v>34</v>
      </c>
      <c r="B9" s="161"/>
      <c r="C9" s="161"/>
      <c r="D9" s="162">
        <f>+Complessivo!G4</f>
        <v>47694.4</v>
      </c>
      <c r="E9" s="130">
        <f>+Complessivo!H4</f>
        <v>0.8867645324538452</v>
      </c>
    </row>
    <row r="10" spans="1:10" ht="12.75">
      <c r="A10" s="186" t="s">
        <v>35</v>
      </c>
      <c r="B10" s="181"/>
      <c r="C10" s="181"/>
      <c r="D10" s="187">
        <f>+Complessivo!G5</f>
        <v>332966.4</v>
      </c>
      <c r="E10" s="188">
        <f>+Complessivo!H5</f>
        <v>0.9384536501280609</v>
      </c>
      <c r="I10" s="132" t="s">
        <v>190</v>
      </c>
      <c r="J10" s="189">
        <v>0.65</v>
      </c>
    </row>
    <row r="12" spans="4:6" ht="12.75">
      <c r="D12" s="190" t="s">
        <v>191</v>
      </c>
      <c r="E12" s="190" t="s">
        <v>192</v>
      </c>
      <c r="F12" s="190" t="s">
        <v>193</v>
      </c>
    </row>
    <row r="13" spans="1:6" ht="12.75">
      <c r="A13" s="191" t="s">
        <v>6</v>
      </c>
      <c r="B13" s="183"/>
      <c r="C13" s="183"/>
      <c r="D13" s="192">
        <f>+Complessivo!M10</f>
        <v>72000</v>
      </c>
      <c r="E13" s="193">
        <f>+Complessivo!M16</f>
        <v>2674.889999999996</v>
      </c>
      <c r="F13" s="162">
        <f>+D13-E13</f>
        <v>69325.11</v>
      </c>
    </row>
    <row r="14" spans="1:6" ht="12.75">
      <c r="A14" s="160" t="s">
        <v>7</v>
      </c>
      <c r="B14" s="161"/>
      <c r="C14" s="161"/>
      <c r="D14" s="162">
        <f>+Complessivo!M34</f>
        <v>59500</v>
      </c>
      <c r="E14" s="185">
        <f>+Complessivo!M40</f>
        <v>17750</v>
      </c>
      <c r="F14" s="162">
        <f aca="true" t="shared" si="0" ref="F14:F19">+D14-E14</f>
        <v>41750</v>
      </c>
    </row>
    <row r="15" spans="1:6" ht="12.75">
      <c r="A15" s="160" t="s">
        <v>1</v>
      </c>
      <c r="B15" s="161"/>
      <c r="C15" s="161"/>
      <c r="D15" s="162">
        <f>+Complessivo!M52</f>
        <v>16260.000000000002</v>
      </c>
      <c r="E15" s="185">
        <f>+Complessivo!M58</f>
        <v>-3.999999999998181</v>
      </c>
      <c r="F15" s="162">
        <f t="shared" si="0"/>
        <v>16264</v>
      </c>
    </row>
    <row r="16" spans="1:6" ht="12.75">
      <c r="A16" s="160" t="s">
        <v>8</v>
      </c>
      <c r="B16" s="161"/>
      <c r="C16" s="161"/>
      <c r="D16" s="162">
        <f>+Complessivo!M64</f>
        <v>190264</v>
      </c>
      <c r="E16" s="185">
        <f>+Complessivo!M70</f>
        <v>-9236</v>
      </c>
      <c r="F16" s="162">
        <f t="shared" si="0"/>
        <v>199500</v>
      </c>
    </row>
    <row r="17" spans="1:6" ht="12.75">
      <c r="A17" s="160" t="s">
        <v>194</v>
      </c>
      <c r="B17" s="161"/>
      <c r="C17" s="161"/>
      <c r="D17" s="162">
        <f>+Complessivo!M82</f>
        <v>45000</v>
      </c>
      <c r="E17" s="185">
        <f>+Complessivo!M88</f>
        <v>45000</v>
      </c>
      <c r="F17" s="162">
        <f t="shared" si="0"/>
        <v>0</v>
      </c>
    </row>
    <row r="18" spans="1:6" ht="12.75">
      <c r="A18" s="160" t="s">
        <v>9</v>
      </c>
      <c r="B18" s="161"/>
      <c r="C18" s="161"/>
      <c r="D18" s="162">
        <f>+Complessivo!M95</f>
        <v>38940</v>
      </c>
      <c r="E18" s="248">
        <f>+Complessivo!M101</f>
        <v>-22173.5</v>
      </c>
      <c r="F18" s="261">
        <f>+D18+(D18*20%)</f>
        <v>46728</v>
      </c>
    </row>
    <row r="19" spans="1:6" ht="12.75">
      <c r="A19" s="186" t="s">
        <v>10</v>
      </c>
      <c r="B19" s="181"/>
      <c r="C19" s="181"/>
      <c r="D19" s="187">
        <f>+Complessivo!M110</f>
        <v>16916</v>
      </c>
      <c r="E19" s="194">
        <f>+Complessivo!M116</f>
        <v>-10792.66866666666</v>
      </c>
      <c r="F19" s="162">
        <f t="shared" si="0"/>
        <v>27708.668666666657</v>
      </c>
    </row>
    <row r="20" spans="4:9" ht="12.75">
      <c r="D20" s="195">
        <f>SUM(D13:D19)</f>
        <v>438880</v>
      </c>
      <c r="E20" s="195">
        <f>SUM(E13:E19)</f>
        <v>23218.721333333342</v>
      </c>
      <c r="F20" s="195">
        <f>SUM(F13:F19)</f>
        <v>401275.77866666665</v>
      </c>
      <c r="G20" s="246" t="s">
        <v>308</v>
      </c>
      <c r="I20" s="247">
        <f>+F20*0.65+H23</f>
        <v>303122.95845000003</v>
      </c>
    </row>
    <row r="22" spans="4:12" ht="21">
      <c r="D22" s="196" t="s">
        <v>20</v>
      </c>
      <c r="E22" s="196" t="s">
        <v>39</v>
      </c>
      <c r="F22" s="197" t="s">
        <v>40</v>
      </c>
      <c r="G22" s="196" t="s">
        <v>21</v>
      </c>
      <c r="H22" s="196" t="s">
        <v>41</v>
      </c>
      <c r="I22" s="197" t="s">
        <v>42</v>
      </c>
      <c r="J22" s="196" t="s">
        <v>195</v>
      </c>
      <c r="K22" s="196" t="s">
        <v>196</v>
      </c>
      <c r="L22" s="190" t="s">
        <v>285</v>
      </c>
    </row>
    <row r="23" spans="1:12" ht="12.75">
      <c r="A23" s="180" t="s">
        <v>197</v>
      </c>
      <c r="D23" s="195">
        <f>+Complessivo!M2</f>
        <v>415661.2786666667</v>
      </c>
      <c r="E23" s="195">
        <f>+Complessivo!N2</f>
        <v>65067.234333333334</v>
      </c>
      <c r="F23" s="195">
        <f>+Complessivo!O2</f>
        <v>480728.51300000004</v>
      </c>
      <c r="G23" s="195">
        <f>+Complessivo!P2</f>
        <v>270179.8311333333</v>
      </c>
      <c r="H23" s="195">
        <f>+Complessivo!Q2</f>
        <v>42293.70231666668</v>
      </c>
      <c r="I23" s="195">
        <f>+Complessivo!R2</f>
        <v>312473.53345</v>
      </c>
      <c r="J23" s="242">
        <f>+Complessivo!S2</f>
        <v>99889.92</v>
      </c>
      <c r="K23" s="195">
        <f>+Complessivo!T2</f>
        <v>212583.61345</v>
      </c>
      <c r="L23" s="195">
        <f>+J23</f>
        <v>99889.92</v>
      </c>
    </row>
    <row r="24" spans="1:12" ht="12.75">
      <c r="A24" s="131" t="s">
        <v>212</v>
      </c>
      <c r="B24" s="131"/>
      <c r="D24" s="195">
        <f>+Complessivo!M3</f>
        <v>67675.82</v>
      </c>
      <c r="E24" s="195">
        <f>+Complessivo!N3</f>
        <v>13180</v>
      </c>
      <c r="F24" s="195">
        <f>+Complessivo!O3</f>
        <v>80855.82</v>
      </c>
      <c r="G24" s="195">
        <f>+Complessivo!P3</f>
        <v>43989.283</v>
      </c>
      <c r="H24" s="195">
        <f>+Complessivo!Q3</f>
        <v>8567</v>
      </c>
      <c r="I24" s="195">
        <f>+Complessivo!R3</f>
        <v>52556.283</v>
      </c>
      <c r="J24" s="195">
        <f>+Complessivo!S3</f>
        <v>19708.606125</v>
      </c>
      <c r="K24" s="195">
        <f>+Complessivo!T3</f>
        <v>32847.676875</v>
      </c>
      <c r="L24" s="195">
        <f>+K24</f>
        <v>32847.676875</v>
      </c>
    </row>
    <row r="25" spans="1:12" ht="12.75">
      <c r="A25" s="131" t="s">
        <v>213</v>
      </c>
      <c r="B25" s="195"/>
      <c r="D25" s="195">
        <f>+Complessivo!M4</f>
        <v>40645.787</v>
      </c>
      <c r="E25" s="195">
        <f>+Complessivo!N4</f>
        <v>-1015.1380000000015</v>
      </c>
      <c r="F25" s="195">
        <f>+Complessivo!O4</f>
        <v>39630.649</v>
      </c>
      <c r="G25" s="195">
        <f>+Complessivo!P4</f>
        <v>26419.76155</v>
      </c>
      <c r="H25" s="195">
        <f>+Complessivo!Q4</f>
        <v>-659.8397</v>
      </c>
      <c r="I25" s="195">
        <f>+Complessivo!R4</f>
        <v>25759.92185</v>
      </c>
      <c r="J25" s="195">
        <f>+Complessivo!S4</f>
        <v>9659.97069375</v>
      </c>
      <c r="K25" s="195">
        <f>+Complessivo!T4</f>
        <v>16099.95115625</v>
      </c>
      <c r="L25" s="195">
        <f>+K25</f>
        <v>16099.95115625</v>
      </c>
    </row>
    <row r="26" spans="1:12" ht="12.75">
      <c r="A26" s="131" t="s">
        <v>216</v>
      </c>
      <c r="B26" s="195"/>
      <c r="D26" s="195">
        <f>+Complessivo!M5</f>
        <v>125578.55166666668</v>
      </c>
      <c r="E26" s="195">
        <f>+Complessivo!N5</f>
        <v>18958.338333333333</v>
      </c>
      <c r="F26" s="195">
        <f>+Complessivo!O5</f>
        <v>144536.89</v>
      </c>
      <c r="G26" s="195">
        <f>+Complessivo!P5</f>
        <v>81626.05858333333</v>
      </c>
      <c r="H26" s="195">
        <f>+Complessivo!Q5</f>
        <v>12322.919916666668</v>
      </c>
      <c r="I26" s="195">
        <f>+Complessivo!R5</f>
        <v>93948.9785</v>
      </c>
      <c r="J26" s="195">
        <f>+Complessivo!S5</f>
        <v>35230.8669375</v>
      </c>
      <c r="K26" s="195">
        <f>+Complessivo!T5</f>
        <v>58718.1115625</v>
      </c>
      <c r="L26" s="195">
        <f>+K26</f>
        <v>58718.1115625</v>
      </c>
    </row>
    <row r="27" spans="1:13" ht="12.75">
      <c r="A27" s="131" t="s">
        <v>281</v>
      </c>
      <c r="B27" s="195"/>
      <c r="D27" s="195">
        <f>+Complessivo!M6</f>
        <v>124332.84999999999</v>
      </c>
      <c r="E27" s="195">
        <f>+Complessivo!N6</f>
        <v>23454.534</v>
      </c>
      <c r="F27" s="195">
        <f>+Complessivo!O6</f>
        <v>147787.384</v>
      </c>
      <c r="G27" s="195">
        <f>+Complessivo!P6</f>
        <v>80816.3525</v>
      </c>
      <c r="H27" s="195">
        <f>+Complessivo!Q6</f>
        <v>15245.447100000001</v>
      </c>
      <c r="I27" s="195">
        <f>+Complessivo!R6</f>
        <v>96061.7996</v>
      </c>
      <c r="J27" s="195">
        <f>+Complessivo!S6</f>
        <v>35290.476243749996</v>
      </c>
      <c r="K27" s="195">
        <f>+Complessivo!T6</f>
        <v>60771.32335625</v>
      </c>
      <c r="L27" s="195">
        <v>58817.46</v>
      </c>
      <c r="M27" s="244" t="s">
        <v>286</v>
      </c>
    </row>
    <row r="28" spans="1:14" ht="12.75">
      <c r="A28" s="131" t="s">
        <v>306</v>
      </c>
      <c r="D28" s="195">
        <f>+Complessivo!M7</f>
        <v>57428.270000000004</v>
      </c>
      <c r="E28" s="195">
        <f>+Complessivo!N7</f>
        <v>10489.5</v>
      </c>
      <c r="F28" s="195">
        <f>+Complessivo!O7</f>
        <v>67917.77</v>
      </c>
      <c r="G28" s="195">
        <f>+Complessivo!P7</f>
        <v>37328.3755</v>
      </c>
      <c r="H28" s="195">
        <f>+Complessivo!Q7</f>
        <v>6818.175</v>
      </c>
      <c r="I28" s="195">
        <f>+Complessivo!R7</f>
        <v>44146.550500000005</v>
      </c>
      <c r="J28" s="195">
        <f>+Complessivo!S7</f>
        <v>0</v>
      </c>
      <c r="K28" s="195">
        <f>+Complessivo!T7</f>
        <v>44146.550500000005</v>
      </c>
      <c r="L28" s="243">
        <f>+N28-L27-L26-L25-L24-L23</f>
        <v>21593.690933749996</v>
      </c>
      <c r="M28" s="244" t="s">
        <v>307</v>
      </c>
      <c r="N28" s="247">
        <f>+I20*0.95</f>
        <v>287966.8105275</v>
      </c>
    </row>
    <row r="29" ht="12.75">
      <c r="E29" s="198"/>
    </row>
    <row r="30" spans="1:11" ht="38.25">
      <c r="A30" s="258" t="s">
        <v>198</v>
      </c>
      <c r="B30" s="259"/>
      <c r="C30" s="259"/>
      <c r="D30" s="259"/>
      <c r="E30" s="259"/>
      <c r="F30" s="259"/>
      <c r="G30" s="259"/>
      <c r="H30" s="260"/>
      <c r="I30" s="199" t="s">
        <v>199</v>
      </c>
      <c r="J30" s="199" t="s">
        <v>200</v>
      </c>
      <c r="K30" s="200" t="s">
        <v>201</v>
      </c>
    </row>
    <row r="31" spans="1:11" ht="12.75">
      <c r="A31" s="161" t="s">
        <v>48</v>
      </c>
      <c r="B31" s="161"/>
      <c r="C31" s="161"/>
      <c r="D31" s="161"/>
      <c r="E31" s="161"/>
      <c r="F31" s="161"/>
      <c r="G31" s="161"/>
      <c r="H31" s="161"/>
      <c r="I31" s="179"/>
      <c r="J31" s="296"/>
      <c r="K31" s="161"/>
    </row>
    <row r="32" spans="1:11" ht="12.75">
      <c r="A32" s="161" t="s">
        <v>86</v>
      </c>
      <c r="B32" s="161"/>
      <c r="C32" s="161"/>
      <c r="D32" s="161"/>
      <c r="E32" s="161"/>
      <c r="F32" s="161"/>
      <c r="G32" s="161"/>
      <c r="H32" s="161"/>
      <c r="I32" s="179"/>
      <c r="J32" s="297"/>
      <c r="K32" s="161"/>
    </row>
    <row r="33" spans="1:11" ht="12.75">
      <c r="A33" s="161" t="s">
        <v>87</v>
      </c>
      <c r="B33" s="161"/>
      <c r="C33" s="161"/>
      <c r="D33" s="161"/>
      <c r="E33" s="161"/>
      <c r="F33" s="161"/>
      <c r="G33" s="161"/>
      <c r="H33" s="161"/>
      <c r="I33" s="179"/>
      <c r="J33" s="297"/>
      <c r="K33" s="161"/>
    </row>
    <row r="34" spans="1:11" ht="12.75">
      <c r="A34" s="161" t="s">
        <v>93</v>
      </c>
      <c r="B34" s="161"/>
      <c r="C34" s="161"/>
      <c r="D34" s="161"/>
      <c r="E34" s="161"/>
      <c r="F34" s="161"/>
      <c r="G34" s="161"/>
      <c r="H34" s="161"/>
      <c r="I34" s="179"/>
      <c r="J34" s="297"/>
      <c r="K34" s="161"/>
    </row>
    <row r="35" spans="1:11" ht="12.75">
      <c r="A35" s="161" t="s">
        <v>95</v>
      </c>
      <c r="B35" s="161"/>
      <c r="C35" s="161"/>
      <c r="D35" s="161"/>
      <c r="E35" s="161"/>
      <c r="F35" s="161"/>
      <c r="G35" s="161"/>
      <c r="H35" s="161"/>
      <c r="I35" s="179"/>
      <c r="J35" s="297"/>
      <c r="K35" s="161"/>
    </row>
    <row r="36" spans="1:11" ht="12.75">
      <c r="A36" s="161" t="s">
        <v>243</v>
      </c>
      <c r="B36" s="161"/>
      <c r="C36" s="161"/>
      <c r="D36" s="161"/>
      <c r="E36" s="161"/>
      <c r="F36" s="161"/>
      <c r="G36" s="161"/>
      <c r="H36" s="161"/>
      <c r="I36" s="179"/>
      <c r="J36" s="297"/>
      <c r="K36" s="161"/>
    </row>
    <row r="37" spans="1:11" ht="12.75">
      <c r="A37" s="161"/>
      <c r="B37" s="161"/>
      <c r="C37" s="161"/>
      <c r="D37" s="161"/>
      <c r="E37" s="161"/>
      <c r="F37" s="161"/>
      <c r="G37" s="161"/>
      <c r="H37" s="161"/>
      <c r="I37" s="179"/>
      <c r="J37" s="297"/>
      <c r="K37" s="161"/>
    </row>
    <row r="38" spans="1:11" ht="12.75">
      <c r="A38" s="161"/>
      <c r="B38" s="161"/>
      <c r="C38" s="161"/>
      <c r="D38" s="161"/>
      <c r="E38" s="161"/>
      <c r="F38" s="161"/>
      <c r="G38" s="161"/>
      <c r="H38" s="161"/>
      <c r="I38" s="179"/>
      <c r="J38" s="297"/>
      <c r="K38" s="161"/>
    </row>
    <row r="39" ht="12.75">
      <c r="E39" s="198"/>
    </row>
    <row r="40" spans="1:11" ht="12.75">
      <c r="A40" s="298" t="s">
        <v>202</v>
      </c>
      <c r="B40" s="298"/>
      <c r="C40" s="298"/>
      <c r="D40" s="298"/>
      <c r="E40" s="298"/>
      <c r="F40" s="298"/>
      <c r="G40" s="298"/>
      <c r="H40" s="298"/>
      <c r="I40" s="298"/>
      <c r="J40" s="298"/>
      <c r="K40" s="298"/>
    </row>
    <row r="43" spans="1:11" ht="36.75" customHeight="1">
      <c r="A43" s="249" t="s">
        <v>203</v>
      </c>
      <c r="B43" s="249"/>
      <c r="C43" s="249"/>
      <c r="D43" s="249"/>
      <c r="E43" s="249"/>
      <c r="F43" s="249"/>
      <c r="G43" s="282" t="s">
        <v>282</v>
      </c>
      <c r="H43" s="294"/>
      <c r="I43" s="294"/>
      <c r="J43" s="294"/>
      <c r="K43" s="283"/>
    </row>
    <row r="44" spans="1:11" ht="25.5" customHeight="1">
      <c r="A44" s="249" t="s">
        <v>204</v>
      </c>
      <c r="B44" s="249"/>
      <c r="C44" s="249"/>
      <c r="D44" s="249"/>
      <c r="E44" s="249"/>
      <c r="F44" s="249"/>
      <c r="G44" s="256" t="s">
        <v>251</v>
      </c>
      <c r="H44" s="256"/>
      <c r="I44" s="256"/>
      <c r="J44" s="256"/>
      <c r="K44" s="256"/>
    </row>
    <row r="45" spans="1:11" ht="23.25" customHeight="1">
      <c r="A45" s="249" t="s">
        <v>205</v>
      </c>
      <c r="B45" s="249"/>
      <c r="C45" s="249"/>
      <c r="D45" s="249"/>
      <c r="E45" s="249"/>
      <c r="F45" s="249"/>
      <c r="G45" s="250"/>
      <c r="H45" s="251"/>
      <c r="I45" s="251"/>
      <c r="J45" s="251"/>
      <c r="K45" s="293"/>
    </row>
    <row r="46" ht="26.25" customHeight="1">
      <c r="A46" s="180" t="s">
        <v>206</v>
      </c>
    </row>
    <row r="47" spans="1:11" ht="12.75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</row>
    <row r="48" spans="1:11" ht="24.75" customHeight="1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</row>
    <row r="49" spans="1:11" ht="24.75" customHeight="1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</row>
    <row r="50" spans="1:11" ht="24.75" customHeight="1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</row>
    <row r="51" spans="1:11" ht="24.75" customHeight="1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</row>
    <row r="52" spans="1:11" ht="12.75">
      <c r="A52" s="161"/>
      <c r="B52" s="161"/>
      <c r="C52" s="161"/>
      <c r="D52" s="161"/>
      <c r="E52" s="161"/>
      <c r="F52" s="161"/>
      <c r="G52" s="161"/>
      <c r="H52" s="161"/>
      <c r="I52" s="161"/>
      <c r="J52" s="161"/>
      <c r="K52" s="161"/>
    </row>
    <row r="53" spans="1:11" ht="12.75">
      <c r="A53" s="161"/>
      <c r="B53" s="161"/>
      <c r="C53" s="161"/>
      <c r="D53" s="161"/>
      <c r="E53" s="161"/>
      <c r="F53" s="161"/>
      <c r="G53" s="161"/>
      <c r="H53" s="161"/>
      <c r="I53" s="161"/>
      <c r="J53" s="161"/>
      <c r="K53" s="161"/>
    </row>
    <row r="54" spans="1:11" ht="12.75">
      <c r="A54" s="161"/>
      <c r="B54" s="161"/>
      <c r="C54" s="161"/>
      <c r="D54" s="161"/>
      <c r="E54" s="161"/>
      <c r="F54" s="161"/>
      <c r="G54" s="161"/>
      <c r="H54" s="161"/>
      <c r="I54" s="161"/>
      <c r="J54" s="161"/>
      <c r="K54" s="161"/>
    </row>
    <row r="56" spans="1:9" ht="12.75">
      <c r="A56" s="256" t="s">
        <v>207</v>
      </c>
      <c r="B56" s="256"/>
      <c r="C56" s="256"/>
      <c r="D56" s="256" t="s">
        <v>208</v>
      </c>
      <c r="E56" s="256"/>
      <c r="F56" s="256"/>
      <c r="G56" s="256" t="s">
        <v>209</v>
      </c>
      <c r="H56" s="256"/>
      <c r="I56" s="256"/>
    </row>
    <row r="57" spans="1:9" ht="23.25" customHeight="1">
      <c r="A57" s="257">
        <f ca="1">TODAY()</f>
        <v>39758</v>
      </c>
      <c r="B57" s="256"/>
      <c r="C57" s="256"/>
      <c r="D57" s="258" t="s">
        <v>210</v>
      </c>
      <c r="E57" s="259"/>
      <c r="F57" s="260"/>
      <c r="G57" s="256"/>
      <c r="H57" s="256"/>
      <c r="I57" s="256"/>
    </row>
    <row r="58" spans="1:9" ht="23.25" customHeight="1">
      <c r="A58" s="256"/>
      <c r="B58" s="256"/>
      <c r="C58" s="256"/>
      <c r="D58" s="256"/>
      <c r="E58" s="256"/>
      <c r="F58" s="256"/>
      <c r="G58" s="256"/>
      <c r="H58" s="256"/>
      <c r="I58" s="256"/>
    </row>
    <row r="59" spans="1:9" ht="23.25" customHeight="1">
      <c r="A59" s="256"/>
      <c r="B59" s="256"/>
      <c r="C59" s="256"/>
      <c r="D59" s="256"/>
      <c r="E59" s="256"/>
      <c r="F59" s="256"/>
      <c r="G59" s="256"/>
      <c r="H59" s="256"/>
      <c r="I59" s="256"/>
    </row>
  </sheetData>
  <mergeCells count="22">
    <mergeCell ref="A2:K2"/>
    <mergeCell ref="A30:H30"/>
    <mergeCell ref="J31:J38"/>
    <mergeCell ref="A40:K40"/>
    <mergeCell ref="A43:F43"/>
    <mergeCell ref="G43:K43"/>
    <mergeCell ref="A44:F44"/>
    <mergeCell ref="G44:K44"/>
    <mergeCell ref="A45:F45"/>
    <mergeCell ref="G45:K45"/>
    <mergeCell ref="A56:C56"/>
    <mergeCell ref="D56:F56"/>
    <mergeCell ref="G56:I56"/>
    <mergeCell ref="A59:C59"/>
    <mergeCell ref="D59:F59"/>
    <mergeCell ref="G59:I59"/>
    <mergeCell ref="A57:C57"/>
    <mergeCell ref="D57:F57"/>
    <mergeCell ref="G57:I57"/>
    <mergeCell ref="A58:C58"/>
    <mergeCell ref="D58:F58"/>
    <mergeCell ref="G58:I58"/>
  </mergeCells>
  <printOptions/>
  <pageMargins left="0.39" right="0.41" top="1" bottom="1" header="0.5" footer="0.5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sciacovelli</dc:creator>
  <cp:keywords/>
  <dc:description/>
  <cp:lastModifiedBy>.</cp:lastModifiedBy>
  <cp:lastPrinted>2008-10-15T13:11:30Z</cp:lastPrinted>
  <dcterms:created xsi:type="dcterms:W3CDTF">2005-04-28T08:10:49Z</dcterms:created>
  <dcterms:modified xsi:type="dcterms:W3CDTF">2008-11-06T14:45:18Z</dcterms:modified>
  <cp:category/>
  <cp:version/>
  <cp:contentType/>
  <cp:contentStatus/>
</cp:coreProperties>
</file>