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<sst xmlns="http://schemas.openxmlformats.org/spreadsheetml/2006/main" count="108" uniqueCount="88">
  <si>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</si>
  <si>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</si>
  <si>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</si>
  <si>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</si>
  <si>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</si>
  <si>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</si>
  <si>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</si>
  <si>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</si>
  <si>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</si>
  <si>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</si>
  <si>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</si>
  <si>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</si>
  <si>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</si>
  <si>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</si>
  <si>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</si>
  <si>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</si>
  <si>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</si>
  <si>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</si>
  <si>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</si>
  <si>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</si>
  <si>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</si>
  <si>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</si>
  <si>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</si>
  <si>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</si>
  <si>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</si>
  <si>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</si>
  <si>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</si>
  <si>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</si>
  <si>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</si>
  <si>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</si>
  <si>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</si>
  <si>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</si>
  <si>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</si>
  <si>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</si>
  <si>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</si>
  <si>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</si>
  <si>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</si>
  <si>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</si>
  <si>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</si>
  <si>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</si>
  <si>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</si>
  <si>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</si>
  <si>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</si>
  <si>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</si>
  <si>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</si>
  <si>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</si>
  <si>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</si>
  <si>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</si>
  <si>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</si>
  <si>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</si>
  <si>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</si>
  <si>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</si>
  <si>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</si>
  <si>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</si>
  <si>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</si>
  <si>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</si>
  <si>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</si>
  <si>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</si>
  <si>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</si>
  <si>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</si>
  <si>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</si>
  <si>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</si>
  <si>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</si>
  <si>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</si>
  <si>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</si>
  <si>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</si>
  <si>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</si>
  <si>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</si>
  <si>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</si>
  <si>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</si>
  <si>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</si>
  <si>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</si>
  <si>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</si>
  <si>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</si>
  <si>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</si>
  <si>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</si>
  <si>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</si>
  <si>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</si>
  <si>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</si>
  <si>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</si>
  <si>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</si>
  <si>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</si>
  <si>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</si>
  <si>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</si>
  <si>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</si>
  <si>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</si>
  <si>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Ass. Pugliese Imprese di Meccanizzazione Agroindustriale</t>
  </si>
  <si>
    <t>AGRO-NET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</si>
</sst>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73" fontId="2" fillId="5" borderId="7" xfId="0" applyNumberFormat="1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  <xf numFmtId="0" fontId="1" fillId="2" borderId="48" xfId="0" applyFont="1" applyFill="1" applyBorder="1" applyAlignment="1" applyProtection="1">
      <alignment horizontal="center"/>
      <protection hidden="1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2" fillId="5" borderId="73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9725863"/>
        <c:axId val="44879584"/>
      </c:barChart>
      <c:catAx>
        <c:axId val="4972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879584"/>
        <c:crosses val="autoZero"/>
        <c:auto val="1"/>
        <c:lblOffset val="100"/>
        <c:noMultiLvlLbl val="0"/>
      </c:catAx>
      <c:valAx>
        <c:axId val="44879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725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2-1-2007</v>
      </c>
      <c r="AC2" s="199">
        <f>+$L$5</f>
        <v>37988</v>
      </c>
      <c r="AD2" s="200">
        <f>DAY($AC$2)</f>
        <v>2</v>
      </c>
      <c r="AE2" s="200">
        <f>MONTH($AC$2)</f>
        <v>1</v>
      </c>
      <c r="AF2" s="200">
        <f>YEAR($AC$2)</f>
        <v>2004</v>
      </c>
      <c r="AG2" s="200" t="str">
        <f>TEXT(AD2,0)</f>
        <v>2</v>
      </c>
      <c r="AH2" s="200" t="str">
        <f>TEXT(AE2,0)</f>
        <v>1</v>
      </c>
      <c r="AI2" s="200" t="str">
        <f>TEXT(AF2,0)</f>
        <v>2004</v>
      </c>
      <c r="AJ2" s="201" t="str">
        <f>+AG2&amp;"-"&amp;+AH2&amp;"-"&amp;AF2</f>
        <v>2-1-2004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2</v>
      </c>
      <c r="BM2" s="45">
        <f>+BK5</f>
        <v>1</v>
      </c>
      <c r="BN2" s="264">
        <f>YEAR(Z4)</f>
        <v>2007</v>
      </c>
      <c r="BO2" s="265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2</v>
      </c>
      <c r="U3" s="45"/>
      <c r="V3" s="45"/>
      <c r="X3" s="203">
        <f>+X5&amp;X6&amp;X7&amp;X8&amp;X9&amp;X10&amp;X11</f>
      </c>
      <c r="Y3" s="44"/>
      <c r="Z3" s="204"/>
      <c r="AA3" s="30">
        <f>+L6/4</f>
        <v>9</v>
      </c>
      <c r="AC3" s="30">
        <f>+AF2</f>
        <v>2004</v>
      </c>
      <c r="AD3" s="205">
        <f>+AD2</f>
        <v>2</v>
      </c>
      <c r="AE3" s="206">
        <f>+AL3</f>
        <v>1</v>
      </c>
      <c r="AF3" s="205">
        <f>+AF2</f>
        <v>2004</v>
      </c>
      <c r="AG3" s="205" t="str">
        <f>+AG2</f>
        <v>2</v>
      </c>
      <c r="AH3" s="205" t="str">
        <f>+AH2</f>
        <v>1</v>
      </c>
      <c r="AI3" s="205" t="str">
        <f>+AI2</f>
        <v>2004</v>
      </c>
      <c r="AJ3" s="207" t="str">
        <f>+AG3&amp;"-"&amp;+AH3&amp;"-"&amp;AC3</f>
        <v>2-1-2004</v>
      </c>
      <c r="AK3" s="208"/>
      <c r="AL3" s="239">
        <f>IF($AE$2=1,1,AM3)</f>
        <v>1</v>
      </c>
      <c r="AM3" s="240">
        <f>IF($AE$2=2,2,AN3)</f>
        <v>0</v>
      </c>
      <c r="AN3" s="240">
        <f>IF($AE$2=3,3,AO3)</f>
        <v>0</v>
      </c>
      <c r="AO3" s="240">
        <f>IF($AE$2=4,4,AP3)</f>
        <v>0</v>
      </c>
      <c r="AP3" s="240">
        <f>IF($AE$2=5,5,AQ3)</f>
        <v>0</v>
      </c>
      <c r="AQ3" s="240">
        <f>IF($AE$2=6,6,AR3)</f>
        <v>0</v>
      </c>
      <c r="AR3" s="240">
        <f>IF($AE$2=7,7,AS3)</f>
        <v>0</v>
      </c>
      <c r="AS3" s="240">
        <f>IF($AE$2=8,8,AT3)</f>
        <v>0</v>
      </c>
      <c r="AT3" s="240">
        <f>IF($AE$2=9,9,AU3)</f>
        <v>0</v>
      </c>
      <c r="AU3" s="240">
        <f>IF($AE$2=10,10,AV3)</f>
        <v>0</v>
      </c>
      <c r="AV3" s="240">
        <f>IF($AE$2=11,11,AW3)</f>
        <v>0</v>
      </c>
      <c r="AW3" s="241">
        <f>IF($AE$2=12,12,AX3)</f>
        <v>0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</v>
      </c>
      <c r="U4" s="45"/>
      <c r="V4" s="45"/>
      <c r="X4" s="219"/>
      <c r="Y4" s="173"/>
      <c r="Z4" s="204">
        <f>IF(INT($AA$3)=AA4,VALUE(AJ4),Z5)</f>
        <v>39084</v>
      </c>
      <c r="AA4" s="45">
        <v>1</v>
      </c>
      <c r="AC4" s="30">
        <f>IF(AE3+4&lt;=12,AC3,AC3+1)</f>
        <v>2004</v>
      </c>
      <c r="AD4" s="209">
        <f aca="true" t="shared" si="0" ref="AD4:AD12">+$AD$2</f>
        <v>2</v>
      </c>
      <c r="AE4" s="29">
        <f>+AL4</f>
        <v>5</v>
      </c>
      <c r="AF4" s="205">
        <f aca="true" t="shared" si="1" ref="AF4:AF12">IF(AK4&lt;$AL$2,2004,2005)</f>
        <v>2005</v>
      </c>
      <c r="AG4" s="28" t="str">
        <f aca="true" t="shared" si="2" ref="AG4:AI12">TEXT(AD4,0)</f>
        <v>2</v>
      </c>
      <c r="AH4" s="28" t="str">
        <f t="shared" si="2"/>
        <v>5</v>
      </c>
      <c r="AI4" s="28" t="str">
        <f t="shared" si="2"/>
        <v>2005</v>
      </c>
      <c r="AJ4" s="207" t="str">
        <f aca="true" t="shared" si="3" ref="AJ4:AJ12">+AD14</f>
        <v>2-5-2004</v>
      </c>
      <c r="AK4" s="210"/>
      <c r="AL4" s="242">
        <f>IF($AE$2=1,5,AM4)</f>
        <v>5</v>
      </c>
      <c r="AM4" s="185">
        <f>IF($AE$2=2,6,AN4)</f>
        <v>0</v>
      </c>
      <c r="AN4" s="185">
        <f>IF($AE$2=3,7,AO4)</f>
        <v>0</v>
      </c>
      <c r="AO4" s="185">
        <f>IF($AE$2=4,8,AP4)</f>
        <v>0</v>
      </c>
      <c r="AP4" s="185">
        <f>IF($AE$2=5,9,AQ4)</f>
        <v>0</v>
      </c>
      <c r="AQ4" s="185">
        <f>IF($AE$2=6,10,AR4)</f>
        <v>0</v>
      </c>
      <c r="AR4" s="185">
        <f>IF($AE$2=7,11,AS4)</f>
        <v>0</v>
      </c>
      <c r="AS4" s="185">
        <f>IF($AE$2=8,12,AT4)</f>
        <v>0</v>
      </c>
      <c r="AT4" s="185">
        <f>IF($AE$2=9,1,AU4)</f>
        <v>0</v>
      </c>
      <c r="AU4" s="185">
        <f>IF($AE$2=10,2,AV4)</f>
        <v>0</v>
      </c>
      <c r="AV4" s="185">
        <f>IF($AE$2=11,3,AW4)</f>
        <v>0</v>
      </c>
      <c r="AW4" s="243">
        <f>IF($AE$2=12,4,AX4)</f>
        <v>0</v>
      </c>
      <c r="BL4" s="266" t="e">
        <f>+#REF!</f>
        <v>#REF!</v>
      </c>
      <c r="BM4" s="267"/>
      <c r="BN4" s="267"/>
      <c r="BO4" s="267"/>
      <c r="BP4" s="268"/>
      <c r="CI4" s="173"/>
      <c r="CJ4" s="189"/>
      <c r="CK4" s="196"/>
      <c r="CL4" s="173"/>
      <c r="CM4" s="260"/>
      <c r="CN4" s="260"/>
      <c r="CO4" s="260"/>
      <c r="CP4" s="260"/>
      <c r="CQ4" s="184"/>
      <c r="CR4" s="260"/>
      <c r="CS4" s="260"/>
      <c r="CT4" s="260"/>
      <c r="CU4" s="260"/>
      <c r="CV4" s="184"/>
      <c r="ES4" s="196"/>
      <c r="ET4" s="173"/>
      <c r="EU4" s="260"/>
      <c r="EV4" s="261"/>
      <c r="EW4" s="261"/>
      <c r="EX4" s="261"/>
      <c r="EY4" s="184"/>
      <c r="EZ4" s="260"/>
      <c r="FA4" s="261"/>
      <c r="FB4" s="261"/>
      <c r="FC4" s="261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39</v>
      </c>
      <c r="G5" s="162"/>
      <c r="H5" s="67"/>
      <c r="I5" s="58" t="s">
        <v>60</v>
      </c>
      <c r="J5" s="238" t="s">
        <v>4</v>
      </c>
      <c r="K5" s="168"/>
      <c r="L5" s="256">
        <v>37988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39084</v>
      </c>
      <c r="AA5" s="45">
        <v>2</v>
      </c>
      <c r="AC5" s="30">
        <f aca="true" t="shared" si="5" ref="AC5:AC12">IF(AE4+4&lt;=12,AC4,AC4+1)</f>
        <v>2004</v>
      </c>
      <c r="AD5" s="209">
        <f t="shared" si="0"/>
        <v>2</v>
      </c>
      <c r="AE5" s="29">
        <f aca="true" t="shared" si="6" ref="AE5:AE12">+AL5</f>
        <v>9</v>
      </c>
      <c r="AF5" s="205">
        <f t="shared" si="1"/>
        <v>2005</v>
      </c>
      <c r="AG5" s="28" t="str">
        <f t="shared" si="2"/>
        <v>2</v>
      </c>
      <c r="AH5" s="28" t="str">
        <f t="shared" si="2"/>
        <v>9</v>
      </c>
      <c r="AI5" s="28" t="str">
        <f t="shared" si="2"/>
        <v>2005</v>
      </c>
      <c r="AJ5" s="207" t="str">
        <f t="shared" si="3"/>
        <v>2-9-2004</v>
      </c>
      <c r="AK5" s="210"/>
      <c r="AL5" s="242">
        <f>IF($AE$2=1,9,AM5)</f>
        <v>9</v>
      </c>
      <c r="AM5" s="185">
        <f>IF($AE$2=2,10,AN5)</f>
        <v>0</v>
      </c>
      <c r="AN5" s="185">
        <f>IF($AE$2=3,11,AO5)</f>
        <v>0</v>
      </c>
      <c r="AO5" s="185">
        <f>IF($AE$2=4,12,AP5)</f>
        <v>0</v>
      </c>
      <c r="AP5" s="185">
        <f>IF($AE$2=5,1,AQ5)</f>
        <v>0</v>
      </c>
      <c r="AQ5" s="185">
        <f>IF($AE$2=6,2,AR5)</f>
        <v>0</v>
      </c>
      <c r="AR5" s="185">
        <f>IF($AE$2=7,3,AS5)</f>
        <v>0</v>
      </c>
      <c r="AS5" s="185">
        <f>IF($AE$2=8,4,AT5)</f>
        <v>0</v>
      </c>
      <c r="AT5" s="185">
        <f>IF($AE$2=9,5,AU5)</f>
        <v>0</v>
      </c>
      <c r="AU5" s="185">
        <f>IF($AE$2=10,6,AV5)</f>
        <v>0</v>
      </c>
      <c r="AV5" s="185">
        <f>IF($AE$2=11,7,AW5)</f>
        <v>0</v>
      </c>
      <c r="AW5" s="243">
        <f>IF($AE$2=12,8,AX5)</f>
        <v>0</v>
      </c>
      <c r="BJ5" s="190">
        <v>12</v>
      </c>
      <c r="BK5" s="223">
        <f>IF(AND($L$6=BJ5,MONTH($L$5)=1),BL5,BK6)</f>
        <v>1</v>
      </c>
      <c r="BL5" s="224">
        <v>1</v>
      </c>
      <c r="BM5" s="174">
        <f>IF(AND($L$6=BJ5,MONTH($L$5)=2),BN5,BM6)</f>
      </c>
      <c r="BN5" s="224">
        <v>2</v>
      </c>
      <c r="BO5" s="174">
        <f>IF(AND($L$6=BJ5,MONTH($L$5)=3),BP5,BO6)</f>
      </c>
      <c r="BP5" s="224">
        <v>3</v>
      </c>
      <c r="BQ5" s="174">
        <f>IF(AND($L$6=BJ5,MONTH($L$5)=4),BR5,BQ6)</f>
      </c>
      <c r="BR5" s="224">
        <v>4</v>
      </c>
      <c r="BS5" s="174">
        <f>IF(AND($L$6=BJ5,MONTH($L$5)=5),BT5,BS6)</f>
      </c>
      <c r="BT5" s="224">
        <v>5</v>
      </c>
      <c r="BU5" s="174">
        <f>IF(AND($L$6=BJ5,MONTH($L$5)=6),BV5,BU6)</f>
      </c>
      <c r="BV5" s="224">
        <v>6</v>
      </c>
      <c r="BW5" s="174">
        <f>IF(AND($L$6=BJ5,MONTH($L$5)=7),BX5,BW6)</f>
      </c>
      <c r="BX5" s="224">
        <v>7</v>
      </c>
      <c r="BY5" s="174">
        <f>IF(AND($L$6=BJ5,MONTH($L$5)=8),BZ5,BY6)</f>
      </c>
      <c r="BZ5" s="224">
        <v>8</v>
      </c>
      <c r="CA5" s="174">
        <f>IF(AND($L$6=BJ5,MONTH($L$5)=9),CB5,CA6)</f>
      </c>
      <c r="CB5" s="224">
        <v>9</v>
      </c>
      <c r="CC5" s="174">
        <f>IF(AND($L$6=BJ5,MONTH($L$5)=10),CD5,CC6)</f>
      </c>
      <c r="CD5" s="224">
        <v>10</v>
      </c>
      <c r="CE5" s="174">
        <f>IF(AND($L$6=BJ5,MONTH($L$5)=11),CF5,CE6)</f>
      </c>
      <c r="CF5" s="224">
        <v>11</v>
      </c>
      <c r="CG5" s="174">
        <f>IF(AND($L$6=BJ5,MONTH($L$5)=12),CH5,CG6)</f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9" t="s">
        <v>86</v>
      </c>
      <c r="G6" s="270"/>
      <c r="H6" s="67"/>
      <c r="I6" s="58" t="s">
        <v>61</v>
      </c>
      <c r="J6" s="43" t="s">
        <v>6</v>
      </c>
      <c r="K6" s="168"/>
      <c r="L6" s="172">
        <v>36</v>
      </c>
      <c r="M6" s="232"/>
      <c r="N6" s="232"/>
      <c r="O6" s="232"/>
      <c r="Q6" s="220"/>
      <c r="R6" s="220"/>
      <c r="S6" s="220"/>
      <c r="T6" s="39" t="str">
        <f>+T3&amp;" "&amp;T7&amp;" "&amp;T5</f>
        <v>2 gennaio 2007</v>
      </c>
      <c r="X6" s="211">
        <f>IF(F6&lt;&gt;"","",B6&amp;"  ")</f>
      </c>
      <c r="Y6" s="44"/>
      <c r="Z6" s="204">
        <f t="shared" si="4"/>
        <v>39084</v>
      </c>
      <c r="AA6" s="45">
        <v>3</v>
      </c>
      <c r="AC6" s="30">
        <f t="shared" si="5"/>
        <v>2005</v>
      </c>
      <c r="AD6" s="209">
        <f t="shared" si="0"/>
        <v>2</v>
      </c>
      <c r="AE6" s="28">
        <f t="shared" si="6"/>
        <v>1</v>
      </c>
      <c r="AF6" s="205">
        <f t="shared" si="1"/>
        <v>2005</v>
      </c>
      <c r="AG6" s="28" t="str">
        <f t="shared" si="2"/>
        <v>2</v>
      </c>
      <c r="AH6" s="28" t="str">
        <f t="shared" si="2"/>
        <v>1</v>
      </c>
      <c r="AI6" s="28" t="str">
        <f t="shared" si="2"/>
        <v>2005</v>
      </c>
      <c r="AJ6" s="207" t="str">
        <f t="shared" si="3"/>
        <v>2-1-2005</v>
      </c>
      <c r="AK6" s="210"/>
      <c r="AL6" s="242">
        <f>IF($AE$2=1,1,AM6)</f>
        <v>1</v>
      </c>
      <c r="AM6" s="185">
        <f>IF($AE$2=2,2,AN6)</f>
        <v>0</v>
      </c>
      <c r="AN6" s="185">
        <f>IF($AE$2=3,3,AO6)</f>
        <v>0</v>
      </c>
      <c r="AO6" s="185">
        <f>IF($AE$2=4,4,AP6)</f>
        <v>0</v>
      </c>
      <c r="AP6" s="185">
        <f>IF($AE$2=5,5,AQ6)</f>
        <v>0</v>
      </c>
      <c r="AQ6" s="185">
        <f>IF($AE$2=6,6,AR6)</f>
        <v>0</v>
      </c>
      <c r="AR6" s="185">
        <f>IF($AE$2=7,7,AS6)</f>
        <v>0</v>
      </c>
      <c r="AS6" s="185">
        <f>IF($AE$2=8,8,AT6)</f>
        <v>0</v>
      </c>
      <c r="AT6" s="185">
        <f>IF($AE$2=9,9,AU6)</f>
        <v>0</v>
      </c>
      <c r="AU6" s="185">
        <f>IF($AE$2=10,10,AV6)</f>
        <v>0</v>
      </c>
      <c r="AV6" s="185">
        <f>IF($AE$2=11,11,AW6)</f>
        <v>0</v>
      </c>
      <c r="AW6" s="243">
        <f>IF($AE$2=12,12,AX6)</f>
        <v>0</v>
      </c>
      <c r="BJ6" s="190">
        <f>1+BJ5</f>
        <v>13</v>
      </c>
      <c r="BK6" s="226">
        <f aca="true" t="shared" si="7" ref="BK6:BK28">IF(AND($L$6=BJ6,MONTH($L$5)=1),BL6,BK7)</f>
        <v>1</v>
      </c>
      <c r="BL6" s="175">
        <f aca="true" t="shared" si="8" ref="BL6:BL16">1+BL5</f>
        <v>2</v>
      </c>
      <c r="BM6" s="175">
        <f aca="true" t="shared" si="9" ref="BM6:BM28">IF(AND($L$6=BJ6,MONTH($L$5)=2),BN6,BM7)</f>
      </c>
      <c r="BN6" s="175">
        <f>1+BN5</f>
        <v>3</v>
      </c>
      <c r="BO6" s="175">
        <f aca="true" t="shared" si="10" ref="BO6:BO28">IF(AND($L$6=BJ6,MONTH($L$5)=3),BP6,BO7)</f>
      </c>
      <c r="BP6" s="175">
        <f aca="true" t="shared" si="11" ref="BP6:BP29">1+BP5</f>
        <v>4</v>
      </c>
      <c r="BQ6" s="175">
        <f aca="true" t="shared" si="12" ref="BQ6:BQ28">IF(AND($L$6=BJ6,MONTH($L$5)=4),BR6,BQ7)</f>
      </c>
      <c r="BR6" s="175">
        <f aca="true" t="shared" si="13" ref="BR6:BR29">1+BR5</f>
        <v>5</v>
      </c>
      <c r="BS6" s="175">
        <f aca="true" t="shared" si="14" ref="BS6:BS28">IF(AND($L$6=BJ6,MONTH($L$5)=5),BT6,BS7)</f>
      </c>
      <c r="BT6" s="175">
        <f aca="true" t="shared" si="15" ref="BT6:BT29">1+BT5</f>
        <v>6</v>
      </c>
      <c r="BU6" s="175">
        <f aca="true" t="shared" si="16" ref="BU6:BU28">IF(AND($L$6=BJ6,MONTH($L$5)=6),BV6,BU7)</f>
      </c>
      <c r="BV6" s="175">
        <f aca="true" t="shared" si="17" ref="BV6:BV29">1+BV5</f>
        <v>7</v>
      </c>
      <c r="BW6" s="175">
        <f aca="true" t="shared" si="18" ref="BW6:BW28">IF(AND($L$6=BJ6,MONTH($L$5)=7),BX6,BW7)</f>
      </c>
      <c r="BX6" s="175">
        <f aca="true" t="shared" si="19" ref="BX6:BX29">1+BX5</f>
        <v>8</v>
      </c>
      <c r="BY6" s="175">
        <f aca="true" t="shared" si="20" ref="BY6:BY28">IF(AND($L$6=BJ6,MONTH($L$5)=8),BZ6,BY7)</f>
      </c>
      <c r="BZ6" s="175">
        <f>1+BZ5</f>
        <v>9</v>
      </c>
      <c r="CA6" s="175">
        <f aca="true" t="shared" si="21" ref="CA6:CA28">IF(AND($L$6=BJ6,MONTH($L$5)=9),CB6,CA7)</f>
      </c>
      <c r="CB6" s="175">
        <f>1+CB5</f>
        <v>10</v>
      </c>
      <c r="CC6" s="175">
        <f aca="true" t="shared" si="22" ref="CC6:CC28">IF(AND($L$6=BJ6,MONTH($L$5)=10),CD6,CC7)</f>
      </c>
      <c r="CD6" s="175">
        <f>1+CD5</f>
        <v>11</v>
      </c>
      <c r="CE6" s="175">
        <f aca="true" t="shared" si="23" ref="CE6:CE28">IF(AND($L$6=BJ6,MONTH($L$5)=11),CF6,CE7)</f>
      </c>
      <c r="CF6" s="175">
        <f>1+CF5</f>
        <v>12</v>
      </c>
      <c r="CG6" s="175">
        <f aca="true" t="shared" si="24" ref="CG6:CG28">IF(AND($L$6=BJ6,MONTH($L$5)=12),CH6,CG7)</f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9" t="s">
        <v>87</v>
      </c>
      <c r="G7" s="270"/>
      <c r="H7" s="163"/>
      <c r="I7" s="164"/>
      <c r="J7" s="47" t="s">
        <v>5</v>
      </c>
      <c r="K7" s="168"/>
      <c r="L7" s="48" t="str">
        <f>IF(AND(L5&lt;&gt;"",L6&lt;&gt;""),T6,"")</f>
        <v>2 gennaio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gennaio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39084</v>
      </c>
      <c r="AA7" s="45">
        <v>4</v>
      </c>
      <c r="AC7" s="30">
        <f t="shared" si="5"/>
        <v>2005</v>
      </c>
      <c r="AD7" s="209">
        <f t="shared" si="0"/>
        <v>2</v>
      </c>
      <c r="AE7" s="28">
        <f t="shared" si="6"/>
        <v>5</v>
      </c>
      <c r="AF7" s="205">
        <f t="shared" si="1"/>
        <v>2005</v>
      </c>
      <c r="AG7" s="28" t="str">
        <f t="shared" si="2"/>
        <v>2</v>
      </c>
      <c r="AH7" s="28" t="str">
        <f t="shared" si="2"/>
        <v>5</v>
      </c>
      <c r="AI7" s="28" t="str">
        <f t="shared" si="2"/>
        <v>2005</v>
      </c>
      <c r="AJ7" s="207" t="str">
        <f t="shared" si="3"/>
        <v>2-5-2005</v>
      </c>
      <c r="AK7" s="210"/>
      <c r="AL7" s="242">
        <f>IF($AE$2=1,5,AM7)</f>
        <v>5</v>
      </c>
      <c r="AM7" s="185">
        <f>IF($AE$2=2,6,AN7)</f>
        <v>0</v>
      </c>
      <c r="AN7" s="185">
        <f>IF($AE$2=3,7,AO7)</f>
        <v>0</v>
      </c>
      <c r="AO7" s="185">
        <f>IF($AE$2=4,8,AP7)</f>
        <v>0</v>
      </c>
      <c r="AP7" s="185">
        <f>IF($AE$2=5,9,AQ7)</f>
        <v>0</v>
      </c>
      <c r="AQ7" s="185">
        <f>IF($AE$2=6,10,AR7)</f>
        <v>0</v>
      </c>
      <c r="AR7" s="185">
        <f>IF($AE$2=7,11,AS7)</f>
        <v>0</v>
      </c>
      <c r="AS7" s="185">
        <f>IF($AE$2=8,12,AT7)</f>
        <v>0</v>
      </c>
      <c r="AT7" s="185">
        <f>IF($AE$2=9,1,AU7)</f>
        <v>0</v>
      </c>
      <c r="AU7" s="185">
        <f>IF($AE$2=10,2,AV7)</f>
        <v>0</v>
      </c>
      <c r="AV7" s="185">
        <f>IF($AE$2=11,3,AW7)</f>
        <v>0</v>
      </c>
      <c r="AW7" s="243">
        <f>IF($AE$2=12,4,AX7)</f>
        <v>0</v>
      </c>
      <c r="BJ7" s="190">
        <f aca="true" t="shared" si="26" ref="BJ7:BJ29">1+BJ6</f>
        <v>14</v>
      </c>
      <c r="BK7" s="226">
        <f t="shared" si="7"/>
        <v>1</v>
      </c>
      <c r="BL7" s="175">
        <f t="shared" si="8"/>
        <v>3</v>
      </c>
      <c r="BM7" s="175">
        <f t="shared" si="9"/>
      </c>
      <c r="BN7" s="175">
        <f aca="true" t="shared" si="27" ref="BN7:BN29">1+BN6</f>
        <v>4</v>
      </c>
      <c r="BO7" s="175">
        <f t="shared" si="10"/>
      </c>
      <c r="BP7" s="175">
        <f t="shared" si="11"/>
        <v>5</v>
      </c>
      <c r="BQ7" s="175">
        <f t="shared" si="12"/>
      </c>
      <c r="BR7" s="175">
        <f t="shared" si="13"/>
        <v>6</v>
      </c>
      <c r="BS7" s="175">
        <f t="shared" si="14"/>
      </c>
      <c r="BT7" s="175">
        <f t="shared" si="15"/>
        <v>7</v>
      </c>
      <c r="BU7" s="175">
        <f t="shared" si="16"/>
      </c>
      <c r="BV7" s="175">
        <f t="shared" si="17"/>
        <v>8</v>
      </c>
      <c r="BW7" s="175">
        <f t="shared" si="18"/>
      </c>
      <c r="BX7" s="175">
        <f t="shared" si="19"/>
        <v>9</v>
      </c>
      <c r="BY7" s="175">
        <f t="shared" si="20"/>
      </c>
      <c r="BZ7" s="175">
        <f aca="true" t="shared" si="28" ref="BZ7:BZ29">1+BZ6</f>
        <v>10</v>
      </c>
      <c r="CA7" s="175">
        <f t="shared" si="21"/>
      </c>
      <c r="CB7" s="175">
        <f aca="true" t="shared" si="29" ref="CB7:CB29">1+CB6</f>
        <v>11</v>
      </c>
      <c r="CC7" s="175">
        <f t="shared" si="22"/>
      </c>
      <c r="CD7" s="175">
        <f>1+CD6</f>
        <v>12</v>
      </c>
      <c r="CE7" s="175">
        <f t="shared" si="23"/>
      </c>
      <c r="CF7" s="175">
        <v>1</v>
      </c>
      <c r="CG7" s="175">
        <f t="shared" si="24"/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65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>
        <f t="shared" si="25"/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39084</v>
      </c>
      <c r="AA8" s="45">
        <v>5</v>
      </c>
      <c r="AC8" s="30">
        <f t="shared" si="5"/>
        <v>2005</v>
      </c>
      <c r="AD8" s="209">
        <f t="shared" si="0"/>
        <v>2</v>
      </c>
      <c r="AE8" s="28">
        <f t="shared" si="6"/>
        <v>9</v>
      </c>
      <c r="AF8" s="205">
        <f t="shared" si="1"/>
        <v>2005</v>
      </c>
      <c r="AG8" s="28" t="str">
        <f t="shared" si="2"/>
        <v>2</v>
      </c>
      <c r="AH8" s="28" t="str">
        <f t="shared" si="2"/>
        <v>9</v>
      </c>
      <c r="AI8" s="28" t="str">
        <f t="shared" si="2"/>
        <v>2005</v>
      </c>
      <c r="AJ8" s="207" t="str">
        <f t="shared" si="3"/>
        <v>2-9-2005</v>
      </c>
      <c r="AK8" s="210"/>
      <c r="AL8" s="242">
        <f>IF($AE$2=1,9,AM8)</f>
        <v>9</v>
      </c>
      <c r="AM8" s="185">
        <f>IF($AE$2=2,10,AN8)</f>
        <v>0</v>
      </c>
      <c r="AN8" s="185">
        <f>IF($AE$2=3,11,AO8)</f>
        <v>0</v>
      </c>
      <c r="AO8" s="185">
        <f>IF($AE$2=4,12,AP8)</f>
        <v>0</v>
      </c>
      <c r="AP8" s="185">
        <f>IF($AE$2=5,1,AQ8)</f>
        <v>0</v>
      </c>
      <c r="AQ8" s="185">
        <f>IF($AE$2=6,2,AR8)</f>
        <v>0</v>
      </c>
      <c r="AR8" s="185">
        <f>IF($AE$2=7,3,AS8)</f>
        <v>0</v>
      </c>
      <c r="AS8" s="185">
        <f>IF($AE$2=8,4,AT8)</f>
        <v>0</v>
      </c>
      <c r="AT8" s="185">
        <f>IF($AE$2=9,5,AU8)</f>
        <v>0</v>
      </c>
      <c r="AU8" s="185">
        <f>IF($AE$2=10,6,AV8)</f>
        <v>0</v>
      </c>
      <c r="AV8" s="185">
        <f>IF($AE$2=11,7,AW8)</f>
        <v>0</v>
      </c>
      <c r="AW8" s="243">
        <f>IF($AE$2=12,8,AX8)</f>
        <v>0</v>
      </c>
      <c r="BJ8" s="190">
        <f t="shared" si="26"/>
        <v>15</v>
      </c>
      <c r="BK8" s="226">
        <f t="shared" si="7"/>
        <v>1</v>
      </c>
      <c r="BL8" s="175">
        <f t="shared" si="8"/>
        <v>4</v>
      </c>
      <c r="BM8" s="175">
        <f t="shared" si="9"/>
      </c>
      <c r="BN8" s="175">
        <f t="shared" si="27"/>
        <v>5</v>
      </c>
      <c r="BO8" s="175">
        <f t="shared" si="10"/>
      </c>
      <c r="BP8" s="175">
        <f t="shared" si="11"/>
        <v>6</v>
      </c>
      <c r="BQ8" s="175">
        <f t="shared" si="12"/>
      </c>
      <c r="BR8" s="175">
        <f t="shared" si="13"/>
        <v>7</v>
      </c>
      <c r="BS8" s="175">
        <f t="shared" si="14"/>
      </c>
      <c r="BT8" s="175">
        <f t="shared" si="15"/>
        <v>8</v>
      </c>
      <c r="BU8" s="175">
        <f t="shared" si="16"/>
      </c>
      <c r="BV8" s="175">
        <f t="shared" si="17"/>
        <v>9</v>
      </c>
      <c r="BW8" s="175">
        <f t="shared" si="18"/>
      </c>
      <c r="BX8" s="175">
        <f t="shared" si="19"/>
        <v>10</v>
      </c>
      <c r="BY8" s="175">
        <f t="shared" si="20"/>
      </c>
      <c r="BZ8" s="175">
        <f t="shared" si="28"/>
        <v>11</v>
      </c>
      <c r="CA8" s="175">
        <f t="shared" si="21"/>
      </c>
      <c r="CB8" s="175">
        <f t="shared" si="29"/>
        <v>12</v>
      </c>
      <c r="CC8" s="175">
        <f t="shared" si="22"/>
      </c>
      <c r="CD8" s="175">
        <v>1</v>
      </c>
      <c r="CE8" s="175">
        <f t="shared" si="23"/>
      </c>
      <c r="CF8" s="175">
        <f aca="true" t="shared" si="31" ref="CF8:CF29">1+CF7</f>
        <v>2</v>
      </c>
      <c r="CG8" s="175">
        <f t="shared" si="24"/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659925</v>
      </c>
      <c r="G9" s="66"/>
      <c r="H9" s="67"/>
      <c r="I9" s="67"/>
      <c r="J9" s="271" t="s">
        <v>45</v>
      </c>
      <c r="K9" s="272"/>
      <c r="L9" s="273"/>
      <c r="M9" s="233"/>
      <c r="N9" s="233"/>
      <c r="O9" s="233"/>
      <c r="Q9" s="220"/>
      <c r="R9" s="220"/>
      <c r="S9" s="220"/>
      <c r="T9" s="220">
        <f t="shared" si="25"/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39084</v>
      </c>
      <c r="AA9" s="45">
        <v>6</v>
      </c>
      <c r="AC9" s="30">
        <f>IF(AE8+4&lt;=12,AC8,AC8+1)</f>
        <v>2006</v>
      </c>
      <c r="AD9" s="209">
        <f t="shared" si="0"/>
        <v>2</v>
      </c>
      <c r="AE9" s="28">
        <f t="shared" si="6"/>
        <v>1</v>
      </c>
      <c r="AF9" s="205">
        <f t="shared" si="1"/>
        <v>2005</v>
      </c>
      <c r="AG9" s="28" t="str">
        <f t="shared" si="2"/>
        <v>2</v>
      </c>
      <c r="AH9" s="28" t="str">
        <f t="shared" si="2"/>
        <v>1</v>
      </c>
      <c r="AI9" s="28" t="str">
        <f t="shared" si="2"/>
        <v>2005</v>
      </c>
      <c r="AJ9" s="207" t="str">
        <f t="shared" si="3"/>
        <v>2-1-2006</v>
      </c>
      <c r="AK9" s="210"/>
      <c r="AL9" s="242">
        <f>IF($AE$2=1,1,AM9)</f>
        <v>1</v>
      </c>
      <c r="AM9" s="185">
        <f>IF($AE$2=2,2,AN9)</f>
        <v>0</v>
      </c>
      <c r="AN9" s="185">
        <f>IF($AE$2=3,3,AO9)</f>
        <v>0</v>
      </c>
      <c r="AO9" s="185">
        <f>IF($AE$2=4,4,AP9)</f>
        <v>0</v>
      </c>
      <c r="AP9" s="185">
        <f>IF($AE$2=5,5,AQ9)</f>
        <v>0</v>
      </c>
      <c r="AQ9" s="185">
        <f>IF($AE$2=6,6,AR9)</f>
        <v>0</v>
      </c>
      <c r="AR9" s="185">
        <f>IF($AE$2=7,7,AS9)</f>
        <v>0</v>
      </c>
      <c r="AS9" s="185">
        <f>IF($AE$2=8,8,AT9)</f>
        <v>0</v>
      </c>
      <c r="AT9" s="185">
        <f>IF($AE$2=9,9,AU9)</f>
        <v>0</v>
      </c>
      <c r="AU9" s="185">
        <f>IF($AE$2=10,10,AV9)</f>
        <v>0</v>
      </c>
      <c r="AV9" s="185">
        <f>IF($AE$2=11,11,AW9)</f>
        <v>0</v>
      </c>
      <c r="AW9" s="243">
        <f>IF($AE$2=12,12,AX10)</f>
        <v>0</v>
      </c>
      <c r="BJ9" s="190">
        <f t="shared" si="26"/>
        <v>16</v>
      </c>
      <c r="BK9" s="226">
        <f t="shared" si="7"/>
        <v>1</v>
      </c>
      <c r="BL9" s="175">
        <f t="shared" si="8"/>
        <v>5</v>
      </c>
      <c r="BM9" s="175">
        <f t="shared" si="9"/>
      </c>
      <c r="BN9" s="175">
        <f t="shared" si="27"/>
        <v>6</v>
      </c>
      <c r="BO9" s="175">
        <f t="shared" si="10"/>
      </c>
      <c r="BP9" s="175">
        <f t="shared" si="11"/>
        <v>7</v>
      </c>
      <c r="BQ9" s="175">
        <f t="shared" si="12"/>
      </c>
      <c r="BR9" s="175">
        <f t="shared" si="13"/>
        <v>8</v>
      </c>
      <c r="BS9" s="175">
        <f t="shared" si="14"/>
      </c>
      <c r="BT9" s="175">
        <f t="shared" si="15"/>
        <v>9</v>
      </c>
      <c r="BU9" s="175">
        <f t="shared" si="16"/>
      </c>
      <c r="BV9" s="175">
        <f t="shared" si="17"/>
        <v>10</v>
      </c>
      <c r="BW9" s="175">
        <f t="shared" si="18"/>
      </c>
      <c r="BX9" s="175">
        <f t="shared" si="19"/>
        <v>11</v>
      </c>
      <c r="BY9" s="175">
        <f t="shared" si="20"/>
      </c>
      <c r="BZ9" s="175">
        <f t="shared" si="28"/>
        <v>12</v>
      </c>
      <c r="CA9" s="175">
        <f t="shared" si="21"/>
      </c>
      <c r="CB9" s="175">
        <v>1</v>
      </c>
      <c r="CC9" s="175">
        <f t="shared" si="22"/>
      </c>
      <c r="CD9" s="175">
        <f aca="true" t="shared" si="32" ref="CD9:CD19">1+CD8</f>
        <v>2</v>
      </c>
      <c r="CE9" s="175">
        <f t="shared" si="23"/>
      </c>
      <c r="CF9" s="175">
        <f t="shared" si="31"/>
        <v>3</v>
      </c>
      <c r="CG9" s="175">
        <f t="shared" si="24"/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221500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38109</v>
      </c>
      <c r="M10" s="234"/>
      <c r="N10" s="234"/>
      <c r="O10" s="234"/>
      <c r="Q10" s="220"/>
      <c r="R10" s="220"/>
      <c r="S10" s="220"/>
      <c r="T10" s="220">
        <f t="shared" si="25"/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39084</v>
      </c>
      <c r="AA10" s="45">
        <v>7</v>
      </c>
      <c r="AC10" s="30">
        <f t="shared" si="5"/>
        <v>2006</v>
      </c>
      <c r="AD10" s="209">
        <f t="shared" si="0"/>
        <v>2</v>
      </c>
      <c r="AE10" s="28">
        <f t="shared" si="6"/>
        <v>5</v>
      </c>
      <c r="AF10" s="205">
        <f t="shared" si="1"/>
        <v>2005</v>
      </c>
      <c r="AG10" s="28" t="str">
        <f t="shared" si="2"/>
        <v>2</v>
      </c>
      <c r="AH10" s="28" t="str">
        <f t="shared" si="2"/>
        <v>5</v>
      </c>
      <c r="AI10" s="28" t="str">
        <f t="shared" si="2"/>
        <v>2005</v>
      </c>
      <c r="AJ10" s="207" t="str">
        <f t="shared" si="3"/>
        <v>2-5-2006</v>
      </c>
      <c r="AK10" s="210"/>
      <c r="AL10" s="242">
        <f>IF($AE$2=1,5,AM10)</f>
        <v>5</v>
      </c>
      <c r="AM10" s="185">
        <f>IF($AE$2=2,6,AN10)</f>
        <v>0</v>
      </c>
      <c r="AN10" s="185">
        <f>IF($AE$2=3,7,AO10)</f>
        <v>0</v>
      </c>
      <c r="AO10" s="185">
        <f>IF($AE$2=4,8,AP10)</f>
        <v>0</v>
      </c>
      <c r="AP10" s="185">
        <f>IF($AE$2=5,9,AQ10)</f>
        <v>0</v>
      </c>
      <c r="AQ10" s="185">
        <f>IF($AE$2=6,10,AR10)</f>
        <v>0</v>
      </c>
      <c r="AR10" s="185">
        <f>IF($AE$2=7,11,AS10)</f>
        <v>0</v>
      </c>
      <c r="AS10" s="185">
        <f>IF($AE$2=8,12,AT10)</f>
        <v>0</v>
      </c>
      <c r="AT10" s="185">
        <f>IF($AE$2=9,1,AU10)</f>
        <v>0</v>
      </c>
      <c r="AU10" s="185">
        <f>IF($AE$2=10,2,AV10)</f>
        <v>0</v>
      </c>
      <c r="AV10" s="185">
        <f>IF($AE$2=11,3,AW10)</f>
        <v>0</v>
      </c>
      <c r="AW10" s="243">
        <f>IF($AE$2=12,4,AX11)</f>
        <v>0</v>
      </c>
      <c r="BJ10" s="190">
        <f t="shared" si="26"/>
        <v>17</v>
      </c>
      <c r="BK10" s="226">
        <f t="shared" si="7"/>
        <v>1</v>
      </c>
      <c r="BL10" s="175">
        <f t="shared" si="8"/>
        <v>6</v>
      </c>
      <c r="BM10" s="175">
        <f t="shared" si="9"/>
      </c>
      <c r="BN10" s="175">
        <f t="shared" si="27"/>
        <v>7</v>
      </c>
      <c r="BO10" s="175">
        <f t="shared" si="10"/>
      </c>
      <c r="BP10" s="175">
        <f t="shared" si="11"/>
        <v>8</v>
      </c>
      <c r="BQ10" s="175">
        <f t="shared" si="12"/>
      </c>
      <c r="BR10" s="175">
        <f t="shared" si="13"/>
        <v>9</v>
      </c>
      <c r="BS10" s="175">
        <f t="shared" si="14"/>
      </c>
      <c r="BT10" s="175">
        <f t="shared" si="15"/>
        <v>10</v>
      </c>
      <c r="BU10" s="175">
        <f t="shared" si="16"/>
      </c>
      <c r="BV10" s="175">
        <f t="shared" si="17"/>
        <v>11</v>
      </c>
      <c r="BW10" s="175">
        <f t="shared" si="18"/>
      </c>
      <c r="BX10" s="175">
        <f t="shared" si="19"/>
        <v>12</v>
      </c>
      <c r="BY10" s="175">
        <f t="shared" si="20"/>
      </c>
      <c r="BZ10" s="175">
        <v>1</v>
      </c>
      <c r="CA10" s="175">
        <f t="shared" si="21"/>
      </c>
      <c r="CB10" s="175">
        <f t="shared" si="29"/>
        <v>2</v>
      </c>
      <c r="CC10" s="175">
        <f t="shared" si="22"/>
      </c>
      <c r="CD10" s="175">
        <f t="shared" si="32"/>
        <v>3</v>
      </c>
      <c r="CE10" s="175">
        <f t="shared" si="23"/>
      </c>
      <c r="CF10" s="175">
        <f t="shared" si="31"/>
        <v>4</v>
      </c>
      <c r="CG10" s="175">
        <f t="shared" si="24"/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438425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38232</v>
      </c>
      <c r="M11" s="234"/>
      <c r="N11" s="234"/>
      <c r="O11" s="234"/>
      <c r="Q11" s="220"/>
      <c r="R11" s="220"/>
      <c r="S11" s="220"/>
      <c r="T11" s="220">
        <f t="shared" si="25"/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39084</v>
      </c>
      <c r="AA11" s="45">
        <v>8</v>
      </c>
      <c r="AC11" s="30">
        <f t="shared" si="5"/>
        <v>2006</v>
      </c>
      <c r="AD11" s="209">
        <f t="shared" si="0"/>
        <v>2</v>
      </c>
      <c r="AE11" s="28">
        <f t="shared" si="6"/>
        <v>9</v>
      </c>
      <c r="AF11" s="205">
        <f t="shared" si="1"/>
        <v>2005</v>
      </c>
      <c r="AG11" s="28" t="str">
        <f t="shared" si="2"/>
        <v>2</v>
      </c>
      <c r="AH11" s="28" t="str">
        <f t="shared" si="2"/>
        <v>9</v>
      </c>
      <c r="AI11" s="28" t="str">
        <f t="shared" si="2"/>
        <v>2005</v>
      </c>
      <c r="AJ11" s="207" t="str">
        <f t="shared" si="3"/>
        <v>2-9-2006</v>
      </c>
      <c r="AK11" s="210"/>
      <c r="AL11" s="242">
        <f>IF($AE$2=1,9,AM11)</f>
        <v>9</v>
      </c>
      <c r="AM11" s="185">
        <f>IF($AE$2=2,10,AN11)</f>
        <v>0</v>
      </c>
      <c r="AN11" s="185">
        <f>IF($AE$2=3,11,AO11)</f>
        <v>0</v>
      </c>
      <c r="AO11" s="185">
        <f>IF($AE$2=4,12,AP11)</f>
        <v>0</v>
      </c>
      <c r="AP11" s="185">
        <f>IF($AE$2=5,1,AQ11)</f>
        <v>0</v>
      </c>
      <c r="AQ11" s="185">
        <f>IF($AE$2=6,2,AR11)</f>
        <v>0</v>
      </c>
      <c r="AR11" s="185">
        <f>IF($AE$2=7,3,AS11)</f>
        <v>0</v>
      </c>
      <c r="AS11" s="185">
        <f>IF($AE$2=8,4,AT11)</f>
        <v>0</v>
      </c>
      <c r="AT11" s="185">
        <f>IF($AE$2=9,5,AU11)</f>
        <v>0</v>
      </c>
      <c r="AU11" s="185">
        <f>IF($AE$2=10,6,AV11)</f>
        <v>0</v>
      </c>
      <c r="AV11" s="185">
        <f>IF($AE$2=11,7,AW11)</f>
        <v>0</v>
      </c>
      <c r="AW11" s="243">
        <f>IF($AE$2=12,8,AX12)</f>
        <v>0</v>
      </c>
      <c r="BJ11" s="190">
        <f t="shared" si="26"/>
        <v>18</v>
      </c>
      <c r="BK11" s="226">
        <f t="shared" si="7"/>
        <v>1</v>
      </c>
      <c r="BL11" s="175">
        <f t="shared" si="8"/>
        <v>7</v>
      </c>
      <c r="BM11" s="175">
        <f t="shared" si="9"/>
      </c>
      <c r="BN11" s="175">
        <f t="shared" si="27"/>
        <v>8</v>
      </c>
      <c r="BO11" s="175">
        <f t="shared" si="10"/>
      </c>
      <c r="BP11" s="175">
        <f t="shared" si="11"/>
        <v>9</v>
      </c>
      <c r="BQ11" s="175">
        <f t="shared" si="12"/>
      </c>
      <c r="BR11" s="175">
        <f t="shared" si="13"/>
        <v>10</v>
      </c>
      <c r="BS11" s="175">
        <f t="shared" si="14"/>
      </c>
      <c r="BT11" s="175">
        <f t="shared" si="15"/>
        <v>11</v>
      </c>
      <c r="BU11" s="175">
        <f t="shared" si="16"/>
      </c>
      <c r="BV11" s="175">
        <f t="shared" si="17"/>
        <v>12</v>
      </c>
      <c r="BW11" s="175">
        <f t="shared" si="18"/>
      </c>
      <c r="BX11" s="175">
        <v>1</v>
      </c>
      <c r="BY11" s="175">
        <f t="shared" si="20"/>
      </c>
      <c r="BZ11" s="175">
        <f t="shared" si="28"/>
        <v>2</v>
      </c>
      <c r="CA11" s="175">
        <f t="shared" si="21"/>
      </c>
      <c r="CB11" s="175">
        <f t="shared" si="29"/>
        <v>3</v>
      </c>
      <c r="CC11" s="175">
        <f t="shared" si="22"/>
      </c>
      <c r="CD11" s="175">
        <f t="shared" si="32"/>
        <v>4</v>
      </c>
      <c r="CE11" s="175">
        <f t="shared" si="23"/>
      </c>
      <c r="CF11" s="175">
        <f t="shared" si="31"/>
        <v>5</v>
      </c>
      <c r="CG11" s="175">
        <f t="shared" si="24"/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87685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38354</v>
      </c>
      <c r="M12" s="234"/>
      <c r="N12" s="234"/>
      <c r="O12" s="234"/>
      <c r="Q12" s="220"/>
      <c r="R12" s="220"/>
      <c r="S12" s="220"/>
      <c r="T12" s="220">
        <f t="shared" si="25"/>
      </c>
      <c r="U12" s="220">
        <v>6</v>
      </c>
      <c r="V12" s="220" t="s">
        <v>66</v>
      </c>
      <c r="X12" s="213"/>
      <c r="Y12" s="213"/>
      <c r="Z12" s="204">
        <f>IF(INT($AA$3)=AA12,VALUE(AJ12),"")</f>
        <v>39084</v>
      </c>
      <c r="AA12" s="45">
        <v>9</v>
      </c>
      <c r="AC12" s="30">
        <f t="shared" si="5"/>
        <v>2007</v>
      </c>
      <c r="AD12" s="214">
        <f t="shared" si="0"/>
        <v>2</v>
      </c>
      <c r="AE12" s="215">
        <f t="shared" si="6"/>
        <v>1</v>
      </c>
      <c r="AF12" s="205">
        <f t="shared" si="1"/>
        <v>2005</v>
      </c>
      <c r="AG12" s="215" t="str">
        <f t="shared" si="2"/>
        <v>2</v>
      </c>
      <c r="AH12" s="215" t="str">
        <f t="shared" si="2"/>
        <v>1</v>
      </c>
      <c r="AI12" s="215" t="str">
        <f t="shared" si="2"/>
        <v>2005</v>
      </c>
      <c r="AJ12" s="207" t="str">
        <f t="shared" si="3"/>
        <v>2-1-2007</v>
      </c>
      <c r="AK12" s="216"/>
      <c r="AL12" s="244">
        <f>IF($AE$2=1,1,AM12)</f>
        <v>1</v>
      </c>
      <c r="AM12" s="245">
        <f>IF($AE$2=2,2,AN12)</f>
        <v>0</v>
      </c>
      <c r="AN12" s="245">
        <f>IF($AE$2=3,3,AO12)</f>
        <v>0</v>
      </c>
      <c r="AO12" s="245">
        <f>IF($AE$2=4,4,AP12)</f>
        <v>0</v>
      </c>
      <c r="AP12" s="245">
        <f>IF($AE$2=5,5,AQ12)</f>
        <v>0</v>
      </c>
      <c r="AQ12" s="245">
        <f>IF($AE$2=6,6,AR12)</f>
        <v>0</v>
      </c>
      <c r="AR12" s="245">
        <f>IF($AE$2=7,7,AS12)</f>
        <v>0</v>
      </c>
      <c r="AS12" s="245">
        <f>IF($AE$2=8,8,AT12)</f>
        <v>0</v>
      </c>
      <c r="AT12" s="245">
        <f>IF($AE$2=9,9,AU12)</f>
        <v>0</v>
      </c>
      <c r="AU12" s="245">
        <f>IF($AE$2=10,10,AV12)</f>
        <v>0</v>
      </c>
      <c r="AV12" s="245">
        <f>IF($AE$2=11,11,AW12)</f>
        <v>0</v>
      </c>
      <c r="AW12" s="246">
        <f>IF($AE$2=12,12,AX13)</f>
        <v>0</v>
      </c>
      <c r="BJ12" s="190">
        <f t="shared" si="26"/>
        <v>19</v>
      </c>
      <c r="BK12" s="226">
        <f t="shared" si="7"/>
        <v>1</v>
      </c>
      <c r="BL12" s="175">
        <f t="shared" si="8"/>
        <v>8</v>
      </c>
      <c r="BM12" s="175">
        <f t="shared" si="9"/>
      </c>
      <c r="BN12" s="175">
        <f t="shared" si="27"/>
        <v>9</v>
      </c>
      <c r="BO12" s="175">
        <f t="shared" si="10"/>
      </c>
      <c r="BP12" s="175">
        <f t="shared" si="11"/>
        <v>10</v>
      </c>
      <c r="BQ12" s="175">
        <f t="shared" si="12"/>
      </c>
      <c r="BR12" s="175">
        <f t="shared" si="13"/>
        <v>11</v>
      </c>
      <c r="BS12" s="175">
        <f t="shared" si="14"/>
      </c>
      <c r="BT12" s="175">
        <f t="shared" si="15"/>
        <v>12</v>
      </c>
      <c r="BU12" s="175">
        <f t="shared" si="16"/>
      </c>
      <c r="BV12" s="175">
        <v>1</v>
      </c>
      <c r="BW12" s="175">
        <f t="shared" si="18"/>
      </c>
      <c r="BX12" s="175">
        <f t="shared" si="19"/>
        <v>2</v>
      </c>
      <c r="BY12" s="175">
        <f t="shared" si="20"/>
      </c>
      <c r="BZ12" s="175">
        <f t="shared" si="28"/>
        <v>3</v>
      </c>
      <c r="CA12" s="175">
        <f t="shared" si="21"/>
      </c>
      <c r="CB12" s="175">
        <f t="shared" si="29"/>
        <v>4</v>
      </c>
      <c r="CC12" s="175">
        <f t="shared" si="22"/>
      </c>
      <c r="CD12" s="175">
        <f t="shared" si="32"/>
        <v>5</v>
      </c>
      <c r="CE12" s="175">
        <f t="shared" si="23"/>
      </c>
      <c r="CF12" s="175">
        <f t="shared" si="31"/>
        <v>6</v>
      </c>
      <c r="CG12" s="175">
        <f t="shared" si="24"/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747610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38474</v>
      </c>
      <c r="M13" s="234"/>
      <c r="N13" s="234"/>
      <c r="O13" s="234"/>
      <c r="Q13" s="220"/>
      <c r="R13" s="220"/>
      <c r="S13" s="220"/>
      <c r="T13" s="220">
        <f t="shared" si="25"/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</v>
      </c>
      <c r="BL13" s="175">
        <f t="shared" si="8"/>
        <v>9</v>
      </c>
      <c r="BM13" s="175">
        <f t="shared" si="9"/>
      </c>
      <c r="BN13" s="175">
        <f t="shared" si="27"/>
        <v>10</v>
      </c>
      <c r="BO13" s="175">
        <f t="shared" si="10"/>
      </c>
      <c r="BP13" s="175">
        <f t="shared" si="11"/>
        <v>11</v>
      </c>
      <c r="BQ13" s="175">
        <f t="shared" si="12"/>
      </c>
      <c r="BR13" s="175">
        <f t="shared" si="13"/>
        <v>12</v>
      </c>
      <c r="BS13" s="175">
        <f t="shared" si="14"/>
      </c>
      <c r="BT13" s="175">
        <v>1</v>
      </c>
      <c r="BU13" s="175">
        <f t="shared" si="16"/>
      </c>
      <c r="BV13" s="175">
        <f t="shared" si="17"/>
        <v>2</v>
      </c>
      <c r="BW13" s="175">
        <f t="shared" si="18"/>
      </c>
      <c r="BX13" s="175">
        <f t="shared" si="19"/>
        <v>3</v>
      </c>
      <c r="BY13" s="175">
        <f t="shared" si="20"/>
      </c>
      <c r="BZ13" s="175">
        <f t="shared" si="28"/>
        <v>4</v>
      </c>
      <c r="CA13" s="175">
        <f t="shared" si="21"/>
      </c>
      <c r="CB13" s="175">
        <f t="shared" si="29"/>
        <v>5</v>
      </c>
      <c r="CC13" s="175">
        <f t="shared" si="22"/>
      </c>
      <c r="CD13" s="175">
        <f t="shared" si="32"/>
        <v>6</v>
      </c>
      <c r="CE13" s="175">
        <f t="shared" si="23"/>
      </c>
      <c r="CF13" s="175">
        <f t="shared" si="31"/>
        <v>7</v>
      </c>
      <c r="CG13" s="175">
        <f t="shared" si="24"/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485946.5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38597</v>
      </c>
      <c r="M14" s="234"/>
      <c r="N14" s="234"/>
      <c r="O14" s="234"/>
      <c r="Q14" s="220"/>
      <c r="R14" s="220"/>
      <c r="S14" s="220"/>
      <c r="T14" s="220">
        <f t="shared" si="25"/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2-5-2004</v>
      </c>
      <c r="AE14" s="248" t="str">
        <f>IF(AND(AD4=30,AE4=2),TEXT(1,0)&amp;"-"&amp;TEXT(3,0)&amp;"-"&amp;AC4,AF14)</f>
        <v>2-5-2004</v>
      </c>
      <c r="AF14" s="248" t="str">
        <f>IF(AND(AD4=31,AE4=2),TEXT(1,0)&amp;"-"&amp;TEXT(3,0)&amp;"-"&amp;AC4,AG14)</f>
        <v>2-5-2004</v>
      </c>
      <c r="AG14" s="248" t="str">
        <f>IF(AND(AD4=31,AE4=4),TEXT(1,0)&amp;"-"&amp;TEXT(5,0)&amp;"-"&amp;AC4,AH14)</f>
        <v>2-5-2004</v>
      </c>
      <c r="AH14" s="248" t="str">
        <f>IF(AND(AD4=31,AE4=6),TEXT(1,0)&amp;"-"&amp;TEXT(7,0)&amp;"-"&amp;AC4,AI14)</f>
        <v>2-5-2004</v>
      </c>
      <c r="AI14" s="248" t="str">
        <f>IF(AND(AD4=31,AE4=9),TEXT(1,0)&amp;"-"&amp;TEXT(10,0)&amp;"-"&amp;AC4,AJ14)</f>
        <v>2-5-2004</v>
      </c>
      <c r="AJ14" s="249" t="str">
        <f>IF(AND(AD4=31,AE4=11),TEXT(1,0)&amp;"-"&amp;TEXT(12,0)&amp;"-"&amp;AC4,+AG4&amp;"-"&amp;+AH4&amp;"-"&amp;AC4)</f>
        <v>2-5-2004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</v>
      </c>
      <c r="BL14" s="175">
        <f t="shared" si="8"/>
        <v>10</v>
      </c>
      <c r="BM14" s="175">
        <f t="shared" si="9"/>
      </c>
      <c r="BN14" s="175">
        <f t="shared" si="27"/>
        <v>11</v>
      </c>
      <c r="BO14" s="175">
        <f t="shared" si="10"/>
      </c>
      <c r="BP14" s="175">
        <f t="shared" si="11"/>
        <v>12</v>
      </c>
      <c r="BQ14" s="175">
        <f t="shared" si="12"/>
      </c>
      <c r="BR14" s="175">
        <v>1</v>
      </c>
      <c r="BS14" s="175">
        <f t="shared" si="14"/>
      </c>
      <c r="BT14" s="175">
        <f t="shared" si="15"/>
        <v>2</v>
      </c>
      <c r="BU14" s="175">
        <f t="shared" si="16"/>
      </c>
      <c r="BV14" s="175">
        <f t="shared" si="17"/>
        <v>3</v>
      </c>
      <c r="BW14" s="175">
        <f t="shared" si="18"/>
      </c>
      <c r="BX14" s="175">
        <f t="shared" si="19"/>
        <v>4</v>
      </c>
      <c r="BY14" s="175">
        <f t="shared" si="20"/>
      </c>
      <c r="BZ14" s="175">
        <f t="shared" si="28"/>
        <v>5</v>
      </c>
      <c r="CA14" s="175">
        <f t="shared" si="21"/>
      </c>
      <c r="CB14" s="175">
        <f t="shared" si="29"/>
        <v>6</v>
      </c>
      <c r="CC14" s="175">
        <f t="shared" si="22"/>
      </c>
      <c r="CD14" s="175">
        <f t="shared" si="32"/>
        <v>7</v>
      </c>
      <c r="CE14" s="175">
        <f t="shared" si="23"/>
      </c>
      <c r="CF14" s="175">
        <f t="shared" si="31"/>
        <v>8</v>
      </c>
      <c r="CG14" s="175">
        <f t="shared" si="24"/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261663.5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38719</v>
      </c>
      <c r="M15" s="234"/>
      <c r="N15" s="234"/>
      <c r="O15" s="234"/>
      <c r="Q15" s="220"/>
      <c r="R15" s="220"/>
      <c r="S15" s="220"/>
      <c r="T15" s="220">
        <f t="shared" si="25"/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2-9-2004</v>
      </c>
      <c r="AE15" s="251" t="str">
        <f aca="true" t="shared" si="34" ref="AE15:AE22">IF(AND(AD5=30,AE5=2),TEXT(1,0)&amp;"-"&amp;TEXT(3,0)&amp;"-"&amp;AC5,AF15)</f>
        <v>2-9-2004</v>
      </c>
      <c r="AF15" s="251" t="str">
        <f aca="true" t="shared" si="35" ref="AF15:AF22">IF(AND(AD5=31,AE5=2),TEXT(1,0)&amp;"-"&amp;TEXT(3,0)&amp;"-"&amp;AC5,AG15)</f>
        <v>2-9-2004</v>
      </c>
      <c r="AG15" s="251" t="str">
        <f aca="true" t="shared" si="36" ref="AG15:AG22">IF(AND(AD5=31,AE5=4),TEXT(1,0)&amp;"-"&amp;TEXT(5,0)&amp;"-"&amp;AC5,AH15)</f>
        <v>2-9-2004</v>
      </c>
      <c r="AH15" s="251" t="str">
        <f aca="true" t="shared" si="37" ref="AH15:AH22">IF(AND(AD5=31,AE5=6),TEXT(1,0)&amp;"-"&amp;TEXT(7,0)&amp;"-"&amp;AC5,AI15)</f>
        <v>2-9-2004</v>
      </c>
      <c r="AI15" s="251" t="str">
        <f aca="true" t="shared" si="38" ref="AI15:AI22">IF(AND(AD5=31,AE5=9),TEXT(1,0)&amp;"-"&amp;TEXT(10,0)&amp;"-"&amp;AC5,AJ15)</f>
        <v>2-9-2004</v>
      </c>
      <c r="AJ15" s="252" t="str">
        <f aca="true" t="shared" si="39" ref="AJ15:AJ22">IF(AND(AD5=31,AE5=11),TEXT(1,0)&amp;"-"&amp;TEXT(12,0)&amp;"-"&amp;AC5,+AG5&amp;"-"&amp;+AH5&amp;"-"&amp;AC5)</f>
        <v>2-9-2004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</v>
      </c>
      <c r="BL15" s="175">
        <f t="shared" si="8"/>
        <v>11</v>
      </c>
      <c r="BM15" s="175">
        <f t="shared" si="9"/>
      </c>
      <c r="BN15" s="175">
        <f t="shared" si="27"/>
        <v>12</v>
      </c>
      <c r="BO15" s="175">
        <f t="shared" si="10"/>
      </c>
      <c r="BP15" s="175">
        <v>1</v>
      </c>
      <c r="BQ15" s="175">
        <f t="shared" si="12"/>
      </c>
      <c r="BR15" s="175">
        <f t="shared" si="13"/>
        <v>2</v>
      </c>
      <c r="BS15" s="175">
        <f t="shared" si="14"/>
      </c>
      <c r="BT15" s="175">
        <f t="shared" si="15"/>
        <v>3</v>
      </c>
      <c r="BU15" s="175">
        <f t="shared" si="16"/>
      </c>
      <c r="BV15" s="175">
        <f t="shared" si="17"/>
        <v>4</v>
      </c>
      <c r="BW15" s="175">
        <f t="shared" si="18"/>
      </c>
      <c r="BX15" s="175">
        <f t="shared" si="19"/>
        <v>5</v>
      </c>
      <c r="BY15" s="175">
        <f t="shared" si="20"/>
      </c>
      <c r="BZ15" s="175">
        <f t="shared" si="28"/>
        <v>6</v>
      </c>
      <c r="CA15" s="175">
        <f t="shared" si="21"/>
      </c>
      <c r="CB15" s="175">
        <f t="shared" si="29"/>
        <v>7</v>
      </c>
      <c r="CC15" s="175">
        <f t="shared" si="22"/>
      </c>
      <c r="CD15" s="175">
        <f t="shared" si="32"/>
        <v>8</v>
      </c>
      <c r="CE15" s="175">
        <f t="shared" si="23"/>
      </c>
      <c r="CF15" s="175">
        <f t="shared" si="31"/>
        <v>9</v>
      </c>
      <c r="CG15" s="175">
        <f t="shared" si="24"/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145783.94999999998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38839</v>
      </c>
      <c r="M16" s="234"/>
      <c r="N16" s="234"/>
      <c r="O16" s="234"/>
      <c r="Q16" s="220"/>
      <c r="R16" s="220"/>
      <c r="S16" s="220"/>
      <c r="T16" s="220">
        <f t="shared" si="25"/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2-1-2005</v>
      </c>
      <c r="AE16" s="251" t="str">
        <f t="shared" si="34"/>
        <v>2-1-2005</v>
      </c>
      <c r="AF16" s="251" t="str">
        <f t="shared" si="35"/>
        <v>2-1-2005</v>
      </c>
      <c r="AG16" s="251" t="str">
        <f t="shared" si="36"/>
        <v>2-1-2005</v>
      </c>
      <c r="AH16" s="251" t="str">
        <f t="shared" si="37"/>
        <v>2-1-2005</v>
      </c>
      <c r="AI16" s="251" t="str">
        <f t="shared" si="38"/>
        <v>2-1-2005</v>
      </c>
      <c r="AJ16" s="252" t="str">
        <f t="shared" si="39"/>
        <v>2-1-2005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</v>
      </c>
      <c r="BL16" s="175">
        <f t="shared" si="8"/>
        <v>12</v>
      </c>
      <c r="BM16" s="175">
        <f t="shared" si="9"/>
      </c>
      <c r="BN16" s="175">
        <v>1</v>
      </c>
      <c r="BO16" s="175">
        <f t="shared" si="10"/>
      </c>
      <c r="BP16" s="175">
        <f t="shared" si="11"/>
        <v>2</v>
      </c>
      <c r="BQ16" s="175">
        <f t="shared" si="12"/>
      </c>
      <c r="BR16" s="175">
        <f t="shared" si="13"/>
        <v>3</v>
      </c>
      <c r="BS16" s="175">
        <f t="shared" si="14"/>
      </c>
      <c r="BT16" s="175">
        <f t="shared" si="15"/>
        <v>4</v>
      </c>
      <c r="BU16" s="175">
        <f t="shared" si="16"/>
      </c>
      <c r="BV16" s="175">
        <f t="shared" si="17"/>
        <v>5</v>
      </c>
      <c r="BW16" s="175">
        <f t="shared" si="18"/>
      </c>
      <c r="BX16" s="175">
        <f t="shared" si="19"/>
        <v>6</v>
      </c>
      <c r="BY16" s="175">
        <f t="shared" si="20"/>
      </c>
      <c r="BZ16" s="175">
        <f t="shared" si="28"/>
        <v>7</v>
      </c>
      <c r="CA16" s="175">
        <f t="shared" si="21"/>
      </c>
      <c r="CB16" s="175">
        <f t="shared" si="29"/>
        <v>8</v>
      </c>
      <c r="CC16" s="175">
        <f t="shared" si="22"/>
      </c>
      <c r="CD16" s="175">
        <f t="shared" si="32"/>
        <v>9</v>
      </c>
      <c r="CE16" s="175">
        <f t="shared" si="23"/>
      </c>
      <c r="CF16" s="175">
        <f t="shared" si="31"/>
        <v>10</v>
      </c>
      <c r="CG16" s="175">
        <f t="shared" si="24"/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242973.25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38962</v>
      </c>
      <c r="M17" s="234"/>
      <c r="N17" s="234"/>
      <c r="O17" s="234"/>
      <c r="Q17" s="220"/>
      <c r="R17" s="220"/>
      <c r="S17" s="220"/>
      <c r="T17" s="220">
        <f t="shared" si="25"/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2-5-2005</v>
      </c>
      <c r="AE17" s="251" t="str">
        <f t="shared" si="34"/>
        <v>2-5-2005</v>
      </c>
      <c r="AF17" s="251" t="str">
        <f t="shared" si="35"/>
        <v>2-5-2005</v>
      </c>
      <c r="AG17" s="251" t="str">
        <f t="shared" si="36"/>
        <v>2-5-2005</v>
      </c>
      <c r="AH17" s="251" t="str">
        <f t="shared" si="37"/>
        <v>2-5-2005</v>
      </c>
      <c r="AI17" s="251" t="str">
        <f t="shared" si="38"/>
        <v>2-5-2005</v>
      </c>
      <c r="AJ17" s="252" t="str">
        <f t="shared" si="39"/>
        <v>2-5-2005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</v>
      </c>
      <c r="BL17" s="175">
        <v>1</v>
      </c>
      <c r="BM17" s="175">
        <f t="shared" si="9"/>
      </c>
      <c r="BN17" s="175">
        <f t="shared" si="27"/>
        <v>2</v>
      </c>
      <c r="BO17" s="175">
        <f t="shared" si="10"/>
      </c>
      <c r="BP17" s="175">
        <f t="shared" si="11"/>
        <v>3</v>
      </c>
      <c r="BQ17" s="175">
        <f t="shared" si="12"/>
      </c>
      <c r="BR17" s="175">
        <f t="shared" si="13"/>
        <v>4</v>
      </c>
      <c r="BS17" s="175">
        <f t="shared" si="14"/>
      </c>
      <c r="BT17" s="175">
        <f t="shared" si="15"/>
        <v>5</v>
      </c>
      <c r="BU17" s="175">
        <f t="shared" si="16"/>
      </c>
      <c r="BV17" s="175">
        <f t="shared" si="17"/>
        <v>6</v>
      </c>
      <c r="BW17" s="175">
        <f t="shared" si="18"/>
      </c>
      <c r="BX17" s="175">
        <f t="shared" si="19"/>
        <v>7</v>
      </c>
      <c r="BY17" s="175">
        <f t="shared" si="20"/>
      </c>
      <c r="BZ17" s="175">
        <f t="shared" si="28"/>
        <v>8</v>
      </c>
      <c r="CA17" s="175">
        <f t="shared" si="21"/>
      </c>
      <c r="CB17" s="175">
        <f t="shared" si="29"/>
        <v>9</v>
      </c>
      <c r="CC17" s="175">
        <f t="shared" si="22"/>
      </c>
      <c r="CD17" s="175">
        <f t="shared" si="32"/>
        <v>10</v>
      </c>
      <c r="CE17" s="175">
        <f t="shared" si="23"/>
      </c>
      <c r="CF17" s="175">
        <f t="shared" si="31"/>
        <v>11</v>
      </c>
      <c r="CG17" s="175">
        <f t="shared" si="24"/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97189.3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2 gennaio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2-9-2005</v>
      </c>
      <c r="AE18" s="251" t="str">
        <f t="shared" si="34"/>
        <v>2-9-2005</v>
      </c>
      <c r="AF18" s="251" t="str">
        <f t="shared" si="35"/>
        <v>2-9-2005</v>
      </c>
      <c r="AG18" s="251" t="str">
        <f t="shared" si="36"/>
        <v>2-9-2005</v>
      </c>
      <c r="AH18" s="251" t="str">
        <f t="shared" si="37"/>
        <v>2-9-2005</v>
      </c>
      <c r="AI18" s="251" t="str">
        <f t="shared" si="38"/>
        <v>2-9-2005</v>
      </c>
      <c r="AJ18" s="252" t="str">
        <f t="shared" si="39"/>
        <v>2-9-2005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</v>
      </c>
      <c r="BL18" s="175">
        <f aca="true" t="shared" si="40" ref="BL18:BL28">1+BL17</f>
        <v>2</v>
      </c>
      <c r="BM18" s="175">
        <f t="shared" si="9"/>
      </c>
      <c r="BN18" s="175">
        <f t="shared" si="27"/>
        <v>3</v>
      </c>
      <c r="BO18" s="175">
        <f t="shared" si="10"/>
      </c>
      <c r="BP18" s="175">
        <f t="shared" si="11"/>
        <v>4</v>
      </c>
      <c r="BQ18" s="175">
        <f t="shared" si="12"/>
      </c>
      <c r="BR18" s="175">
        <f t="shared" si="13"/>
        <v>5</v>
      </c>
      <c r="BS18" s="175">
        <f t="shared" si="14"/>
      </c>
      <c r="BT18" s="175">
        <f t="shared" si="15"/>
        <v>6</v>
      </c>
      <c r="BU18" s="175">
        <f t="shared" si="16"/>
      </c>
      <c r="BV18" s="175">
        <f t="shared" si="17"/>
        <v>7</v>
      </c>
      <c r="BW18" s="175">
        <f t="shared" si="18"/>
      </c>
      <c r="BX18" s="175">
        <f t="shared" si="19"/>
        <v>8</v>
      </c>
      <c r="BY18" s="175">
        <f t="shared" si="20"/>
      </c>
      <c r="BZ18" s="175">
        <f t="shared" si="28"/>
        <v>9</v>
      </c>
      <c r="CA18" s="175">
        <f t="shared" si="21"/>
      </c>
      <c r="CB18" s="175">
        <f t="shared" si="29"/>
        <v>10</v>
      </c>
      <c r="CC18" s="175">
        <f t="shared" si="22"/>
      </c>
      <c r="CD18" s="175">
        <f t="shared" si="32"/>
        <v>11</v>
      </c>
      <c r="CE18" s="175">
        <f t="shared" si="23"/>
      </c>
      <c r="CF18" s="175">
        <f t="shared" si="31"/>
        <v>12</v>
      </c>
      <c r="CG18" s="175">
        <f t="shared" si="24"/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2-1-2006</v>
      </c>
      <c r="AE19" s="251" t="str">
        <f t="shared" si="34"/>
        <v>2-1-2006</v>
      </c>
      <c r="AF19" s="251" t="str">
        <f t="shared" si="35"/>
        <v>2-1-2006</v>
      </c>
      <c r="AG19" s="251" t="str">
        <f t="shared" si="36"/>
        <v>2-1-2006</v>
      </c>
      <c r="AH19" s="251" t="str">
        <f t="shared" si="37"/>
        <v>2-1-2006</v>
      </c>
      <c r="AI19" s="251" t="str">
        <f t="shared" si="38"/>
        <v>2-1-2006</v>
      </c>
      <c r="AJ19" s="252" t="str">
        <f t="shared" si="39"/>
        <v>2-1-2006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</v>
      </c>
      <c r="BL19" s="175">
        <f t="shared" si="40"/>
        <v>3</v>
      </c>
      <c r="BM19" s="175">
        <f t="shared" si="9"/>
      </c>
      <c r="BN19" s="175">
        <f t="shared" si="27"/>
        <v>4</v>
      </c>
      <c r="BO19" s="175">
        <f t="shared" si="10"/>
      </c>
      <c r="BP19" s="175">
        <f t="shared" si="11"/>
        <v>5</v>
      </c>
      <c r="BQ19" s="175">
        <f t="shared" si="12"/>
      </c>
      <c r="BR19" s="175">
        <f t="shared" si="13"/>
        <v>6</v>
      </c>
      <c r="BS19" s="175">
        <f t="shared" si="14"/>
      </c>
      <c r="BT19" s="175">
        <f t="shared" si="15"/>
        <v>7</v>
      </c>
      <c r="BU19" s="175">
        <f t="shared" si="16"/>
      </c>
      <c r="BV19" s="175">
        <f t="shared" si="17"/>
        <v>8</v>
      </c>
      <c r="BW19" s="175">
        <f t="shared" si="18"/>
      </c>
      <c r="BX19" s="175">
        <f t="shared" si="19"/>
        <v>9</v>
      </c>
      <c r="BY19" s="175">
        <f t="shared" si="20"/>
      </c>
      <c r="BZ19" s="175">
        <f t="shared" si="28"/>
        <v>10</v>
      </c>
      <c r="CA19" s="175">
        <f t="shared" si="21"/>
      </c>
      <c r="CB19" s="175">
        <f t="shared" si="29"/>
        <v>11</v>
      </c>
      <c r="CC19" s="175">
        <f t="shared" si="22"/>
      </c>
      <c r="CD19" s="175">
        <f t="shared" si="32"/>
        <v>12</v>
      </c>
      <c r="CE19" s="175">
        <f t="shared" si="23"/>
      </c>
      <c r="CF19" s="175">
        <v>1</v>
      </c>
      <c r="CG19" s="175">
        <f t="shared" si="24"/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2-5-2006</v>
      </c>
      <c r="AE20" s="251" t="str">
        <f t="shared" si="34"/>
        <v>2-5-2006</v>
      </c>
      <c r="AF20" s="251" t="str">
        <f t="shared" si="35"/>
        <v>2-5-2006</v>
      </c>
      <c r="AG20" s="251" t="str">
        <f t="shared" si="36"/>
        <v>2-5-2006</v>
      </c>
      <c r="AH20" s="251" t="str">
        <f t="shared" si="37"/>
        <v>2-5-2006</v>
      </c>
      <c r="AI20" s="251" t="str">
        <f t="shared" si="38"/>
        <v>2-5-2006</v>
      </c>
      <c r="AJ20" s="252" t="str">
        <f t="shared" si="39"/>
        <v>2-5-2006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</v>
      </c>
      <c r="BL20" s="175">
        <f t="shared" si="40"/>
        <v>4</v>
      </c>
      <c r="BM20" s="175">
        <f t="shared" si="9"/>
      </c>
      <c r="BN20" s="175">
        <f t="shared" si="27"/>
        <v>5</v>
      </c>
      <c r="BO20" s="175">
        <f t="shared" si="10"/>
      </c>
      <c r="BP20" s="175">
        <f t="shared" si="11"/>
        <v>6</v>
      </c>
      <c r="BQ20" s="175">
        <f t="shared" si="12"/>
      </c>
      <c r="BR20" s="175">
        <f t="shared" si="13"/>
        <v>7</v>
      </c>
      <c r="BS20" s="175">
        <f t="shared" si="14"/>
      </c>
      <c r="BT20" s="175">
        <f t="shared" si="15"/>
        <v>8</v>
      </c>
      <c r="BU20" s="175">
        <f t="shared" si="16"/>
      </c>
      <c r="BV20" s="175">
        <f t="shared" si="17"/>
        <v>9</v>
      </c>
      <c r="BW20" s="175">
        <f t="shared" si="18"/>
      </c>
      <c r="BX20" s="175">
        <f t="shared" si="19"/>
        <v>10</v>
      </c>
      <c r="BY20" s="175">
        <f t="shared" si="20"/>
      </c>
      <c r="BZ20" s="175">
        <f t="shared" si="28"/>
        <v>11</v>
      </c>
      <c r="CA20" s="175">
        <f t="shared" si="21"/>
      </c>
      <c r="CB20" s="175">
        <f t="shared" si="29"/>
        <v>12</v>
      </c>
      <c r="CC20" s="175">
        <f t="shared" si="22"/>
      </c>
      <c r="CD20" s="175">
        <v>1</v>
      </c>
      <c r="CE20" s="175">
        <f t="shared" si="23"/>
      </c>
      <c r="CF20" s="175">
        <f t="shared" si="31"/>
        <v>2</v>
      </c>
      <c r="CG20" s="175">
        <f t="shared" si="24"/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2-9-2006</v>
      </c>
      <c r="AE21" s="251" t="str">
        <f t="shared" si="34"/>
        <v>2-9-2006</v>
      </c>
      <c r="AF21" s="251" t="str">
        <f t="shared" si="35"/>
        <v>2-9-2006</v>
      </c>
      <c r="AG21" s="251" t="str">
        <f t="shared" si="36"/>
        <v>2-9-2006</v>
      </c>
      <c r="AH21" s="251" t="str">
        <f t="shared" si="37"/>
        <v>2-9-2006</v>
      </c>
      <c r="AI21" s="251" t="str">
        <f t="shared" si="38"/>
        <v>2-9-2006</v>
      </c>
      <c r="AJ21" s="252" t="str">
        <f t="shared" si="39"/>
        <v>2-9-2006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</v>
      </c>
      <c r="BL21" s="175">
        <f t="shared" si="40"/>
        <v>5</v>
      </c>
      <c r="BM21" s="175">
        <f t="shared" si="9"/>
      </c>
      <c r="BN21" s="175">
        <f t="shared" si="27"/>
        <v>6</v>
      </c>
      <c r="BO21" s="175">
        <f t="shared" si="10"/>
      </c>
      <c r="BP21" s="175">
        <f t="shared" si="11"/>
        <v>7</v>
      </c>
      <c r="BQ21" s="175">
        <f t="shared" si="12"/>
      </c>
      <c r="BR21" s="175">
        <f t="shared" si="13"/>
        <v>8</v>
      </c>
      <c r="BS21" s="175">
        <f t="shared" si="14"/>
      </c>
      <c r="BT21" s="175">
        <f t="shared" si="15"/>
        <v>9</v>
      </c>
      <c r="BU21" s="175">
        <f t="shared" si="16"/>
      </c>
      <c r="BV21" s="175">
        <f t="shared" si="17"/>
        <v>10</v>
      </c>
      <c r="BW21" s="175">
        <f t="shared" si="18"/>
      </c>
      <c r="BX21" s="175">
        <f t="shared" si="19"/>
        <v>11</v>
      </c>
      <c r="BY21" s="175">
        <f t="shared" si="20"/>
      </c>
      <c r="BZ21" s="175">
        <f t="shared" si="28"/>
        <v>12</v>
      </c>
      <c r="CA21" s="175">
        <f t="shared" si="21"/>
      </c>
      <c r="CB21" s="175">
        <v>1</v>
      </c>
      <c r="CC21" s="175">
        <f t="shared" si="22"/>
      </c>
      <c r="CD21" s="175">
        <f aca="true" t="shared" si="41" ref="CD21:CD29">1+CD20</f>
        <v>2</v>
      </c>
      <c r="CE21" s="175">
        <f t="shared" si="23"/>
      </c>
      <c r="CF21" s="175">
        <f t="shared" si="31"/>
        <v>3</v>
      </c>
      <c r="CG21" s="175">
        <f t="shared" si="24"/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2-1-2007</v>
      </c>
      <c r="AE22" s="254" t="str">
        <f t="shared" si="34"/>
        <v>2-1-2007</v>
      </c>
      <c r="AF22" s="254" t="str">
        <f t="shared" si="35"/>
        <v>2-1-2007</v>
      </c>
      <c r="AG22" s="254" t="str">
        <f t="shared" si="36"/>
        <v>2-1-2007</v>
      </c>
      <c r="AH22" s="254" t="str">
        <f t="shared" si="37"/>
        <v>2-1-2007</v>
      </c>
      <c r="AI22" s="254" t="str">
        <f t="shared" si="38"/>
        <v>2-1-2007</v>
      </c>
      <c r="AJ22" s="255" t="str">
        <f t="shared" si="39"/>
        <v>2-1-2007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</v>
      </c>
      <c r="BL22" s="175">
        <f t="shared" si="40"/>
        <v>6</v>
      </c>
      <c r="BM22" s="175">
        <f t="shared" si="9"/>
      </c>
      <c r="BN22" s="175">
        <f t="shared" si="27"/>
        <v>7</v>
      </c>
      <c r="BO22" s="175">
        <f t="shared" si="10"/>
      </c>
      <c r="BP22" s="175">
        <f t="shared" si="11"/>
        <v>8</v>
      </c>
      <c r="BQ22" s="175">
        <f t="shared" si="12"/>
      </c>
      <c r="BR22" s="175">
        <f t="shared" si="13"/>
        <v>9</v>
      </c>
      <c r="BS22" s="175">
        <f t="shared" si="14"/>
      </c>
      <c r="BT22" s="175">
        <f t="shared" si="15"/>
        <v>10</v>
      </c>
      <c r="BU22" s="175">
        <f t="shared" si="16"/>
      </c>
      <c r="BV22" s="175">
        <f t="shared" si="17"/>
        <v>11</v>
      </c>
      <c r="BW22" s="175">
        <f t="shared" si="18"/>
      </c>
      <c r="BX22" s="175">
        <f t="shared" si="19"/>
        <v>12</v>
      </c>
      <c r="BY22" s="175">
        <f t="shared" si="20"/>
      </c>
      <c r="BZ22" s="175">
        <v>1</v>
      </c>
      <c r="CA22" s="175">
        <f t="shared" si="21"/>
      </c>
      <c r="CB22" s="175">
        <f t="shared" si="29"/>
        <v>2</v>
      </c>
      <c r="CC22" s="175">
        <f t="shared" si="22"/>
      </c>
      <c r="CD22" s="175">
        <f t="shared" si="41"/>
        <v>3</v>
      </c>
      <c r="CE22" s="175">
        <f t="shared" si="23"/>
      </c>
      <c r="CF22" s="175">
        <f t="shared" si="31"/>
        <v>4</v>
      </c>
      <c r="CG22" s="175">
        <f t="shared" si="24"/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</v>
      </c>
      <c r="BL23" s="175">
        <f t="shared" si="40"/>
        <v>7</v>
      </c>
      <c r="BM23" s="175">
        <f t="shared" si="9"/>
      </c>
      <c r="BN23" s="175">
        <f t="shared" si="27"/>
        <v>8</v>
      </c>
      <c r="BO23" s="175">
        <f t="shared" si="10"/>
      </c>
      <c r="BP23" s="175">
        <f t="shared" si="11"/>
        <v>9</v>
      </c>
      <c r="BQ23" s="175">
        <f t="shared" si="12"/>
      </c>
      <c r="BR23" s="175">
        <f t="shared" si="13"/>
        <v>10</v>
      </c>
      <c r="BS23" s="175">
        <f t="shared" si="14"/>
      </c>
      <c r="BT23" s="175">
        <f t="shared" si="15"/>
        <v>11</v>
      </c>
      <c r="BU23" s="175">
        <f t="shared" si="16"/>
      </c>
      <c r="BV23" s="175">
        <f t="shared" si="17"/>
        <v>12</v>
      </c>
      <c r="BW23" s="175">
        <f t="shared" si="18"/>
      </c>
      <c r="BX23" s="175">
        <v>1</v>
      </c>
      <c r="BY23" s="175">
        <f t="shared" si="20"/>
      </c>
      <c r="BZ23" s="175">
        <f t="shared" si="28"/>
        <v>2</v>
      </c>
      <c r="CA23" s="175">
        <f t="shared" si="21"/>
      </c>
      <c r="CB23" s="175">
        <f t="shared" si="29"/>
        <v>3</v>
      </c>
      <c r="CC23" s="175">
        <f t="shared" si="22"/>
      </c>
      <c r="CD23" s="175">
        <f t="shared" si="41"/>
        <v>4</v>
      </c>
      <c r="CE23" s="175">
        <f t="shared" si="23"/>
      </c>
      <c r="CF23" s="175">
        <f t="shared" si="31"/>
        <v>5</v>
      </c>
      <c r="CG23" s="175">
        <f t="shared" si="24"/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</v>
      </c>
      <c r="BL24" s="175">
        <f t="shared" si="40"/>
        <v>8</v>
      </c>
      <c r="BM24" s="175">
        <f t="shared" si="9"/>
      </c>
      <c r="BN24" s="175">
        <f t="shared" si="27"/>
        <v>9</v>
      </c>
      <c r="BO24" s="175">
        <f t="shared" si="10"/>
      </c>
      <c r="BP24" s="175">
        <f t="shared" si="11"/>
        <v>10</v>
      </c>
      <c r="BQ24" s="175">
        <f t="shared" si="12"/>
      </c>
      <c r="BR24" s="175">
        <f t="shared" si="13"/>
        <v>11</v>
      </c>
      <c r="BS24" s="175">
        <f t="shared" si="14"/>
      </c>
      <c r="BT24" s="175">
        <f t="shared" si="15"/>
        <v>12</v>
      </c>
      <c r="BU24" s="175">
        <f t="shared" si="16"/>
      </c>
      <c r="BV24" s="175">
        <v>1</v>
      </c>
      <c r="BW24" s="175">
        <f t="shared" si="18"/>
      </c>
      <c r="BX24" s="175">
        <f t="shared" si="19"/>
        <v>2</v>
      </c>
      <c r="BY24" s="175">
        <f t="shared" si="20"/>
      </c>
      <c r="BZ24" s="175">
        <f t="shared" si="28"/>
        <v>3</v>
      </c>
      <c r="CA24" s="175">
        <f t="shared" si="21"/>
      </c>
      <c r="CB24" s="175">
        <f t="shared" si="29"/>
        <v>4</v>
      </c>
      <c r="CC24" s="175">
        <f t="shared" si="22"/>
      </c>
      <c r="CD24" s="175">
        <f t="shared" si="41"/>
        <v>5</v>
      </c>
      <c r="CE24" s="175">
        <f t="shared" si="23"/>
      </c>
      <c r="CF24" s="175">
        <f t="shared" si="31"/>
        <v>6</v>
      </c>
      <c r="CG24" s="175">
        <f t="shared" si="24"/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</v>
      </c>
      <c r="BL25" s="175">
        <f t="shared" si="40"/>
        <v>9</v>
      </c>
      <c r="BM25" s="175">
        <f t="shared" si="9"/>
      </c>
      <c r="BN25" s="175">
        <f t="shared" si="27"/>
        <v>10</v>
      </c>
      <c r="BO25" s="175">
        <f t="shared" si="10"/>
      </c>
      <c r="BP25" s="175">
        <f t="shared" si="11"/>
        <v>11</v>
      </c>
      <c r="BQ25" s="175">
        <f t="shared" si="12"/>
      </c>
      <c r="BR25" s="175">
        <f t="shared" si="13"/>
        <v>12</v>
      </c>
      <c r="BS25" s="175">
        <f t="shared" si="14"/>
      </c>
      <c r="BT25" s="175">
        <v>1</v>
      </c>
      <c r="BU25" s="175">
        <f t="shared" si="16"/>
      </c>
      <c r="BV25" s="175">
        <f t="shared" si="17"/>
        <v>2</v>
      </c>
      <c r="BW25" s="175">
        <f t="shared" si="18"/>
      </c>
      <c r="BX25" s="175">
        <f t="shared" si="19"/>
        <v>3</v>
      </c>
      <c r="BY25" s="175">
        <f t="shared" si="20"/>
      </c>
      <c r="BZ25" s="175">
        <f t="shared" si="28"/>
        <v>4</v>
      </c>
      <c r="CA25" s="175">
        <f t="shared" si="21"/>
      </c>
      <c r="CB25" s="175">
        <f t="shared" si="29"/>
        <v>5</v>
      </c>
      <c r="CC25" s="175">
        <f t="shared" si="22"/>
      </c>
      <c r="CD25" s="175">
        <f t="shared" si="41"/>
        <v>6</v>
      </c>
      <c r="CE25" s="175">
        <f t="shared" si="23"/>
      </c>
      <c r="CF25" s="175">
        <f t="shared" si="31"/>
        <v>7</v>
      </c>
      <c r="CG25" s="175">
        <f t="shared" si="24"/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</v>
      </c>
      <c r="BL26" s="175">
        <f t="shared" si="40"/>
        <v>10</v>
      </c>
      <c r="BM26" s="175">
        <f t="shared" si="9"/>
      </c>
      <c r="BN26" s="175">
        <f t="shared" si="27"/>
        <v>11</v>
      </c>
      <c r="BO26" s="175">
        <f t="shared" si="10"/>
      </c>
      <c r="BP26" s="175">
        <f t="shared" si="11"/>
        <v>12</v>
      </c>
      <c r="BQ26" s="175">
        <f t="shared" si="12"/>
      </c>
      <c r="BR26" s="175">
        <v>1</v>
      </c>
      <c r="BS26" s="175">
        <f t="shared" si="14"/>
      </c>
      <c r="BT26" s="175">
        <f t="shared" si="15"/>
        <v>2</v>
      </c>
      <c r="BU26" s="175">
        <f t="shared" si="16"/>
      </c>
      <c r="BV26" s="175">
        <f t="shared" si="17"/>
        <v>3</v>
      </c>
      <c r="BW26" s="175">
        <f t="shared" si="18"/>
      </c>
      <c r="BX26" s="175">
        <f t="shared" si="19"/>
        <v>4</v>
      </c>
      <c r="BY26" s="175">
        <f t="shared" si="20"/>
      </c>
      <c r="BZ26" s="175">
        <f t="shared" si="28"/>
        <v>5</v>
      </c>
      <c r="CA26" s="175">
        <f t="shared" si="21"/>
      </c>
      <c r="CB26" s="175">
        <f t="shared" si="29"/>
        <v>6</v>
      </c>
      <c r="CC26" s="175">
        <f t="shared" si="22"/>
      </c>
      <c r="CD26" s="175">
        <f t="shared" si="41"/>
        <v>7</v>
      </c>
      <c r="CE26" s="175">
        <f t="shared" si="23"/>
      </c>
      <c r="CF26" s="175">
        <f t="shared" si="31"/>
        <v>8</v>
      </c>
      <c r="CG26" s="175">
        <f t="shared" si="24"/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</v>
      </c>
      <c r="BL27" s="175">
        <f t="shared" si="40"/>
        <v>11</v>
      </c>
      <c r="BM27" s="175">
        <f t="shared" si="9"/>
      </c>
      <c r="BN27" s="175">
        <f t="shared" si="27"/>
        <v>12</v>
      </c>
      <c r="BO27" s="175">
        <f t="shared" si="10"/>
      </c>
      <c r="BP27" s="175">
        <v>1</v>
      </c>
      <c r="BQ27" s="175">
        <f t="shared" si="12"/>
      </c>
      <c r="BR27" s="175">
        <f t="shared" si="13"/>
        <v>2</v>
      </c>
      <c r="BS27" s="175">
        <f t="shared" si="14"/>
      </c>
      <c r="BT27" s="175">
        <f t="shared" si="15"/>
        <v>3</v>
      </c>
      <c r="BU27" s="175">
        <f t="shared" si="16"/>
      </c>
      <c r="BV27" s="175">
        <f t="shared" si="17"/>
        <v>4</v>
      </c>
      <c r="BW27" s="175">
        <f t="shared" si="18"/>
      </c>
      <c r="BX27" s="175">
        <f t="shared" si="19"/>
        <v>5</v>
      </c>
      <c r="BY27" s="175">
        <f t="shared" si="20"/>
      </c>
      <c r="BZ27" s="175">
        <f t="shared" si="28"/>
        <v>6</v>
      </c>
      <c r="CA27" s="175">
        <f t="shared" si="21"/>
      </c>
      <c r="CB27" s="175">
        <f t="shared" si="29"/>
        <v>7</v>
      </c>
      <c r="CC27" s="175">
        <f t="shared" si="22"/>
      </c>
      <c r="CD27" s="175">
        <f t="shared" si="41"/>
        <v>8</v>
      </c>
      <c r="CE27" s="175">
        <f t="shared" si="23"/>
      </c>
      <c r="CF27" s="175">
        <f t="shared" si="31"/>
        <v>9</v>
      </c>
      <c r="CG27" s="175">
        <f t="shared" si="24"/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</v>
      </c>
      <c r="BL28" s="175">
        <f t="shared" si="40"/>
        <v>12</v>
      </c>
      <c r="BM28" s="175">
        <f t="shared" si="9"/>
      </c>
      <c r="BN28" s="175">
        <v>1</v>
      </c>
      <c r="BO28" s="175">
        <f t="shared" si="10"/>
      </c>
      <c r="BP28" s="175">
        <f t="shared" si="11"/>
        <v>2</v>
      </c>
      <c r="BQ28" s="175">
        <f t="shared" si="12"/>
      </c>
      <c r="BR28" s="175">
        <f t="shared" si="13"/>
        <v>3</v>
      </c>
      <c r="BS28" s="175">
        <f t="shared" si="14"/>
      </c>
      <c r="BT28" s="175">
        <f t="shared" si="15"/>
        <v>4</v>
      </c>
      <c r="BU28" s="175">
        <f t="shared" si="16"/>
      </c>
      <c r="BV28" s="175">
        <f t="shared" si="17"/>
        <v>5</v>
      </c>
      <c r="BW28" s="175">
        <f t="shared" si="18"/>
      </c>
      <c r="BX28" s="175">
        <f t="shared" si="19"/>
        <v>6</v>
      </c>
      <c r="BY28" s="175">
        <f t="shared" si="20"/>
      </c>
      <c r="BZ28" s="175">
        <f t="shared" si="28"/>
        <v>7</v>
      </c>
      <c r="CA28" s="175">
        <f t="shared" si="21"/>
      </c>
      <c r="CB28" s="175">
        <f t="shared" si="29"/>
        <v>8</v>
      </c>
      <c r="CC28" s="175">
        <f t="shared" si="22"/>
      </c>
      <c r="CD28" s="175">
        <f t="shared" si="41"/>
        <v>9</v>
      </c>
      <c r="CE28" s="175">
        <f t="shared" si="23"/>
      </c>
      <c r="CF28" s="175">
        <f t="shared" si="31"/>
        <v>10</v>
      </c>
      <c r="CG28" s="175">
        <f t="shared" si="24"/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</v>
      </c>
      <c r="BL29" s="176">
        <v>1</v>
      </c>
      <c r="BM29" s="176">
        <f>IF(AND($L$6=BJ29,MONTH($L$5)=2),BN29,BO5)</f>
      </c>
      <c r="BN29" s="176">
        <f t="shared" si="27"/>
        <v>2</v>
      </c>
      <c r="BO29" s="176">
        <f>IF(AND($L$6=BJ29,MONTH($L$5)=3),BP29,BQ5)</f>
      </c>
      <c r="BP29" s="176">
        <f t="shared" si="11"/>
        <v>3</v>
      </c>
      <c r="BQ29" s="176">
        <f>IF(AND($L$6=BJ29,MONTH($L$5)=4),BR29,BS5)</f>
      </c>
      <c r="BR29" s="176">
        <f t="shared" si="13"/>
        <v>4</v>
      </c>
      <c r="BS29" s="176">
        <f>IF(AND($L$6=BJ29,MONTH($L$5)=5),BT29,BU5)</f>
      </c>
      <c r="BT29" s="176">
        <f t="shared" si="15"/>
        <v>5</v>
      </c>
      <c r="BU29" s="176">
        <f>IF(AND($L$6=BJ29,MONTH($L$5)=6),BV29,BW5)</f>
      </c>
      <c r="BV29" s="176">
        <f t="shared" si="17"/>
        <v>6</v>
      </c>
      <c r="BW29" s="176">
        <f>IF(AND($L$6=BJ29,MONTH($L$5)=7),BX29,BY5)</f>
      </c>
      <c r="BX29" s="176">
        <f t="shared" si="19"/>
        <v>7</v>
      </c>
      <c r="BY29" s="176">
        <f>IF(AND($L$6=BJ29,MONTH($L$5)=8),BZ29,CA5)</f>
      </c>
      <c r="BZ29" s="176">
        <f t="shared" si="28"/>
        <v>8</v>
      </c>
      <c r="CA29" s="176">
        <f>IF(AND($L$6=BJ29,MONTH($L$5)=9),CB29,CC5)</f>
      </c>
      <c r="CB29" s="176">
        <f t="shared" si="29"/>
        <v>9</v>
      </c>
      <c r="CC29" s="176">
        <f>IF(AND($L$6=BJ29,MONTH($L$5)=10),CD29,CE5)</f>
      </c>
      <c r="CD29" s="176">
        <f t="shared" si="41"/>
        <v>10</v>
      </c>
      <c r="CE29" s="176">
        <f>IF(AND($L$6=BJ29,MONTH($L$5)=11),CF29,CG5)</f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2"/>
      <c r="Q31" s="263"/>
      <c r="R31" s="263"/>
      <c r="S31" s="263"/>
      <c r="T31" s="263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2"/>
      <c r="Q32" s="263"/>
      <c r="R32" s="263"/>
      <c r="S32" s="263"/>
      <c r="T32" s="263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2"/>
      <c r="Q33" s="263"/>
      <c r="R33" s="263"/>
      <c r="S33" s="263"/>
      <c r="T33" s="263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2"/>
      <c r="Q34" s="263"/>
      <c r="R34" s="263"/>
      <c r="S34" s="263"/>
      <c r="T34" s="263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2"/>
      <c r="Q35" s="263"/>
      <c r="R35" s="263"/>
      <c r="S35" s="263"/>
      <c r="T35" s="263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2"/>
      <c r="Q36" s="263"/>
      <c r="R36" s="263"/>
      <c r="S36" s="263"/>
      <c r="T36" s="263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2"/>
      <c r="Q37" s="263"/>
      <c r="R37" s="263"/>
      <c r="S37" s="263"/>
      <c r="T37" s="263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2"/>
      <c r="Q38" s="263"/>
      <c r="R38" s="263"/>
      <c r="S38" s="263"/>
      <c r="T38" s="263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2"/>
      <c r="Q39" s="263"/>
      <c r="R39" s="263"/>
      <c r="S39" s="263"/>
      <c r="T39" s="263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2"/>
      <c r="Q40" s="263"/>
      <c r="R40" s="263"/>
      <c r="S40" s="263"/>
      <c r="T40" s="263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2"/>
      <c r="Q41" s="263"/>
      <c r="R41" s="263"/>
      <c r="S41" s="263"/>
      <c r="T41" s="263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2"/>
      <c r="Q42" s="263"/>
      <c r="R42" s="263"/>
      <c r="S42" s="263"/>
      <c r="T42" s="263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  <mergeCell ref="P34:T34"/>
    <mergeCell ref="P35:T35"/>
    <mergeCell ref="P36:T36"/>
    <mergeCell ref="EU4:EX4"/>
    <mergeCell ref="EZ4:FC4"/>
    <mergeCell ref="P31:T31"/>
    <mergeCell ref="P32:T32"/>
    <mergeCell ref="BN2:BO2"/>
    <mergeCell ref="BL4:BP4"/>
    <mergeCell ref="CM4:CP4"/>
    <mergeCell ref="CR4:CU4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95" t="s">
        <v>0</v>
      </c>
      <c r="E3" s="296"/>
      <c r="F3" s="297" t="str">
        <f>+Dati!F7</f>
        <v>AGRO-NET</v>
      </c>
      <c r="G3" s="297"/>
      <c r="H3" s="297"/>
      <c r="I3" s="297"/>
      <c r="J3" s="297"/>
      <c r="K3" s="297"/>
      <c r="L3" s="298"/>
      <c r="M3" s="83" t="s">
        <v>1</v>
      </c>
      <c r="N3" s="84">
        <f>+Dati!F5</f>
        <v>39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99" t="s">
        <v>2</v>
      </c>
      <c r="E4" s="300"/>
      <c r="F4" s="301" t="str">
        <f>+Dati!F6</f>
        <v>Ass. Pugliese Imprese di Meccanizzazione Agroindustriale</v>
      </c>
      <c r="G4" s="301"/>
      <c r="H4" s="301"/>
      <c r="I4" s="301"/>
      <c r="J4" s="301"/>
      <c r="K4" s="301"/>
      <c r="L4" s="302"/>
      <c r="M4" s="85" t="s">
        <v>3</v>
      </c>
      <c r="N4" s="86">
        <f>+Dati!F8</f>
        <v>65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89" t="s">
        <v>12</v>
      </c>
      <c r="N6" s="290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37988</v>
      </c>
      <c r="E7" s="99" t="str">
        <f>+Dati!L7</f>
        <v>2 gennaio 2007</v>
      </c>
      <c r="F7" s="100">
        <f>+Dati!L6</f>
        <v>36</v>
      </c>
      <c r="G7" s="100">
        <f>+F7/4</f>
        <v>9</v>
      </c>
      <c r="H7" s="101">
        <f>IF(Dati!F5="",0,0.375)</f>
        <v>0.375</v>
      </c>
      <c r="I7" s="102">
        <f>+Dati!F9</f>
        <v>659925</v>
      </c>
      <c r="J7" s="103">
        <f>IF(Dati!F10="",0,Dati!F10)</f>
        <v>221500</v>
      </c>
      <c r="K7" s="104">
        <f>IF(Dati!F11="",0,Dati!F11)</f>
        <v>438425</v>
      </c>
      <c r="L7" s="103">
        <f>IF(K7="",0,K7*0.2)</f>
        <v>87685</v>
      </c>
      <c r="M7" s="291">
        <f>+L7+K7+J7</f>
        <v>747610</v>
      </c>
      <c r="N7" s="292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Contr.Reg.35 %</v>
      </c>
      <c r="E9" s="106" t="str">
        <f>+"Contr.Priv "&amp;N4&amp;" %"</f>
        <v>Contr.Priv 65 %</v>
      </c>
      <c r="F9" s="107"/>
      <c r="G9" s="108" t="s">
        <v>13</v>
      </c>
      <c r="H9" s="109"/>
      <c r="I9" s="110" t="s">
        <v>28</v>
      </c>
      <c r="J9" s="111">
        <f>+Dati!F16</f>
        <v>145783.94999999998</v>
      </c>
      <c r="K9" s="276" t="s">
        <v>37</v>
      </c>
      <c r="L9" s="277"/>
      <c r="M9" s="161" t="str">
        <f>IF(L27+K27=D10,"Ok","Errore")</f>
        <v>Errore</v>
      </c>
      <c r="N9" s="293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485946.5</v>
      </c>
      <c r="E10" s="113">
        <f>+Dati!F15</f>
        <v>261663.5</v>
      </c>
      <c r="F10" s="112"/>
      <c r="G10" s="113">
        <f>+D10*0.8</f>
        <v>388757.2</v>
      </c>
      <c r="H10" s="114"/>
      <c r="I10" s="115" t="s">
        <v>35</v>
      </c>
      <c r="J10" s="116">
        <f>+Dati!F17</f>
        <v>242973.25</v>
      </c>
      <c r="K10" s="114"/>
      <c r="L10" s="115" t="s">
        <v>14</v>
      </c>
      <c r="M10" s="116">
        <f>+Dati!F18</f>
        <v>97189.3</v>
      </c>
      <c r="N10" s="294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81" t="s">
        <v>29</v>
      </c>
      <c r="E12" s="283" t="s">
        <v>30</v>
      </c>
      <c r="F12" s="285"/>
      <c r="G12" s="285"/>
      <c r="H12" s="286"/>
      <c r="I12" s="278" t="s">
        <v>32</v>
      </c>
      <c r="J12" s="283" t="s">
        <v>31</v>
      </c>
      <c r="K12" s="284"/>
      <c r="L12" s="284"/>
      <c r="M12" s="284"/>
      <c r="N12" s="278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82"/>
      <c r="E13" s="257" t="s">
        <v>50</v>
      </c>
      <c r="F13" s="258"/>
      <c r="G13" s="288" t="s">
        <v>41</v>
      </c>
      <c r="H13" s="259"/>
      <c r="I13" s="279"/>
      <c r="J13" s="117"/>
      <c r="K13" s="118"/>
      <c r="L13" s="118"/>
      <c r="M13" s="119"/>
      <c r="N13" s="279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80"/>
      <c r="E14" s="120" t="s">
        <v>15</v>
      </c>
      <c r="F14" s="121" t="s">
        <v>11</v>
      </c>
      <c r="G14" s="122" t="s">
        <v>11</v>
      </c>
      <c r="H14" s="123" t="s">
        <v>40</v>
      </c>
      <c r="I14" s="287"/>
      <c r="J14" s="124" t="s">
        <v>18</v>
      </c>
      <c r="K14" s="125" t="s">
        <v>19</v>
      </c>
      <c r="L14" s="125" t="s">
        <v>20</v>
      </c>
      <c r="M14" s="126" t="s">
        <v>21</v>
      </c>
      <c r="N14" s="280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38109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35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35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65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74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75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M6:N6"/>
    <mergeCell ref="M7:N7"/>
    <mergeCell ref="N9:N10"/>
    <mergeCell ref="D3:E3"/>
    <mergeCell ref="F3:L3"/>
    <mergeCell ref="D4:E4"/>
    <mergeCell ref="F4:L4"/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2005-02-28T21:10:41Z</dcterms:modified>
  <cp:category/>
  <cp:version/>
  <cp:contentType/>
  <cp:contentStatus/>
</cp:coreProperties>
</file>