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1"/>
  </bookViews>
  <sheets>
    <sheet name="Complessivo" sheetId="1" r:id="rId1"/>
    <sheet name="Foglio1" sheetId="2" r:id="rId2"/>
  </sheets>
  <definedNames>
    <definedName name="_xlnm.Print_Area" localSheetId="0">'Complessivo'!$A$1:$T$162</definedName>
    <definedName name="_xlnm.Print_Titles" localSheetId="0">'Complessivo'!$1:$1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S2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Firmare il calcolo aliquota oraria OK 7-6-05</t>
        </r>
      </text>
    </comment>
    <comment ref="S2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Firmare il calcolo aliquota oraria OK 7-6-05
</t>
        </r>
      </text>
    </comment>
    <comment ref="S47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1) Mancano curriculum e non si può verificare la fascia tariffe
2) Relazione sulle attività svolte dai consulenti
3) Manca indicazione dell'attività cui si riferiscono le fatture
OK 7-6-05</t>
        </r>
      </text>
    </comment>
    <comment ref="S4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1) Mancano curriculum e non si può verificare la fascia tariffe
2) Relazione sulle attività svolte dai consulenti
Pagamento successivo ma accettato lo stesso
OK 7-6-05</t>
        </r>
      </text>
    </comment>
    <comment ref="S8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1) fornire liberatoria in originale
2) breve descrizione del sw
OK 7-6-05</t>
        </r>
      </text>
    </comment>
    <comment ref="S13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Trattasi di trasferta di giannoccari salvatore dioendente di ATHENA e presidente di APIMA che rimborsa la sua stessa missione. Sono pagamenti fuori perido di rendicontazione.
Necessita: Stato patrimoniale e conto economico 2003 per APIMA, ATHENA, CERSAE.
Dichiarazione sul numero di dipendenti di APIMA e posizione previdenziale.
Perizia giurata sulla regolarità urbanistica degli immobili e dimostraione della disponbilità degli immobili.</t>
        </r>
      </text>
    </comment>
    <comment ref="S136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Pagamento precedente all'autorizzazine alla missione. Valgono le considerazioni fatte prima
</t>
        </r>
      </text>
    </comment>
    <comment ref="S137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Le spese generali sono ammissibili solo se rendicontate analiticamente e non fatturate forfettariamente in sublocazione.
</t>
        </r>
      </text>
    </comment>
    <comment ref="S4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Massimo ammissibile. 26/03/06 Ricevuta integrazione timesheet</t>
        </r>
      </text>
    </comment>
    <comment ref="S5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la parte imponibile comprende quota parte della ritenuta acconto sino al raggiungimento del totale richiesto che rispetta il tetto max della fascia di competenza</t>
        </r>
      </text>
    </comment>
  </commentList>
</comments>
</file>

<file path=xl/sharedStrings.xml><?xml version="1.0" encoding="utf-8"?>
<sst xmlns="http://schemas.openxmlformats.org/spreadsheetml/2006/main" count="693" uniqueCount="215">
  <si>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</si>
  <si>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</si>
  <si>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</si>
  <si>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</si>
  <si>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</si>
  <si>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</si>
  <si>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</si>
  <si>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</si>
  <si>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</si>
  <si>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</si>
  <si>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</si>
  <si>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</si>
  <si>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</si>
  <si>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</si>
  <si>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</si>
  <si>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</si>
  <si>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</si>
  <si>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</si>
  <si>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</si>
  <si>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</si>
  <si>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</si>
  <si>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</si>
  <si>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</si>
  <si>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Partner</t>
  </si>
  <si>
    <t>Ant.</t>
  </si>
  <si>
    <t>Erogare</t>
  </si>
  <si>
    <t>Spesa</t>
  </si>
  <si>
    <t>Bonifico</t>
  </si>
  <si>
    <t>Note</t>
  </si>
  <si>
    <t>SAL 1</t>
  </si>
  <si>
    <t>SAL 2</t>
  </si>
  <si>
    <t>TOT GEN</t>
  </si>
  <si>
    <t>TOT SAL 1</t>
  </si>
  <si>
    <t>TOT SAL 2</t>
  </si>
  <si>
    <t>Avvio PR</t>
  </si>
  <si>
    <t>AGRO-NET</t>
  </si>
  <si>
    <t>PERIODO SAL 1 - 02/01/2004 - 02/01/2005 (tre quad)</t>
  </si>
  <si>
    <t>CERASAE</t>
  </si>
  <si>
    <t>ATHENA</t>
  </si>
  <si>
    <t>Colonna Giusefina - Giannaccari Salvatore x 1 anno</t>
  </si>
  <si>
    <t>Conte Maurizio, Siciliano Antonio, De Pasca Caterina</t>
  </si>
  <si>
    <t>APIMA</t>
  </si>
  <si>
    <t>Elaborazione dati e progettazione</t>
  </si>
  <si>
    <t>CIPAS</t>
  </si>
  <si>
    <t>I § T</t>
  </si>
  <si>
    <t>BONIFICO</t>
  </si>
  <si>
    <t>Analisi requisiti utente - piattaforma</t>
  </si>
  <si>
    <t>Assistenza software al prog.Silawin</t>
  </si>
  <si>
    <t>EL.SY.CO</t>
  </si>
  <si>
    <t>14/05/04-15/09/04-18/02/05</t>
  </si>
  <si>
    <t>NOLEGGIO CAMPER</t>
  </si>
  <si>
    <t>37 - B 2004</t>
  </si>
  <si>
    <t>ADVENTURE FOR LADIES S.r.l.</t>
  </si>
  <si>
    <t>Fotocamera digitale</t>
  </si>
  <si>
    <t>Photoshop</t>
  </si>
  <si>
    <t>AB</t>
  </si>
  <si>
    <t>Non ammissibile tra le attrezzature di progetto.</t>
  </si>
  <si>
    <t>Rimborsi per trasferte</t>
  </si>
  <si>
    <t>Rimborsi carburante</t>
  </si>
  <si>
    <t>fidejussione</t>
  </si>
  <si>
    <t>Rimborso trasferte</t>
  </si>
  <si>
    <t>Spese telefoniche e varie</t>
  </si>
  <si>
    <t>Canoni</t>
  </si>
  <si>
    <t>Aurora Ass.</t>
  </si>
  <si>
    <t xml:space="preserve"> </t>
  </si>
  <si>
    <t>16/11e20/12/2004</t>
  </si>
  <si>
    <t>cipas</t>
  </si>
  <si>
    <t>15</t>
  </si>
  <si>
    <t>1-4</t>
  </si>
  <si>
    <t>2</t>
  </si>
  <si>
    <t>Giannaccari Salvatore</t>
  </si>
  <si>
    <t>Verificare ammissibilità se registrazione successiva.</t>
  </si>
  <si>
    <t>CONTRIBUTO PROGETTO</t>
  </si>
  <si>
    <t>CONTRIBUTO IVA</t>
  </si>
  <si>
    <t>TOTALE CONTRIBUTO</t>
  </si>
  <si>
    <t>IVA=</t>
  </si>
  <si>
    <t>APIMA SALENTO - 39 - RIEPILOGO SPESE</t>
  </si>
  <si>
    <t>TOTALE PROGETTO PREVISTO=</t>
  </si>
  <si>
    <t>Res IVA=</t>
  </si>
  <si>
    <t>Iva ammessa</t>
  </si>
  <si>
    <t>Totale ammesso</t>
  </si>
  <si>
    <t>Contributo Iva</t>
  </si>
  <si>
    <t>Totale Contributo</t>
  </si>
  <si>
    <t>NOLO, LEASING, AMMORTAMENTI</t>
  </si>
  <si>
    <t>PERIODO SAL 2 - 02/01/2005 - 02/05/2005</t>
  </si>
  <si>
    <t>PERIODO SAL 3 - 02/05/2005 - 16/11/2005</t>
  </si>
  <si>
    <t>II</t>
  </si>
  <si>
    <t xml:space="preserve">Colonna Giusefina - Giannaccari Salvatore </t>
  </si>
  <si>
    <t>Conte Maurizio</t>
  </si>
  <si>
    <t>SAL 3</t>
  </si>
  <si>
    <t>Fortunato Tania</t>
  </si>
  <si>
    <t>Spesa ammessa su fattura I sal</t>
  </si>
  <si>
    <t>notebook, webcam, epson stylus R200</t>
  </si>
  <si>
    <t>Hitek</t>
  </si>
  <si>
    <t>sistemi GPS per cartogr. E agrimensura</t>
  </si>
  <si>
    <t>S.C.S.</t>
  </si>
  <si>
    <t>Competenze contabili amministrative</t>
  </si>
  <si>
    <t>Scardino Vito Rocco</t>
  </si>
  <si>
    <t>Indicare la percentuale di addebito</t>
  </si>
  <si>
    <t>elaborazioni grafiche portale</t>
  </si>
  <si>
    <t>Natrella</t>
  </si>
  <si>
    <t>III</t>
  </si>
  <si>
    <t>Analisi requisiti utente</t>
  </si>
  <si>
    <t>I§t</t>
  </si>
  <si>
    <t>67/2005</t>
  </si>
  <si>
    <t>Bonifico Bancario</t>
  </si>
  <si>
    <t>Consulenza uso Palmari e rilevazioni GPS</t>
  </si>
  <si>
    <t>Cipas</t>
  </si>
  <si>
    <t>20/2005</t>
  </si>
  <si>
    <t>Consulenza uso Palmari , rilevazioni GPS e rendicotazione</t>
  </si>
  <si>
    <t>Licenze d'uso e Sevizi Software</t>
  </si>
  <si>
    <t>i § t</t>
  </si>
  <si>
    <t>115/2005</t>
  </si>
  <si>
    <t>Assistenza software</t>
  </si>
  <si>
    <t>Elsyco</t>
  </si>
  <si>
    <t>243/2005</t>
  </si>
  <si>
    <t>Noleggio autocaravan</t>
  </si>
  <si>
    <t>Salento caravan</t>
  </si>
  <si>
    <t>20-B-2005</t>
  </si>
  <si>
    <t>samsung x410 e connet card UMTS</t>
  </si>
  <si>
    <t>omnipoint</t>
  </si>
  <si>
    <t>Canoni locazione 1° sem</t>
  </si>
  <si>
    <t>Canoni locazione 2° sem</t>
  </si>
  <si>
    <t>spese carburante</t>
  </si>
  <si>
    <t>Athena</t>
  </si>
  <si>
    <t>TOT SAL 3</t>
  </si>
  <si>
    <t>Provvisorio</t>
  </si>
  <si>
    <t>Conguaglio su II sal</t>
  </si>
  <si>
    <t>PERIODO SAL 4 - 17/11/2005 - 31/07/2006</t>
  </si>
  <si>
    <t>TOT SAL 4</t>
  </si>
  <si>
    <t>inizio</t>
  </si>
  <si>
    <t>TOT PROGETTO=</t>
  </si>
  <si>
    <t>fine</t>
  </si>
  <si>
    <t>CONTRIBUTO=</t>
  </si>
  <si>
    <t>CONTRIBUTO IVA=</t>
  </si>
  <si>
    <t>TOT CONTRIBUTO=</t>
  </si>
  <si>
    <t>CONTRIBUTO</t>
  </si>
  <si>
    <t>PREVISTO</t>
  </si>
  <si>
    <t>RESIDUO</t>
  </si>
  <si>
    <t>AMMESSO</t>
  </si>
  <si>
    <t>NOLO LEASING AMM</t>
  </si>
  <si>
    <t>IVA Ammessa</t>
  </si>
  <si>
    <t>IVA Contributo</t>
  </si>
  <si>
    <t>Anticip. corrisposta</t>
  </si>
  <si>
    <t>Liquidazione s.a.l.</t>
  </si>
  <si>
    <t>Totale</t>
  </si>
  <si>
    <t>ATS</t>
  </si>
  <si>
    <t>IVA ESPOSTA</t>
  </si>
  <si>
    <t>Ritenuta d'acconto 4%</t>
  </si>
  <si>
    <t>ANTIMAFIA</t>
  </si>
  <si>
    <t>si</t>
  </si>
  <si>
    <t>esente</t>
  </si>
  <si>
    <t>STATO DELLA DOCUMENTAZIONE TECNICA</t>
  </si>
  <si>
    <t>Relazione S.A.L. Quadrimestrale</t>
  </si>
  <si>
    <t>Rapporti Tecnici</t>
  </si>
  <si>
    <t>NOTE</t>
  </si>
  <si>
    <t>DATE</t>
  </si>
  <si>
    <t>ISTRUTTORI</t>
  </si>
  <si>
    <t>FIRME</t>
  </si>
  <si>
    <t>APIMA SALENTO - 39</t>
  </si>
  <si>
    <t>progetto di 36 mesi</t>
  </si>
  <si>
    <t>SAL 1 - 02/01/2004-02/01/2005</t>
  </si>
  <si>
    <t>SAL 2 - 02/01/2005-02/05/2005</t>
  </si>
  <si>
    <t>SAL 3 - 02/05/2005-16/11/2005</t>
  </si>
  <si>
    <t>SAL 4 - 17/11/2005-31/07/2006</t>
  </si>
  <si>
    <t>Ce.R.As.A.E</t>
  </si>
  <si>
    <t>SAL 4</t>
  </si>
  <si>
    <t>Apima Salento</t>
  </si>
  <si>
    <t>IV</t>
  </si>
  <si>
    <t>Fortunato Tania - Quarta Andrea</t>
  </si>
  <si>
    <t xml:space="preserve">Giannaccari Salvatore </t>
  </si>
  <si>
    <t>Incarico Professionale</t>
  </si>
  <si>
    <t>DR.Colonna</t>
  </si>
  <si>
    <t>assegno</t>
  </si>
  <si>
    <t>219/2005</t>
  </si>
  <si>
    <t>220/2005</t>
  </si>
  <si>
    <t>programma SILA</t>
  </si>
  <si>
    <t>S.Pavone</t>
  </si>
  <si>
    <t>02-B-2006</t>
  </si>
  <si>
    <t>Piattaforma Portale</t>
  </si>
  <si>
    <t>90/2006</t>
  </si>
  <si>
    <t>Competenze Tenuta contabilità</t>
  </si>
  <si>
    <t>Rag.Scardino</t>
  </si>
  <si>
    <t>Cancelleria</t>
  </si>
  <si>
    <t>De Giorgi</t>
  </si>
  <si>
    <t>Assegno Bancario</t>
  </si>
  <si>
    <t xml:space="preserve"> 31/07/2006</t>
  </si>
  <si>
    <t>Manca dimostrazione di pagamento</t>
  </si>
  <si>
    <t>Le tabelle vanno rifatte indicando le ore totali e il costo orario</t>
  </si>
  <si>
    <t>I prospetti riepilogativi del personale vanno ripresentati con le firme dei legali rappresentanti.</t>
  </si>
  <si>
    <t>V</t>
  </si>
  <si>
    <t>Quarta Andrea</t>
  </si>
  <si>
    <t>190/2006</t>
  </si>
  <si>
    <t>191/2006</t>
  </si>
  <si>
    <t>91/2006</t>
  </si>
  <si>
    <t>Schede carburanti GEN-MAR</t>
  </si>
  <si>
    <t>Ce.R.As.A.E.</t>
  </si>
  <si>
    <t>Schede carburanti APR-GIU</t>
  </si>
  <si>
    <t>Schede carburanti LUG-SETT.</t>
  </si>
  <si>
    <t>Schede carburanti OTT.-DIC.</t>
  </si>
  <si>
    <t>Compartecipazione utenze</t>
  </si>
  <si>
    <t>C ipas</t>
  </si>
  <si>
    <t>Canoni sub locazione 2006</t>
  </si>
  <si>
    <t>02/01/04-02/01/05 -02/01/05-02/05/05 - 02/05/05-16/11/05 - 17/11/05-31/07/06 - 01/08/06-31/12/06 (tutti non firmati)</t>
  </si>
  <si>
    <t>PERIODO SAL 5 - 01/08/2006 - 31/12/2006</t>
  </si>
  <si>
    <t>TOT SAL 5</t>
  </si>
  <si>
    <t>Manca la dimostrazione del pagamento</t>
  </si>
  <si>
    <t>Manca dim. Pagamento</t>
  </si>
  <si>
    <t>Fotocopia documento non chiara</t>
  </si>
  <si>
    <t>Integrazione sul III sal</t>
  </si>
  <si>
    <t>Importo ammesso su I° sal</t>
  </si>
  <si>
    <t>Importo ammesso su II° sal</t>
  </si>
  <si>
    <t>Importo ammesso su sal precedente</t>
  </si>
  <si>
    <t>SAL 5</t>
  </si>
  <si>
    <t>SAL 5 - 01/08/2006-31/12/2006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</si>
</sst>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0.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[$-410]dddd\ d\ mmmm\ yyyy"/>
  </numFmts>
  <fonts count="19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6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14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14" fontId="3" fillId="0" borderId="2" xfId="0" applyNumberFormat="1" applyFont="1" applyBorder="1" applyAlignment="1">
      <alignment wrapText="1"/>
    </xf>
    <xf numFmtId="14" fontId="3" fillId="0" borderId="2" xfId="0" applyNumberFormat="1" applyFont="1" applyBorder="1" applyAlignment="1">
      <alignment horizontal="center"/>
    </xf>
    <xf numFmtId="170" fontId="3" fillId="0" borderId="2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justify" wrapText="1"/>
    </xf>
    <xf numFmtId="171" fontId="3" fillId="2" borderId="2" xfId="18" applyNumberFormat="1" applyFont="1" applyFill="1" applyBorder="1" applyAlignment="1">
      <alignment horizontal="right"/>
    </xf>
    <xf numFmtId="171" fontId="3" fillId="0" borderId="2" xfId="18" applyNumberFormat="1" applyFont="1" applyBorder="1" applyAlignment="1">
      <alignment horizontal="right"/>
    </xf>
    <xf numFmtId="0" fontId="3" fillId="2" borderId="2" xfId="0" applyFont="1" applyFill="1" applyBorder="1" applyAlignment="1">
      <alignment/>
    </xf>
    <xf numFmtId="14" fontId="3" fillId="0" borderId="2" xfId="0" applyNumberFormat="1" applyFont="1" applyFill="1" applyBorder="1" applyAlignment="1">
      <alignment wrapText="1"/>
    </xf>
    <xf numFmtId="2" fontId="3" fillId="0" borderId="2" xfId="0" applyNumberFormat="1" applyFont="1" applyBorder="1" applyAlignment="1">
      <alignment/>
    </xf>
    <xf numFmtId="0" fontId="3" fillId="3" borderId="3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4" fontId="3" fillId="0" borderId="2" xfId="0" applyNumberFormat="1" applyFont="1" applyFill="1" applyBorder="1" applyAlignment="1">
      <alignment/>
    </xf>
    <xf numFmtId="4" fontId="1" fillId="0" borderId="0" xfId="0" applyNumberFormat="1" applyFont="1" applyBorder="1" applyAlignment="1">
      <alignment wrapText="1"/>
    </xf>
    <xf numFmtId="14" fontId="3" fillId="0" borderId="2" xfId="0" applyNumberFormat="1" applyFont="1" applyFill="1" applyBorder="1" applyAlignment="1">
      <alignment horizontal="center" wrapText="1"/>
    </xf>
    <xf numFmtId="4" fontId="1" fillId="3" borderId="3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" fontId="9" fillId="0" borderId="5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/>
    </xf>
    <xf numFmtId="0" fontId="1" fillId="3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5" xfId="0" applyNumberFormat="1" applyFont="1" applyBorder="1" applyAlignment="1" applyProtection="1">
      <alignment horizontal="right"/>
      <protection/>
    </xf>
    <xf numFmtId="4" fontId="5" fillId="0" borderId="7" xfId="0" applyNumberFormat="1" applyFont="1" applyBorder="1" applyAlignment="1" applyProtection="1">
      <alignment horizontal="right"/>
      <protection/>
    </xf>
    <xf numFmtId="4" fontId="7" fillId="0" borderId="8" xfId="0" applyNumberFormat="1" applyFont="1" applyBorder="1" applyAlignment="1" applyProtection="1">
      <alignment horizontal="right"/>
      <protection/>
    </xf>
    <xf numFmtId="4" fontId="7" fillId="0" borderId="9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1" fillId="3" borderId="11" xfId="0" applyNumberFormat="1" applyFont="1" applyFill="1" applyBorder="1" applyAlignment="1">
      <alignment horizontal="center"/>
    </xf>
    <xf numFmtId="4" fontId="1" fillId="3" borderId="12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1" fillId="3" borderId="2" xfId="0" applyNumberFormat="1" applyFont="1" applyFill="1" applyBorder="1" applyAlignment="1">
      <alignment horizontal="center"/>
    </xf>
    <xf numFmtId="4" fontId="4" fillId="0" borderId="5" xfId="0" applyNumberFormat="1" applyFont="1" applyBorder="1" applyAlignment="1" applyProtection="1">
      <alignment horizontal="right"/>
      <protection/>
    </xf>
    <xf numFmtId="4" fontId="4" fillId="0" borderId="7" xfId="0" applyNumberFormat="1" applyFont="1" applyBorder="1" applyAlignment="1" applyProtection="1">
      <alignment horizontal="right"/>
      <protection/>
    </xf>
    <xf numFmtId="4" fontId="1" fillId="0" borderId="2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3" borderId="6" xfId="0" applyFont="1" applyFill="1" applyBorder="1" applyAlignment="1">
      <alignment/>
    </xf>
    <xf numFmtId="0" fontId="1" fillId="0" borderId="2" xfId="0" applyFont="1" applyBorder="1" applyAlignment="1">
      <alignment/>
    </xf>
    <xf numFmtId="4" fontId="9" fillId="0" borderId="2" xfId="0" applyNumberFormat="1" applyFont="1" applyBorder="1" applyAlignment="1">
      <alignment/>
    </xf>
    <xf numFmtId="0" fontId="1" fillId="3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4" fontId="5" fillId="0" borderId="13" xfId="0" applyNumberFormat="1" applyFont="1" applyBorder="1" applyAlignment="1" applyProtection="1">
      <alignment horizontal="right"/>
      <protection/>
    </xf>
    <xf numFmtId="4" fontId="5" fillId="0" borderId="14" xfId="0" applyNumberFormat="1" applyFont="1" applyBorder="1" applyAlignment="1" applyProtection="1">
      <alignment horizontal="right"/>
      <protection/>
    </xf>
    <xf numFmtId="43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6" fontId="3" fillId="0" borderId="2" xfId="0" applyNumberFormat="1" applyFont="1" applyBorder="1" applyAlignment="1" quotePrefix="1">
      <alignment horizontal="center"/>
    </xf>
    <xf numFmtId="2" fontId="3" fillId="0" borderId="0" xfId="0" applyNumberFormat="1" applyFont="1" applyBorder="1" applyAlignment="1">
      <alignment wrapText="1"/>
    </xf>
    <xf numFmtId="0" fontId="3" fillId="0" borderId="2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4" fontId="3" fillId="0" borderId="2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 applyProtection="1">
      <alignment/>
      <protection locked="0"/>
    </xf>
    <xf numFmtId="0" fontId="3" fillId="0" borderId="2" xfId="0" applyFont="1" applyBorder="1" applyAlignment="1">
      <alignment horizontal="right"/>
    </xf>
    <xf numFmtId="14" fontId="3" fillId="0" borderId="2" xfId="0" applyNumberFormat="1" applyFont="1" applyBorder="1" applyAlignment="1" quotePrefix="1">
      <alignment horizontal="right"/>
    </xf>
    <xf numFmtId="16" fontId="3" fillId="0" borderId="2" xfId="0" applyNumberFormat="1" applyFont="1" applyBorder="1" applyAlignment="1" applyProtection="1" quotePrefix="1">
      <alignment/>
      <protection locked="0"/>
    </xf>
    <xf numFmtId="4" fontId="9" fillId="0" borderId="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/>
    </xf>
    <xf numFmtId="4" fontId="4" fillId="4" borderId="1" xfId="0" applyNumberFormat="1" applyFont="1" applyFill="1" applyBorder="1" applyAlignment="1" applyProtection="1">
      <alignment horizontal="right"/>
      <protection/>
    </xf>
    <xf numFmtId="4" fontId="5" fillId="4" borderId="3" xfId="0" applyNumberFormat="1" applyFont="1" applyFill="1" applyBorder="1" applyAlignment="1" applyProtection="1">
      <alignment horizontal="right"/>
      <protection/>
    </xf>
    <xf numFmtId="4" fontId="7" fillId="4" borderId="3" xfId="0" applyNumberFormat="1" applyFont="1" applyFill="1" applyBorder="1" applyAlignment="1" applyProtection="1">
      <alignment horizontal="right"/>
      <protection/>
    </xf>
    <xf numFmtId="0" fontId="8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4" fontId="4" fillId="4" borderId="2" xfId="0" applyNumberFormat="1" applyFont="1" applyFill="1" applyBorder="1" applyAlignment="1" applyProtection="1">
      <alignment horizontal="right"/>
      <protection/>
    </xf>
    <xf numFmtId="4" fontId="5" fillId="4" borderId="2" xfId="0" applyNumberFormat="1" applyFont="1" applyFill="1" applyBorder="1" applyAlignment="1" applyProtection="1">
      <alignment horizontal="right"/>
      <protection/>
    </xf>
    <xf numFmtId="4" fontId="7" fillId="4" borderId="2" xfId="0" applyNumberFormat="1" applyFont="1" applyFill="1" applyBorder="1" applyAlignment="1" applyProtection="1">
      <alignment horizontal="right"/>
      <protection/>
    </xf>
    <xf numFmtId="4" fontId="3" fillId="4" borderId="2" xfId="0" applyNumberFormat="1" applyFont="1" applyFill="1" applyBorder="1" applyAlignment="1" applyProtection="1">
      <alignment/>
      <protection locked="0"/>
    </xf>
    <xf numFmtId="4" fontId="4" fillId="4" borderId="9" xfId="0" applyNumberFormat="1" applyFont="1" applyFill="1" applyBorder="1" applyAlignment="1" applyProtection="1">
      <alignment horizontal="right"/>
      <protection/>
    </xf>
    <xf numFmtId="171" fontId="3" fillId="4" borderId="2" xfId="18" applyNumberFormat="1" applyFont="1" applyFill="1" applyBorder="1" applyAlignment="1">
      <alignment horizontal="right"/>
    </xf>
    <xf numFmtId="4" fontId="9" fillId="4" borderId="2" xfId="0" applyNumberFormat="1" applyFont="1" applyFill="1" applyBorder="1" applyAlignment="1">
      <alignment/>
    </xf>
    <xf numFmtId="4" fontId="4" fillId="4" borderId="1" xfId="0" applyNumberFormat="1" applyFont="1" applyFill="1" applyBorder="1" applyAlignment="1">
      <alignment/>
    </xf>
    <xf numFmtId="4" fontId="5" fillId="4" borderId="2" xfId="0" applyNumberFormat="1" applyFont="1" applyFill="1" applyBorder="1" applyAlignment="1">
      <alignment/>
    </xf>
    <xf numFmtId="4" fontId="7" fillId="4" borderId="2" xfId="0" applyNumberFormat="1" applyFont="1" applyFill="1" applyBorder="1" applyAlignment="1">
      <alignment/>
    </xf>
    <xf numFmtId="4" fontId="4" fillId="4" borderId="0" xfId="0" applyNumberFormat="1" applyFont="1" applyFill="1" applyBorder="1" applyAlignment="1">
      <alignment/>
    </xf>
    <xf numFmtId="4" fontId="5" fillId="4" borderId="4" xfId="0" applyNumberFormat="1" applyFont="1" applyFill="1" applyBorder="1" applyAlignment="1">
      <alignment/>
    </xf>
    <xf numFmtId="4" fontId="3" fillId="4" borderId="15" xfId="0" applyNumberFormat="1" applyFont="1" applyFill="1" applyBorder="1" applyAlignment="1">
      <alignment/>
    </xf>
    <xf numFmtId="4" fontId="3" fillId="4" borderId="8" xfId="0" applyNumberFormat="1" applyFont="1" applyFill="1" applyBorder="1" applyAlignment="1">
      <alignment/>
    </xf>
    <xf numFmtId="4" fontId="1" fillId="0" borderId="15" xfId="0" applyNumberFormat="1" applyFont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1" fillId="0" borderId="0" xfId="15" applyAlignment="1">
      <alignment/>
    </xf>
    <xf numFmtId="0" fontId="3" fillId="0" borderId="6" xfId="0" applyFont="1" applyBorder="1" applyAlignment="1">
      <alignment/>
    </xf>
    <xf numFmtId="3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4" fontId="3" fillId="4" borderId="2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wrapText="1"/>
    </xf>
    <xf numFmtId="0" fontId="1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0" fontId="3" fillId="5" borderId="2" xfId="0" applyFont="1" applyFill="1" applyBorder="1" applyAlignment="1">
      <alignment wrapText="1"/>
    </xf>
    <xf numFmtId="14" fontId="3" fillId="5" borderId="2" xfId="0" applyNumberFormat="1" applyFont="1" applyFill="1" applyBorder="1" applyAlignment="1">
      <alignment/>
    </xf>
    <xf numFmtId="14" fontId="3" fillId="5" borderId="2" xfId="0" applyNumberFormat="1" applyFont="1" applyFill="1" applyBorder="1" applyAlignment="1">
      <alignment/>
    </xf>
    <xf numFmtId="4" fontId="3" fillId="5" borderId="2" xfId="0" applyNumberFormat="1" applyFont="1" applyFill="1" applyBorder="1" applyAlignment="1">
      <alignment/>
    </xf>
    <xf numFmtId="0" fontId="3" fillId="5" borderId="15" xfId="0" applyFont="1" applyFill="1" applyBorder="1" applyAlignment="1">
      <alignment horizontal="left" wrapText="1"/>
    </xf>
    <xf numFmtId="0" fontId="3" fillId="5" borderId="12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wrapText="1"/>
    </xf>
    <xf numFmtId="0" fontId="3" fillId="5" borderId="0" xfId="0" applyFont="1" applyFill="1" applyBorder="1" applyAlignment="1">
      <alignment/>
    </xf>
    <xf numFmtId="171" fontId="3" fillId="5" borderId="2" xfId="18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/>
    </xf>
    <xf numFmtId="14" fontId="3" fillId="5" borderId="2" xfId="0" applyNumberFormat="1" applyFont="1" applyFill="1" applyBorder="1" applyAlignment="1">
      <alignment horizontal="center"/>
    </xf>
    <xf numFmtId="14" fontId="3" fillId="5" borderId="2" xfId="0" applyNumberFormat="1" applyFont="1" applyFill="1" applyBorder="1" applyAlignment="1">
      <alignment horizontal="justify" wrapText="1"/>
    </xf>
    <xf numFmtId="0" fontId="3" fillId="5" borderId="2" xfId="0" applyFont="1" applyFill="1" applyBorder="1" applyAlignment="1">
      <alignment horizontal="right"/>
    </xf>
    <xf numFmtId="2" fontId="3" fillId="5" borderId="2" xfId="0" applyNumberFormat="1" applyFont="1" applyFill="1" applyBorder="1" applyAlignment="1">
      <alignment/>
    </xf>
    <xf numFmtId="0" fontId="3" fillId="5" borderId="6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wrapText="1"/>
    </xf>
    <xf numFmtId="0" fontId="3" fillId="5" borderId="15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4" fontId="14" fillId="0" borderId="15" xfId="0" applyNumberFormat="1" applyFont="1" applyBorder="1" applyAlignment="1">
      <alignment/>
    </xf>
    <xf numFmtId="0" fontId="14" fillId="0" borderId="11" xfId="0" applyFont="1" applyBorder="1" applyAlignment="1">
      <alignment/>
    </xf>
    <xf numFmtId="4" fontId="14" fillId="0" borderId="11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0" xfId="0" applyFont="1" applyBorder="1" applyAlignment="1">
      <alignment/>
    </xf>
    <xf numFmtId="4" fontId="15" fillId="0" borderId="0" xfId="0" applyNumberFormat="1" applyFont="1" applyBorder="1" applyAlignment="1">
      <alignment/>
    </xf>
    <xf numFmtId="10" fontId="15" fillId="0" borderId="7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8" xfId="0" applyFont="1" applyBorder="1" applyAlignment="1">
      <alignment/>
    </xf>
    <xf numFmtId="0" fontId="14" fillId="0" borderId="9" xfId="0" applyFont="1" applyBorder="1" applyAlignment="1">
      <alignment/>
    </xf>
    <xf numFmtId="4" fontId="15" fillId="0" borderId="9" xfId="0" applyNumberFormat="1" applyFont="1" applyBorder="1" applyAlignment="1">
      <alignment/>
    </xf>
    <xf numFmtId="10" fontId="15" fillId="0" borderId="10" xfId="0" applyNumberFormat="1" applyFont="1" applyBorder="1" applyAlignment="1">
      <alignment/>
    </xf>
    <xf numFmtId="9" fontId="14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0" fontId="14" fillId="0" borderId="15" xfId="0" applyFont="1" applyBorder="1" applyAlignment="1">
      <alignment/>
    </xf>
    <xf numFmtId="4" fontId="15" fillId="0" borderId="11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5" fillId="0" borderId="7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16" fillId="0" borderId="2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8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8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4" borderId="2" xfId="0" applyNumberFormat="1" applyFont="1" applyFill="1" applyBorder="1" applyAlignment="1">
      <alignment/>
    </xf>
    <xf numFmtId="0" fontId="17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/>
    </xf>
    <xf numFmtId="171" fontId="3" fillId="0" borderId="2" xfId="18" applyNumberFormat="1" applyFont="1" applyBorder="1" applyAlignment="1">
      <alignment horizontal="left"/>
    </xf>
    <xf numFmtId="9" fontId="5" fillId="0" borderId="7" xfId="0" applyNumberFormat="1" applyFont="1" applyBorder="1" applyAlignment="1" applyProtection="1">
      <alignment horizontal="right"/>
      <protection/>
    </xf>
    <xf numFmtId="4" fontId="3" fillId="4" borderId="2" xfId="0" applyNumberFormat="1" applyFont="1" applyFill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4" fontId="18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4" borderId="3" xfId="0" applyNumberFormat="1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5" borderId="6" xfId="0" applyFont="1" applyFill="1" applyBorder="1" applyAlignment="1">
      <alignment horizontal="center" wrapText="1"/>
    </xf>
    <xf numFmtId="2" fontId="3" fillId="4" borderId="2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4" fontId="4" fillId="0" borderId="15" xfId="0" applyNumberFormat="1" applyFont="1" applyBorder="1" applyAlignment="1" applyProtection="1">
      <alignment horizontal="right"/>
      <protection/>
    </xf>
    <xf numFmtId="4" fontId="4" fillId="0" borderId="11" xfId="0" applyNumberFormat="1" applyFont="1" applyBorder="1" applyAlignment="1" applyProtection="1">
      <alignment horizontal="right"/>
      <protection/>
    </xf>
    <xf numFmtId="4" fontId="4" fillId="0" borderId="12" xfId="0" applyNumberFormat="1" applyFont="1" applyBorder="1" applyAlignment="1" applyProtection="1">
      <alignment horizontal="right"/>
      <protection/>
    </xf>
    <xf numFmtId="4" fontId="7" fillId="0" borderId="8" xfId="0" applyNumberFormat="1" applyFont="1" applyBorder="1" applyAlignment="1" applyProtection="1">
      <alignment horizontal="right"/>
      <protection/>
    </xf>
    <xf numFmtId="4" fontId="7" fillId="0" borderId="9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4" fillId="0" borderId="5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4" fillId="0" borderId="7" xfId="0" applyNumberFormat="1" applyFont="1" applyBorder="1" applyAlignment="1" applyProtection="1">
      <alignment horizontal="right"/>
      <protection/>
    </xf>
    <xf numFmtId="4" fontId="5" fillId="0" borderId="5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7" xfId="0" applyNumberFormat="1" applyFont="1" applyBorder="1" applyAlignment="1" applyProtection="1">
      <alignment horizontal="right"/>
      <protection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wrapText="1"/>
      <protection locked="0"/>
    </xf>
    <xf numFmtId="4" fontId="1" fillId="3" borderId="3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6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3" fillId="0" borderId="6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3"/>
  <sheetViews>
    <sheetView showGridLines="0" showZeros="0" zoomScale="85" zoomScaleNormal="85" workbookViewId="0" topLeftCell="A1">
      <pane xSplit="1" ySplit="9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65" sqref="O65"/>
    </sheetView>
  </sheetViews>
  <sheetFormatPr defaultColWidth="9.140625" defaultRowHeight="12.75"/>
  <cols>
    <col min="1" max="1" width="2.421875" style="1" customWidth="1"/>
    <col min="2" max="2" width="3.140625" style="71" customWidth="1"/>
    <col min="3" max="3" width="9.421875" style="2" customWidth="1"/>
    <col min="4" max="4" width="35.421875" style="2" customWidth="1"/>
    <col min="5" max="5" width="16.7109375" style="2" customWidth="1"/>
    <col min="6" max="6" width="8.140625" style="2" customWidth="1"/>
    <col min="7" max="7" width="10.421875" style="2" customWidth="1"/>
    <col min="8" max="8" width="10.28125" style="2" customWidth="1"/>
    <col min="9" max="9" width="9.421875" style="2" customWidth="1"/>
    <col min="10" max="10" width="10.140625" style="2" customWidth="1"/>
    <col min="11" max="11" width="9.00390625" style="2" customWidth="1"/>
    <col min="12" max="12" width="11.421875" style="106" customWidth="1"/>
    <col min="13" max="14" width="11.140625" style="2" customWidth="1"/>
    <col min="15" max="15" width="11.140625" style="106" customWidth="1"/>
    <col min="16" max="17" width="11.140625" style="2" customWidth="1"/>
    <col min="18" max="18" width="11.140625" style="106" customWidth="1"/>
    <col min="19" max="19" width="11.140625" style="2" bestFit="1" customWidth="1"/>
    <col min="20" max="20" width="10.28125" style="29" customWidth="1"/>
    <col min="21" max="21" width="14.140625" style="2" customWidth="1"/>
    <col min="22" max="16384" width="9.140625" style="2" customWidth="1"/>
  </cols>
  <sheetData>
    <row r="1" spans="1:20" s="1" customFormat="1" ht="11.25">
      <c r="A1" s="223" t="s">
        <v>76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5"/>
    </row>
    <row r="2" spans="1:20" s="1" customFormat="1" ht="22.5">
      <c r="A2" s="213"/>
      <c r="B2" s="214"/>
      <c r="C2" s="215"/>
      <c r="D2" s="215"/>
      <c r="E2" s="215"/>
      <c r="F2" s="215"/>
      <c r="G2" s="214"/>
      <c r="H2" s="214"/>
      <c r="I2" s="215"/>
      <c r="J2" s="215"/>
      <c r="K2" s="215"/>
      <c r="L2" s="215"/>
      <c r="M2" s="7" t="s">
        <v>21</v>
      </c>
      <c r="N2" s="7" t="s">
        <v>79</v>
      </c>
      <c r="O2" s="104" t="s">
        <v>80</v>
      </c>
      <c r="P2" s="7" t="s">
        <v>22</v>
      </c>
      <c r="Q2" s="7" t="s">
        <v>81</v>
      </c>
      <c r="R2" s="104" t="s">
        <v>82</v>
      </c>
      <c r="S2" s="216" t="s">
        <v>24</v>
      </c>
      <c r="T2" s="217" t="s">
        <v>25</v>
      </c>
    </row>
    <row r="3" spans="1:21" ht="11.25">
      <c r="A3" s="121"/>
      <c r="B3" s="122"/>
      <c r="C3" s="63" t="s">
        <v>0</v>
      </c>
      <c r="D3" s="64" t="s">
        <v>35</v>
      </c>
      <c r="E3" s="76" t="s">
        <v>77</v>
      </c>
      <c r="F3" s="77"/>
      <c r="G3" s="92">
        <f>+M12+M39+M60+M77+M91+M105+M125</f>
        <v>659925</v>
      </c>
      <c r="H3" s="163">
        <f>+M3/G3</f>
        <v>0.8474157373526148</v>
      </c>
      <c r="I3" s="78" t="s">
        <v>34</v>
      </c>
      <c r="J3" s="79">
        <v>37988</v>
      </c>
      <c r="K3" s="93"/>
      <c r="L3" s="100" t="s">
        <v>31</v>
      </c>
      <c r="M3" s="69">
        <f aca="true" t="shared" si="0" ref="M3:T3">SUM(M4:M10)</f>
        <v>559230.8304724243</v>
      </c>
      <c r="N3" s="69">
        <f t="shared" si="0"/>
        <v>58426.81575757576</v>
      </c>
      <c r="O3" s="113">
        <f t="shared" si="0"/>
        <v>617657.6462300001</v>
      </c>
      <c r="P3" s="69">
        <f t="shared" si="0"/>
        <v>363500.03980707575</v>
      </c>
      <c r="Q3" s="69">
        <f t="shared" si="0"/>
        <v>37977.43024242425</v>
      </c>
      <c r="R3" s="113">
        <f t="shared" si="0"/>
        <v>401477.47004950006</v>
      </c>
      <c r="S3" s="69">
        <f t="shared" si="0"/>
        <v>150554.0512685625</v>
      </c>
      <c r="T3" s="69">
        <f t="shared" si="0"/>
        <v>250923.41878093747</v>
      </c>
      <c r="U3" s="39"/>
    </row>
    <row r="4" spans="1:21" s="32" customFormat="1" ht="11.25">
      <c r="A4" s="123"/>
      <c r="B4" s="124"/>
      <c r="C4" s="40" t="s">
        <v>36</v>
      </c>
      <c r="D4" s="41"/>
      <c r="E4" s="42" t="s">
        <v>72</v>
      </c>
      <c r="F4" s="43"/>
      <c r="G4" s="91">
        <v>428951.25</v>
      </c>
      <c r="H4" s="164">
        <f>+P3/G4</f>
        <v>0.8474157373526147</v>
      </c>
      <c r="J4" s="91" t="s">
        <v>75</v>
      </c>
      <c r="K4" s="69"/>
      <c r="L4" s="100" t="s">
        <v>32</v>
      </c>
      <c r="M4" s="69">
        <f>M13+M40+M61+M78+M92+M106+M126</f>
        <v>175302.41</v>
      </c>
      <c r="N4" s="69">
        <f>N13+N40+N61+N78+N92+N106+N126</f>
        <v>11868</v>
      </c>
      <c r="O4" s="113">
        <f>O13+O40+O61+O78+O92+O106+O126</f>
        <v>187170.41</v>
      </c>
      <c r="P4" s="69">
        <f>P13+P40+P61+P78+P92+P106+P126</f>
        <v>113946.5665</v>
      </c>
      <c r="Q4" s="69">
        <f>Q13+Q40+Q61+Q78+Q92+Q106+Q126</f>
        <v>7714.200000000001</v>
      </c>
      <c r="R4" s="113">
        <f>R13+R40+R61+R78+R92+R106+R126</f>
        <v>121660.7665</v>
      </c>
      <c r="S4" s="69">
        <f>S13+S40+S61+S78+S92+S106+S126</f>
        <v>45622.78743750001</v>
      </c>
      <c r="T4" s="69">
        <f>T13+T40+T61+T78+T92+T106+T126</f>
        <v>76037.97906249999</v>
      </c>
      <c r="U4" s="39">
        <v>76037.98</v>
      </c>
    </row>
    <row r="5" spans="1:21" s="32" customFormat="1" ht="11.25">
      <c r="A5" s="242"/>
      <c r="B5" s="243"/>
      <c r="C5" s="40" t="s">
        <v>84</v>
      </c>
      <c r="D5" s="41"/>
      <c r="E5" s="42" t="s">
        <v>73</v>
      </c>
      <c r="F5" s="43"/>
      <c r="G5" s="91">
        <v>56995.25</v>
      </c>
      <c r="H5" s="164">
        <f>+Q3/G5</f>
        <v>0.6663262331935424</v>
      </c>
      <c r="J5" s="32" t="s">
        <v>78</v>
      </c>
      <c r="K5" s="94"/>
      <c r="L5" s="100" t="s">
        <v>33</v>
      </c>
      <c r="M5" s="69">
        <f>M14+M41+M62+M79+M93+M107+M127</f>
        <v>54547.34</v>
      </c>
      <c r="N5" s="69">
        <f>N14+N41+N62+N79+N93+N107+N127</f>
        <v>204</v>
      </c>
      <c r="O5" s="113">
        <f>O14+O41+O62+O79+O93+O107+O127</f>
        <v>54751.34</v>
      </c>
      <c r="P5" s="69">
        <f>P14+P41+P62+P79+P93+P107+P127</f>
        <v>35455.771</v>
      </c>
      <c r="Q5" s="69">
        <f>Q14+Q41+Q62+Q79+Q93+Q107+Q127</f>
        <v>132.6</v>
      </c>
      <c r="R5" s="113">
        <f>R14+R41+R62+R79+R93+R107+R127</f>
        <v>35588.371</v>
      </c>
      <c r="S5" s="69">
        <f>S14+S41+S62+S79+S93+S107+S127</f>
        <v>13345.639125</v>
      </c>
      <c r="T5" s="69">
        <f>T14+T41+T62+T79+T93+T107+T127</f>
        <v>22242.731874999998</v>
      </c>
      <c r="U5" s="39">
        <v>22242.73</v>
      </c>
    </row>
    <row r="6" spans="1:21" s="32" customFormat="1" ht="11.25">
      <c r="A6" s="242"/>
      <c r="B6" s="243"/>
      <c r="C6" s="40" t="s">
        <v>85</v>
      </c>
      <c r="D6" s="41"/>
      <c r="E6" s="42" t="s">
        <v>74</v>
      </c>
      <c r="F6" s="43"/>
      <c r="G6" s="91">
        <f>SUM(G4:G5)</f>
        <v>485946.5</v>
      </c>
      <c r="H6" s="164">
        <f>+R3/G6</f>
        <v>0.8261762767084444</v>
      </c>
      <c r="L6" s="100" t="s">
        <v>125</v>
      </c>
      <c r="M6" s="69">
        <f>M15+M42+M63+M80+M94+M108+M128</f>
        <v>112945.04318000001</v>
      </c>
      <c r="N6" s="69">
        <f>N15+N42+N63+N80+N94+N108+N128</f>
        <v>16463.53</v>
      </c>
      <c r="O6" s="113">
        <f>O15+O42+O63+O80+O94+O108+O128</f>
        <v>129408.57318</v>
      </c>
      <c r="P6" s="69">
        <f>P15+P42+P63+P80+P94+P108+P128</f>
        <v>73414.27806699999</v>
      </c>
      <c r="Q6" s="69">
        <f>Q15+Q42+Q63+Q80+Q94+Q108+Q128</f>
        <v>10701.2945</v>
      </c>
      <c r="R6" s="113">
        <f>R15+R42+R63+R80+R94+R108+R128</f>
        <v>84115.572567</v>
      </c>
      <c r="S6" s="69">
        <f>S15+S42+S63+S80+S94+S108+S128</f>
        <v>31543.339712625</v>
      </c>
      <c r="T6" s="69">
        <f>T15+T42+T63+T80+T94+T108+T128</f>
        <v>52572.232854375005</v>
      </c>
      <c r="U6" s="139">
        <v>52572.232854375</v>
      </c>
    </row>
    <row r="7" spans="1:21" s="32" customFormat="1" ht="11.25">
      <c r="A7" s="161"/>
      <c r="B7" s="162"/>
      <c r="C7" s="40" t="s">
        <v>128</v>
      </c>
      <c r="D7" s="41"/>
      <c r="E7" s="42"/>
      <c r="F7" s="43"/>
      <c r="G7" s="91"/>
      <c r="H7" s="164"/>
      <c r="L7" s="100" t="s">
        <v>129</v>
      </c>
      <c r="M7" s="69">
        <f>M16+M43+M64+M81+M95+M109+M129</f>
        <v>113980.59305000001</v>
      </c>
      <c r="N7" s="69">
        <f>N16+N43+N64+N81+N95+N109+N129</f>
        <v>13145.47</v>
      </c>
      <c r="O7" s="113">
        <f>+N7+M7</f>
        <v>127126.06305000001</v>
      </c>
      <c r="P7" s="69">
        <f>P16+P43+P64+P81+P95+P109+P129</f>
        <v>74087.38548250002</v>
      </c>
      <c r="Q7" s="69">
        <f>Q16+Q43+Q64+Q81+Q95+Q109+Q129</f>
        <v>8544.5555</v>
      </c>
      <c r="R7" s="113">
        <f>+Q7+P7</f>
        <v>82631.94098250002</v>
      </c>
      <c r="S7" s="69">
        <f>S16+S43+S64+S81+S95+S109+S129</f>
        <v>30986.977868437505</v>
      </c>
      <c r="T7" s="69">
        <f>T16+T43+T64+T81+T95+T109+T129</f>
        <v>51644.963114062506</v>
      </c>
      <c r="U7" s="139">
        <v>51644.96</v>
      </c>
    </row>
    <row r="8" spans="1:21" s="32" customFormat="1" ht="11.25">
      <c r="A8" s="161"/>
      <c r="B8" s="162"/>
      <c r="C8" s="40" t="s">
        <v>204</v>
      </c>
      <c r="D8" s="41"/>
      <c r="E8" s="42"/>
      <c r="F8" s="43"/>
      <c r="G8" s="91"/>
      <c r="H8" s="164"/>
      <c r="L8" s="100" t="s">
        <v>205</v>
      </c>
      <c r="M8" s="69">
        <f>M17+M44+M65+M82+M96+M110+M130</f>
        <v>102455.44424242424</v>
      </c>
      <c r="N8" s="69">
        <f>N17+N44+N65+N82+N96+N110+N130</f>
        <v>16745.815757575758</v>
      </c>
      <c r="O8" s="113">
        <f>+N8+M8</f>
        <v>119201.26000000001</v>
      </c>
      <c r="P8" s="69">
        <f>P17+P44+P65+P82+P96+P110+P130</f>
        <v>66596.03875757576</v>
      </c>
      <c r="Q8" s="69">
        <f>Q17+Q44+Q65+Q82+Q96+Q110+Q130</f>
        <v>10884.780242424244</v>
      </c>
      <c r="R8" s="113">
        <f>+Q8+P8</f>
        <v>77480.819</v>
      </c>
      <c r="S8" s="69">
        <f>S17+S44+S65+S82+S96+S110+S130</f>
        <v>29055.307125</v>
      </c>
      <c r="T8" s="69">
        <f>T17+T44+T65+T82+T96+T110+T130</f>
        <v>48425.511875000004</v>
      </c>
      <c r="U8" s="139"/>
    </row>
    <row r="9" spans="1:21" s="32" customFormat="1" ht="11.25">
      <c r="A9" s="242"/>
      <c r="B9" s="243"/>
      <c r="C9" s="40"/>
      <c r="D9" s="41"/>
      <c r="E9" s="42"/>
      <c r="F9" s="43"/>
      <c r="G9" s="43"/>
      <c r="H9" s="44"/>
      <c r="L9" s="100"/>
      <c r="M9" s="69"/>
      <c r="N9" s="69"/>
      <c r="O9" s="113"/>
      <c r="P9" s="69"/>
      <c r="Q9" s="69"/>
      <c r="R9" s="113"/>
      <c r="S9" s="69"/>
      <c r="T9" s="69"/>
      <c r="U9" s="31"/>
    </row>
    <row r="10" spans="1:21" s="32" customFormat="1" ht="11.25">
      <c r="A10" s="125"/>
      <c r="B10" s="126"/>
      <c r="D10" s="41"/>
      <c r="E10" s="42"/>
      <c r="F10" s="43"/>
      <c r="G10" s="43"/>
      <c r="H10" s="44"/>
      <c r="L10" s="100"/>
      <c r="M10" s="69"/>
      <c r="N10" s="69"/>
      <c r="O10" s="113"/>
      <c r="P10" s="69"/>
      <c r="Q10" s="69"/>
      <c r="R10" s="113"/>
      <c r="S10" s="69"/>
      <c r="T10" s="69"/>
      <c r="U10" s="31"/>
    </row>
    <row r="11" spans="1:21" ht="11.25">
      <c r="A11" s="45"/>
      <c r="B11" s="70"/>
      <c r="C11" s="273" t="s">
        <v>6</v>
      </c>
      <c r="D11" s="273"/>
      <c r="E11" s="273"/>
      <c r="F11" s="273"/>
      <c r="G11" s="273"/>
      <c r="H11" s="273"/>
      <c r="I11" s="273"/>
      <c r="J11" s="273"/>
      <c r="K11" s="273"/>
      <c r="L11" s="274"/>
      <c r="M11" s="238" t="s">
        <v>26</v>
      </c>
      <c r="N11" s="239"/>
      <c r="O11" s="239"/>
      <c r="P11" s="239" t="s">
        <v>22</v>
      </c>
      <c r="Q11" s="239"/>
      <c r="R11" s="239"/>
      <c r="S11" s="36" t="s">
        <v>24</v>
      </c>
      <c r="T11" s="37" t="s">
        <v>25</v>
      </c>
      <c r="U11" s="30"/>
    </row>
    <row r="12" spans="1:21" s="1" customFormat="1" ht="11.25">
      <c r="A12" s="127"/>
      <c r="B12" s="128"/>
      <c r="C12" s="60"/>
      <c r="D12" s="47"/>
      <c r="E12" s="47"/>
      <c r="F12" s="47"/>
      <c r="G12" s="47"/>
      <c r="H12" s="47"/>
      <c r="I12" s="47"/>
      <c r="J12" s="47"/>
      <c r="K12" s="61"/>
      <c r="L12" s="101" t="s">
        <v>12</v>
      </c>
      <c r="M12" s="3">
        <v>221500</v>
      </c>
      <c r="N12" s="3"/>
      <c r="O12" s="114"/>
      <c r="P12" s="3"/>
      <c r="Q12" s="95"/>
      <c r="R12" s="114"/>
      <c r="U12" s="28"/>
    </row>
    <row r="13" spans="1:21" s="1" customFormat="1" ht="11.25">
      <c r="A13" s="129"/>
      <c r="B13" s="130"/>
      <c r="C13" s="49"/>
      <c r="D13" s="48"/>
      <c r="E13" s="48"/>
      <c r="F13" s="48"/>
      <c r="G13" s="48"/>
      <c r="H13" s="48"/>
      <c r="I13" s="48"/>
      <c r="J13" s="48"/>
      <c r="K13" s="4">
        <f>SUM(K20:K21)</f>
        <v>0</v>
      </c>
      <c r="L13" s="102" t="s">
        <v>29</v>
      </c>
      <c r="M13" s="4">
        <f aca="true" t="shared" si="1" ref="M13:R13">SUM(M20:M21)</f>
        <v>112790.06</v>
      </c>
      <c r="N13" s="4">
        <f t="shared" si="1"/>
        <v>0</v>
      </c>
      <c r="O13" s="115">
        <f t="shared" si="1"/>
        <v>112790.06</v>
      </c>
      <c r="P13" s="4">
        <f t="shared" si="1"/>
        <v>73313.539</v>
      </c>
      <c r="Q13" s="4">
        <f t="shared" si="1"/>
        <v>0</v>
      </c>
      <c r="R13" s="115">
        <f t="shared" si="1"/>
        <v>73313.539</v>
      </c>
      <c r="S13" s="5">
        <f>R13*0.375</f>
        <v>27492.577125000003</v>
      </c>
      <c r="T13" s="5">
        <f>R13-S13</f>
        <v>45820.961875</v>
      </c>
      <c r="U13" s="34"/>
    </row>
    <row r="14" spans="1:21" s="1" customFormat="1" ht="11.25">
      <c r="A14" s="129"/>
      <c r="B14" s="130"/>
      <c r="C14" s="49"/>
      <c r="D14" s="48"/>
      <c r="E14" s="48"/>
      <c r="F14" s="48"/>
      <c r="G14" s="48"/>
      <c r="H14" s="48"/>
      <c r="I14" s="48"/>
      <c r="J14" s="48"/>
      <c r="K14" s="50"/>
      <c r="L14" s="102" t="s">
        <v>30</v>
      </c>
      <c r="M14" s="4">
        <f>+M22</f>
        <v>29573.18</v>
      </c>
      <c r="N14" s="4">
        <f>SUM(N23:N25)</f>
        <v>0</v>
      </c>
      <c r="O14" s="115">
        <f>+N14+M14</f>
        <v>29573.18</v>
      </c>
      <c r="P14" s="4">
        <f>+P22</f>
        <v>19222.567</v>
      </c>
      <c r="Q14" s="4">
        <f>SUM(Q23:Q25)</f>
        <v>0</v>
      </c>
      <c r="R14" s="115">
        <f>+Q14+P14</f>
        <v>19222.567</v>
      </c>
      <c r="S14" s="5">
        <f>R14*0.375</f>
        <v>7208.462625</v>
      </c>
      <c r="T14" s="5">
        <f>R14-S14</f>
        <v>12014.104374999999</v>
      </c>
      <c r="U14" s="34"/>
    </row>
    <row r="15" spans="1:21" s="1" customFormat="1" ht="11.25">
      <c r="A15" s="129"/>
      <c r="B15" s="130"/>
      <c r="C15" s="49"/>
      <c r="D15" s="48"/>
      <c r="E15" s="48"/>
      <c r="F15" s="48"/>
      <c r="G15" s="48"/>
      <c r="H15" s="48"/>
      <c r="I15" s="48"/>
      <c r="J15" s="48"/>
      <c r="K15" s="50"/>
      <c r="L15" s="102" t="s">
        <v>89</v>
      </c>
      <c r="M15" s="4">
        <f>SUM(M26:M29)</f>
        <v>36781.57318</v>
      </c>
      <c r="N15" s="4">
        <f>SUM(N27:N29)</f>
        <v>0</v>
      </c>
      <c r="O15" s="115">
        <f>+N15+M15</f>
        <v>36781.57318</v>
      </c>
      <c r="P15" s="4">
        <f>SUM(P26:P29)</f>
        <v>23908.022567</v>
      </c>
      <c r="Q15" s="4">
        <f>SUM(Q27:Q29)</f>
        <v>0</v>
      </c>
      <c r="R15" s="115">
        <f>+Q15+P15</f>
        <v>23908.022567</v>
      </c>
      <c r="S15" s="5">
        <f>R15*0.375</f>
        <v>8965.508462624999</v>
      </c>
      <c r="T15" s="5">
        <f>R15-S15</f>
        <v>14942.514104375</v>
      </c>
      <c r="U15" s="34"/>
    </row>
    <row r="16" spans="1:21" s="1" customFormat="1" ht="11.25">
      <c r="A16" s="129"/>
      <c r="B16" s="130"/>
      <c r="C16" s="49"/>
      <c r="D16" s="48"/>
      <c r="E16" s="48"/>
      <c r="F16" s="48"/>
      <c r="G16" s="48"/>
      <c r="H16" s="48"/>
      <c r="I16" s="48"/>
      <c r="J16" s="48"/>
      <c r="K16" s="50"/>
      <c r="L16" s="102" t="s">
        <v>166</v>
      </c>
      <c r="M16" s="4">
        <f>SUM(M30:M32)</f>
        <v>48253.26305</v>
      </c>
      <c r="N16" s="4">
        <f>SUM(N30:N32)</f>
        <v>0</v>
      </c>
      <c r="O16" s="115">
        <f>+N16+M16</f>
        <v>48253.26305</v>
      </c>
      <c r="P16" s="4">
        <f>SUM(P30:P32)</f>
        <v>31364.620982500004</v>
      </c>
      <c r="Q16" s="4">
        <f>SUM(Q30:Q32)</f>
        <v>0</v>
      </c>
      <c r="R16" s="115">
        <f>+Q16+P16</f>
        <v>31364.620982500004</v>
      </c>
      <c r="S16" s="5">
        <f>R16*0.375</f>
        <v>11761.732868437502</v>
      </c>
      <c r="T16" s="5">
        <f>R16-S16</f>
        <v>19602.8881140625</v>
      </c>
      <c r="U16" s="34"/>
    </row>
    <row r="17" spans="1:21" s="1" customFormat="1" ht="11.25">
      <c r="A17" s="129"/>
      <c r="B17" s="130"/>
      <c r="C17" s="49"/>
      <c r="D17" s="48"/>
      <c r="E17" s="48"/>
      <c r="F17" s="48"/>
      <c r="G17" s="48"/>
      <c r="H17" s="48"/>
      <c r="I17" s="48"/>
      <c r="J17" s="48"/>
      <c r="K17" s="50"/>
      <c r="L17" s="102" t="s">
        <v>213</v>
      </c>
      <c r="M17" s="4">
        <f>SUM(M33:M35)</f>
        <v>31195.059999999998</v>
      </c>
      <c r="N17" s="4"/>
      <c r="O17" s="115">
        <f>+N17+M17</f>
        <v>31195.059999999998</v>
      </c>
      <c r="P17" s="4">
        <f>SUM(P33:P35)</f>
        <v>20276.789</v>
      </c>
      <c r="Q17" s="4"/>
      <c r="R17" s="115">
        <f>+Q17+P17</f>
        <v>20276.789</v>
      </c>
      <c r="S17" s="5">
        <f>R17*0.375</f>
        <v>7603.795875</v>
      </c>
      <c r="T17" s="5">
        <f>R17-S17</f>
        <v>12672.993125</v>
      </c>
      <c r="U17" s="34"/>
    </row>
    <row r="18" spans="1:21" s="1" customFormat="1" ht="12.75">
      <c r="A18" s="131"/>
      <c r="B18" s="132"/>
      <c r="C18" s="51"/>
      <c r="D18" s="52"/>
      <c r="E18" s="52"/>
      <c r="F18" s="52"/>
      <c r="G18" s="52"/>
      <c r="H18" s="52"/>
      <c r="I18" s="52"/>
      <c r="J18" s="52"/>
      <c r="K18" s="53"/>
      <c r="L18" s="103" t="s">
        <v>13</v>
      </c>
      <c r="M18" s="6">
        <f>M12-M13-M14-M15-M16-M17</f>
        <v>-37093.13622999999</v>
      </c>
      <c r="N18" s="6"/>
      <c r="O18" s="116"/>
      <c r="P18" s="6"/>
      <c r="Q18" s="6"/>
      <c r="R18" s="116"/>
      <c r="S18" s="133"/>
      <c r="T18" s="39"/>
      <c r="U18" s="28"/>
    </row>
    <row r="19" spans="1:21" ht="22.5">
      <c r="A19" s="99" t="s">
        <v>14</v>
      </c>
      <c r="B19" s="7" t="s">
        <v>11</v>
      </c>
      <c r="C19" s="38" t="s">
        <v>23</v>
      </c>
      <c r="D19" s="38" t="s">
        <v>20</v>
      </c>
      <c r="E19" s="46" t="s">
        <v>2</v>
      </c>
      <c r="F19" s="38" t="s">
        <v>19</v>
      </c>
      <c r="G19" s="38" t="s">
        <v>18</v>
      </c>
      <c r="H19" s="46" t="s">
        <v>17</v>
      </c>
      <c r="I19" s="46" t="s">
        <v>16</v>
      </c>
      <c r="J19" s="38" t="s">
        <v>3</v>
      </c>
      <c r="K19" s="38" t="s">
        <v>4</v>
      </c>
      <c r="L19" s="104" t="s">
        <v>5</v>
      </c>
      <c r="M19" s="7" t="s">
        <v>21</v>
      </c>
      <c r="N19" s="7" t="s">
        <v>79</v>
      </c>
      <c r="O19" s="104" t="s">
        <v>80</v>
      </c>
      <c r="P19" s="7" t="s">
        <v>22</v>
      </c>
      <c r="Q19" s="7" t="s">
        <v>81</v>
      </c>
      <c r="R19" s="104" t="s">
        <v>82</v>
      </c>
      <c r="S19" s="240" t="s">
        <v>28</v>
      </c>
      <c r="T19" s="240"/>
      <c r="U19" s="29"/>
    </row>
    <row r="20" spans="1:20" ht="22.5">
      <c r="A20" s="65" t="s">
        <v>15</v>
      </c>
      <c r="B20" s="8"/>
      <c r="C20" s="9" t="s">
        <v>37</v>
      </c>
      <c r="D20" s="13" t="s">
        <v>40</v>
      </c>
      <c r="E20" s="9"/>
      <c r="F20" s="9"/>
      <c r="G20" s="10"/>
      <c r="H20" s="11"/>
      <c r="I20" s="11"/>
      <c r="J20" s="12">
        <v>54527.08</v>
      </c>
      <c r="K20" s="12">
        <v>0</v>
      </c>
      <c r="L20" s="105">
        <f>SUM(J20:K20)</f>
        <v>54527.08</v>
      </c>
      <c r="M20" s="12">
        <f>L20</f>
        <v>54527.08</v>
      </c>
      <c r="N20" s="12"/>
      <c r="O20" s="105">
        <f>+N20+M20</f>
        <v>54527.08</v>
      </c>
      <c r="P20" s="12">
        <f>M20*0.65</f>
        <v>35442.602</v>
      </c>
      <c r="Q20" s="12"/>
      <c r="R20" s="105">
        <f>+Q20+P20</f>
        <v>35442.602</v>
      </c>
      <c r="S20" s="235"/>
      <c r="T20" s="235"/>
    </row>
    <row r="21" spans="1:21" ht="22.5">
      <c r="A21" s="65" t="s">
        <v>15</v>
      </c>
      <c r="B21" s="8"/>
      <c r="C21" s="9" t="s">
        <v>38</v>
      </c>
      <c r="D21" s="13" t="s">
        <v>39</v>
      </c>
      <c r="E21" s="9"/>
      <c r="F21" s="9"/>
      <c r="G21" s="10"/>
      <c r="H21" s="11"/>
      <c r="I21" s="11"/>
      <c r="J21" s="12">
        <v>58262.98</v>
      </c>
      <c r="K21" s="12">
        <v>0</v>
      </c>
      <c r="L21" s="105">
        <f>SUM(J21:K21)</f>
        <v>58262.98</v>
      </c>
      <c r="M21" s="12">
        <f>L21</f>
        <v>58262.98</v>
      </c>
      <c r="N21" s="12"/>
      <c r="O21" s="105">
        <f>+N21+M21</f>
        <v>58262.98</v>
      </c>
      <c r="P21" s="12">
        <f>M21*0.65</f>
        <v>37870.937000000005</v>
      </c>
      <c r="Q21" s="12"/>
      <c r="R21" s="105">
        <f>+Q21+P21</f>
        <v>37870.937000000005</v>
      </c>
      <c r="S21" s="235"/>
      <c r="T21" s="235"/>
      <c r="U21" s="29"/>
    </row>
    <row r="22" spans="1:21" s="150" customFormat="1" ht="22.5" customHeight="1">
      <c r="A22" s="140" t="s">
        <v>86</v>
      </c>
      <c r="B22" s="141"/>
      <c r="C22" s="142"/>
      <c r="D22" s="143" t="s">
        <v>126</v>
      </c>
      <c r="E22" s="142"/>
      <c r="F22" s="142"/>
      <c r="G22" s="144"/>
      <c r="H22" s="145"/>
      <c r="I22" s="145"/>
      <c r="J22" s="146">
        <f>SUM(J23:J25)</f>
        <v>29573.180220000002</v>
      </c>
      <c r="K22" s="146"/>
      <c r="L22" s="146">
        <f>+K22+J22</f>
        <v>29573.180220000002</v>
      </c>
      <c r="M22" s="146">
        <v>29573.18</v>
      </c>
      <c r="N22" s="146"/>
      <c r="O22" s="105">
        <f>+N22+M22</f>
        <v>29573.18</v>
      </c>
      <c r="P22" s="146">
        <f>+M22*0.65</f>
        <v>19222.567</v>
      </c>
      <c r="Q22" s="146"/>
      <c r="R22" s="105">
        <f>+Q22+P22</f>
        <v>19222.567</v>
      </c>
      <c r="S22" s="147"/>
      <c r="T22" s="148"/>
      <c r="U22" s="149"/>
    </row>
    <row r="23" spans="1:21" ht="23.25" customHeight="1">
      <c r="A23" s="65" t="s">
        <v>86</v>
      </c>
      <c r="B23" s="8"/>
      <c r="C23" s="9" t="s">
        <v>38</v>
      </c>
      <c r="D23" s="13" t="s">
        <v>87</v>
      </c>
      <c r="E23" s="9"/>
      <c r="F23" s="9"/>
      <c r="G23" s="10"/>
      <c r="H23" s="11"/>
      <c r="I23" s="11"/>
      <c r="J23" s="12">
        <f>14.1325*638+16.30579*638</f>
        <v>19419.62902</v>
      </c>
      <c r="K23" s="12"/>
      <c r="L23" s="105">
        <f aca="true" t="shared" si="2" ref="L23:L35">+K23+J23</f>
        <v>19419.62902</v>
      </c>
      <c r="M23" s="12">
        <v>19419.63</v>
      </c>
      <c r="N23" s="12"/>
      <c r="O23" s="105">
        <f>+N23+M23</f>
        <v>19419.63</v>
      </c>
      <c r="P23" s="12">
        <f>M23*0.65</f>
        <v>12622.759500000002</v>
      </c>
      <c r="Q23" s="12"/>
      <c r="R23" s="105">
        <f>+Q23+P23</f>
        <v>12622.759500000002</v>
      </c>
      <c r="S23" s="262" t="s">
        <v>189</v>
      </c>
      <c r="T23" s="263"/>
      <c r="U23" s="29"/>
    </row>
    <row r="24" spans="1:21" ht="23.25" customHeight="1">
      <c r="A24" s="65" t="s">
        <v>86</v>
      </c>
      <c r="B24" s="8"/>
      <c r="C24" s="9" t="s">
        <v>41</v>
      </c>
      <c r="D24" s="13" t="s">
        <v>90</v>
      </c>
      <c r="E24" s="9"/>
      <c r="F24" s="9"/>
      <c r="G24" s="10"/>
      <c r="H24" s="11"/>
      <c r="I24" s="11"/>
      <c r="J24" s="12">
        <v>2400.32</v>
      </c>
      <c r="K24" s="12"/>
      <c r="L24" s="105">
        <f t="shared" si="2"/>
        <v>2400.32</v>
      </c>
      <c r="M24" s="12"/>
      <c r="N24" s="12"/>
      <c r="O24" s="105"/>
      <c r="P24" s="12"/>
      <c r="Q24" s="12"/>
      <c r="R24" s="105"/>
      <c r="S24" s="264"/>
      <c r="T24" s="265"/>
      <c r="U24" s="29"/>
    </row>
    <row r="25" spans="1:21" ht="11.25">
      <c r="A25" s="65" t="s">
        <v>86</v>
      </c>
      <c r="B25" s="8"/>
      <c r="C25" s="9" t="s">
        <v>37</v>
      </c>
      <c r="D25" s="13" t="s">
        <v>88</v>
      </c>
      <c r="E25" s="9"/>
      <c r="F25" s="9"/>
      <c r="G25" s="10"/>
      <c r="H25" s="11"/>
      <c r="I25" s="11"/>
      <c r="J25" s="12">
        <f>12.1524*638</f>
        <v>7753.2312</v>
      </c>
      <c r="K25" s="12"/>
      <c r="L25" s="105">
        <f t="shared" si="2"/>
        <v>7753.2312</v>
      </c>
      <c r="M25" s="12">
        <v>7753.22</v>
      </c>
      <c r="N25" s="12"/>
      <c r="O25" s="105">
        <f>+N25+M25</f>
        <v>7753.22</v>
      </c>
      <c r="P25" s="12">
        <f>M25*0.65</f>
        <v>5039.593000000001</v>
      </c>
      <c r="Q25" s="12"/>
      <c r="R25" s="105">
        <f>+Q25+P25</f>
        <v>5039.593000000001</v>
      </c>
      <c r="S25" s="264"/>
      <c r="T25" s="265"/>
      <c r="U25" s="29"/>
    </row>
    <row r="26" spans="1:21" s="150" customFormat="1" ht="11.25">
      <c r="A26" s="140" t="s">
        <v>101</v>
      </c>
      <c r="B26" s="141"/>
      <c r="C26" s="142"/>
      <c r="D26" s="143" t="s">
        <v>127</v>
      </c>
      <c r="E26" s="142"/>
      <c r="F26" s="142"/>
      <c r="G26" s="144"/>
      <c r="H26" s="145"/>
      <c r="I26" s="145"/>
      <c r="J26" s="146">
        <f>+J25+J24+J23-J22</f>
        <v>0</v>
      </c>
      <c r="K26" s="146"/>
      <c r="L26" s="146"/>
      <c r="M26" s="146">
        <f aca="true" t="shared" si="3" ref="M26:R26">+M25+M24+M23-M22</f>
        <v>-2400.329999999998</v>
      </c>
      <c r="N26" s="146">
        <f t="shared" si="3"/>
        <v>0</v>
      </c>
      <c r="O26" s="105">
        <f t="shared" si="3"/>
        <v>-2400.329999999998</v>
      </c>
      <c r="P26" s="146">
        <f t="shared" si="3"/>
        <v>-1560.2144999999982</v>
      </c>
      <c r="Q26" s="146">
        <f t="shared" si="3"/>
        <v>0</v>
      </c>
      <c r="R26" s="105">
        <f t="shared" si="3"/>
        <v>-1560.2144999999982</v>
      </c>
      <c r="S26" s="264"/>
      <c r="T26" s="265"/>
      <c r="U26" s="149"/>
    </row>
    <row r="27" spans="1:21" ht="11.25" customHeight="1">
      <c r="A27" s="66" t="s">
        <v>101</v>
      </c>
      <c r="B27" s="8"/>
      <c r="C27" s="9" t="s">
        <v>41</v>
      </c>
      <c r="D27" s="13" t="s">
        <v>90</v>
      </c>
      <c r="E27" s="9"/>
      <c r="F27" s="9"/>
      <c r="G27" s="10"/>
      <c r="H27" s="11"/>
      <c r="I27" s="11"/>
      <c r="J27" s="12">
        <v>3600.94</v>
      </c>
      <c r="K27" s="12"/>
      <c r="L27" s="105">
        <f t="shared" si="2"/>
        <v>3600.94</v>
      </c>
      <c r="M27" s="12"/>
      <c r="N27" s="12"/>
      <c r="O27" s="105"/>
      <c r="P27" s="12"/>
      <c r="Q27" s="12"/>
      <c r="R27" s="105"/>
      <c r="S27" s="264"/>
      <c r="T27" s="265"/>
      <c r="U27" s="29"/>
    </row>
    <row r="28" spans="1:21" ht="22.5">
      <c r="A28" s="66" t="s">
        <v>101</v>
      </c>
      <c r="B28" s="8"/>
      <c r="C28" s="9" t="s">
        <v>38</v>
      </c>
      <c r="D28" s="13" t="s">
        <v>87</v>
      </c>
      <c r="E28" s="9"/>
      <c r="F28" s="9"/>
      <c r="G28" s="10"/>
      <c r="H28" s="11"/>
      <c r="I28" s="11"/>
      <c r="J28" s="12">
        <v>25935.28</v>
      </c>
      <c r="K28" s="12"/>
      <c r="L28" s="105">
        <f t="shared" si="2"/>
        <v>25935.28</v>
      </c>
      <c r="M28" s="12">
        <f>14.1325*632+16.30579*1042</f>
        <v>25922.373179999995</v>
      </c>
      <c r="N28" s="12"/>
      <c r="O28" s="105">
        <f>+N28+M28</f>
        <v>25922.373179999995</v>
      </c>
      <c r="P28" s="12">
        <f>M28*0.65</f>
        <v>16849.542566999997</v>
      </c>
      <c r="Q28" s="12"/>
      <c r="R28" s="105">
        <f>+Q28+P28</f>
        <v>16849.542566999997</v>
      </c>
      <c r="S28" s="264"/>
      <c r="T28" s="265"/>
      <c r="U28" s="29"/>
    </row>
    <row r="29" spans="1:21" ht="11.25">
      <c r="A29" s="66" t="s">
        <v>101</v>
      </c>
      <c r="B29" s="8"/>
      <c r="C29" s="9" t="s">
        <v>37</v>
      </c>
      <c r="D29" s="13" t="s">
        <v>88</v>
      </c>
      <c r="E29" s="9"/>
      <c r="F29" s="9"/>
      <c r="G29" s="10"/>
      <c r="H29" s="11"/>
      <c r="I29" s="11"/>
      <c r="J29" s="12">
        <v>13259.53</v>
      </c>
      <c r="K29" s="12"/>
      <c r="L29" s="105">
        <f t="shared" si="2"/>
        <v>13259.53</v>
      </c>
      <c r="M29" s="12">
        <v>13259.53</v>
      </c>
      <c r="N29" s="12"/>
      <c r="O29" s="105">
        <f>+N29+M29</f>
        <v>13259.53</v>
      </c>
      <c r="P29" s="12">
        <f>M29*0.65</f>
        <v>8618.694500000001</v>
      </c>
      <c r="Q29" s="12"/>
      <c r="R29" s="105">
        <f>+Q29+P29</f>
        <v>8618.694500000001</v>
      </c>
      <c r="S29" s="266"/>
      <c r="T29" s="267"/>
      <c r="U29" s="29"/>
    </row>
    <row r="30" spans="1:21" ht="32.25" customHeight="1">
      <c r="A30" s="66" t="s">
        <v>168</v>
      </c>
      <c r="B30" s="8"/>
      <c r="C30" s="9" t="s">
        <v>41</v>
      </c>
      <c r="D30" s="13" t="s">
        <v>169</v>
      </c>
      <c r="E30" s="9"/>
      <c r="F30" s="9"/>
      <c r="G30" s="10"/>
      <c r="H30" s="11"/>
      <c r="I30" s="11"/>
      <c r="J30" s="12">
        <f>1440+5993.1</f>
        <v>7433.1</v>
      </c>
      <c r="K30" s="12"/>
      <c r="L30" s="105">
        <f t="shared" si="2"/>
        <v>7433.1</v>
      </c>
      <c r="M30" s="12"/>
      <c r="N30" s="12"/>
      <c r="O30" s="105"/>
      <c r="P30" s="12"/>
      <c r="Q30" s="12"/>
      <c r="R30" s="105"/>
      <c r="S30" s="268" t="s">
        <v>188</v>
      </c>
      <c r="T30" s="269"/>
      <c r="U30" s="29"/>
    </row>
    <row r="31" spans="1:21" ht="33.75" customHeight="1">
      <c r="A31" s="66" t="s">
        <v>168</v>
      </c>
      <c r="B31" s="8"/>
      <c r="C31" s="9" t="s">
        <v>38</v>
      </c>
      <c r="D31" s="13" t="s">
        <v>170</v>
      </c>
      <c r="E31" s="9"/>
      <c r="F31" s="9"/>
      <c r="G31" s="10"/>
      <c r="H31" s="11"/>
      <c r="I31" s="11"/>
      <c r="J31" s="12">
        <v>26249.53</v>
      </c>
      <c r="K31" s="12"/>
      <c r="L31" s="105">
        <f t="shared" si="2"/>
        <v>26249.53</v>
      </c>
      <c r="M31" s="12">
        <f>17.91777*1465</f>
        <v>26249.533050000002</v>
      </c>
      <c r="N31" s="12"/>
      <c r="O31" s="105">
        <f>+N31+M31</f>
        <v>26249.533050000002</v>
      </c>
      <c r="P31" s="12">
        <f>M31*0.65</f>
        <v>17062.196482500003</v>
      </c>
      <c r="Q31" s="12"/>
      <c r="R31" s="105">
        <f>+Q31+P31</f>
        <v>17062.196482500003</v>
      </c>
      <c r="S31" s="270"/>
      <c r="T31" s="271"/>
      <c r="U31" s="29"/>
    </row>
    <row r="32" spans="1:21" ht="27" customHeight="1">
      <c r="A32" s="66" t="s">
        <v>168</v>
      </c>
      <c r="B32" s="8"/>
      <c r="C32" s="9" t="s">
        <v>37</v>
      </c>
      <c r="D32" s="13" t="s">
        <v>88</v>
      </c>
      <c r="E32" s="9"/>
      <c r="F32" s="9"/>
      <c r="G32" s="10"/>
      <c r="H32" s="11"/>
      <c r="I32" s="11"/>
      <c r="J32" s="12">
        <v>22003.73</v>
      </c>
      <c r="K32" s="12"/>
      <c r="L32" s="105">
        <f t="shared" si="2"/>
        <v>22003.73</v>
      </c>
      <c r="M32" s="12">
        <v>22003.73</v>
      </c>
      <c r="N32" s="12"/>
      <c r="O32" s="105">
        <f>+N32+M32</f>
        <v>22003.73</v>
      </c>
      <c r="P32" s="12">
        <f>M32*0.65</f>
        <v>14302.424500000001</v>
      </c>
      <c r="Q32" s="12"/>
      <c r="R32" s="105">
        <f>+Q32+P32</f>
        <v>14302.424500000001</v>
      </c>
      <c r="S32" s="270"/>
      <c r="T32" s="271"/>
      <c r="U32" s="29"/>
    </row>
    <row r="33" spans="1:21" ht="27" customHeight="1">
      <c r="A33" s="66" t="s">
        <v>190</v>
      </c>
      <c r="B33" s="8"/>
      <c r="C33" s="9" t="s">
        <v>38</v>
      </c>
      <c r="D33" s="13" t="s">
        <v>170</v>
      </c>
      <c r="E33" s="9"/>
      <c r="F33" s="9"/>
      <c r="G33" s="10"/>
      <c r="H33" s="11"/>
      <c r="I33" s="11"/>
      <c r="J33" s="12">
        <v>15270.96</v>
      </c>
      <c r="K33" s="12"/>
      <c r="L33" s="105">
        <f t="shared" si="2"/>
        <v>15270.96</v>
      </c>
      <c r="M33" s="12">
        <f>20.3*752</f>
        <v>15265.6</v>
      </c>
      <c r="N33" s="12"/>
      <c r="O33" s="105">
        <f>+N33+M33</f>
        <v>15265.6</v>
      </c>
      <c r="P33" s="12">
        <f>M33*0.65</f>
        <v>9922.640000000001</v>
      </c>
      <c r="Q33" s="12"/>
      <c r="R33" s="105">
        <f>+Q33+P33</f>
        <v>9922.640000000001</v>
      </c>
      <c r="S33" s="218"/>
      <c r="T33" s="219"/>
      <c r="U33" s="29"/>
    </row>
    <row r="34" spans="1:21" ht="27" customHeight="1">
      <c r="A34" s="66" t="s">
        <v>190</v>
      </c>
      <c r="B34" s="8"/>
      <c r="C34" s="9" t="s">
        <v>37</v>
      </c>
      <c r="D34" s="13" t="s">
        <v>88</v>
      </c>
      <c r="E34" s="9"/>
      <c r="F34" s="9"/>
      <c r="G34" s="10"/>
      <c r="H34" s="11"/>
      <c r="I34" s="11"/>
      <c r="J34" s="12">
        <v>12285.7</v>
      </c>
      <c r="K34" s="12"/>
      <c r="L34" s="105">
        <f t="shared" si="2"/>
        <v>12285.7</v>
      </c>
      <c r="M34" s="12">
        <f>16.64*738</f>
        <v>12280.32</v>
      </c>
      <c r="N34" s="12"/>
      <c r="O34" s="105">
        <f>+N34+M34</f>
        <v>12280.32</v>
      </c>
      <c r="P34" s="12">
        <f>M34*0.65</f>
        <v>7982.2080000000005</v>
      </c>
      <c r="Q34" s="12"/>
      <c r="R34" s="105">
        <f>+Q34+P34</f>
        <v>7982.2080000000005</v>
      </c>
      <c r="S34" s="218"/>
      <c r="T34" s="219"/>
      <c r="U34" s="29"/>
    </row>
    <row r="35" spans="1:21" ht="27" customHeight="1">
      <c r="A35" s="66" t="s">
        <v>190</v>
      </c>
      <c r="B35" s="8"/>
      <c r="C35" s="9" t="s">
        <v>41</v>
      </c>
      <c r="D35" s="13" t="s">
        <v>191</v>
      </c>
      <c r="E35" s="9"/>
      <c r="F35" s="9"/>
      <c r="G35" s="10"/>
      <c r="H35" s="11"/>
      <c r="I35" s="11"/>
      <c r="J35" s="12">
        <v>3649.14</v>
      </c>
      <c r="K35" s="12"/>
      <c r="L35" s="105">
        <f t="shared" si="2"/>
        <v>3649.14</v>
      </c>
      <c r="M35" s="12">
        <v>3649.14</v>
      </c>
      <c r="N35" s="12"/>
      <c r="O35" s="105">
        <f>+N35+M35</f>
        <v>3649.14</v>
      </c>
      <c r="P35" s="12">
        <f>M35*0.65</f>
        <v>2371.941</v>
      </c>
      <c r="Q35" s="12"/>
      <c r="R35" s="105">
        <f>+Q35+P35</f>
        <v>2371.941</v>
      </c>
      <c r="S35" s="218"/>
      <c r="T35" s="219"/>
      <c r="U35" s="29"/>
    </row>
    <row r="36" spans="1:21" ht="11.25">
      <c r="A36" s="66"/>
      <c r="B36" s="8"/>
      <c r="C36" s="9"/>
      <c r="D36" s="9"/>
      <c r="E36" s="9"/>
      <c r="F36" s="9"/>
      <c r="G36" s="10"/>
      <c r="H36" s="11"/>
      <c r="I36" s="11"/>
      <c r="J36" s="12"/>
      <c r="K36" s="12"/>
      <c r="L36" s="105"/>
      <c r="M36" s="12"/>
      <c r="N36" s="12"/>
      <c r="O36" s="105"/>
      <c r="P36" s="12"/>
      <c r="Q36" s="12"/>
      <c r="R36" s="105"/>
      <c r="S36" s="241"/>
      <c r="T36" s="241"/>
      <c r="U36" s="29"/>
    </row>
    <row r="37" ht="11.25">
      <c r="U37" s="29"/>
    </row>
    <row r="38" spans="1:21" ht="11.25">
      <c r="A38" s="67"/>
      <c r="B38" s="27"/>
      <c r="C38" s="273" t="s">
        <v>7</v>
      </c>
      <c r="D38" s="273"/>
      <c r="E38" s="273"/>
      <c r="F38" s="273"/>
      <c r="G38" s="273"/>
      <c r="H38" s="273"/>
      <c r="I38" s="273"/>
      <c r="J38" s="273"/>
      <c r="K38" s="273"/>
      <c r="L38" s="274"/>
      <c r="M38" s="238" t="s">
        <v>26</v>
      </c>
      <c r="N38" s="239"/>
      <c r="O38" s="239"/>
      <c r="P38" s="239" t="s">
        <v>22</v>
      </c>
      <c r="Q38" s="239"/>
      <c r="R38" s="239"/>
      <c r="S38" s="36" t="s">
        <v>24</v>
      </c>
      <c r="T38" s="37" t="s">
        <v>25</v>
      </c>
      <c r="U38" s="29"/>
    </row>
    <row r="39" spans="1:22" ht="11.25">
      <c r="A39" s="244"/>
      <c r="B39" s="245"/>
      <c r="C39" s="250"/>
      <c r="D39" s="251"/>
      <c r="E39" s="251"/>
      <c r="F39" s="251"/>
      <c r="G39" s="251"/>
      <c r="H39" s="251"/>
      <c r="I39" s="251"/>
      <c r="J39" s="251"/>
      <c r="K39" s="252"/>
      <c r="L39" s="107" t="s">
        <v>12</v>
      </c>
      <c r="M39" s="3">
        <v>187000</v>
      </c>
      <c r="N39" s="3"/>
      <c r="O39" s="114"/>
      <c r="P39" s="3"/>
      <c r="Q39" s="95"/>
      <c r="R39" s="117"/>
      <c r="S39" s="56"/>
      <c r="T39" s="56"/>
      <c r="U39" s="29"/>
      <c r="V39" s="29"/>
    </row>
    <row r="40" spans="1:22" ht="11.25">
      <c r="A40" s="246"/>
      <c r="B40" s="247"/>
      <c r="C40" s="49"/>
      <c r="D40" s="48"/>
      <c r="E40" s="48"/>
      <c r="F40" s="48"/>
      <c r="G40" s="48"/>
      <c r="H40" s="48"/>
      <c r="I40" s="48"/>
      <c r="J40" s="48"/>
      <c r="K40" s="4"/>
      <c r="L40" s="108" t="s">
        <v>29</v>
      </c>
      <c r="M40" s="4">
        <f aca="true" t="shared" si="4" ref="M40:R40">SUM(M47:M48)</f>
        <v>34990</v>
      </c>
      <c r="N40" s="4">
        <f t="shared" si="4"/>
        <v>6998</v>
      </c>
      <c r="O40" s="115">
        <f t="shared" si="4"/>
        <v>41988</v>
      </c>
      <c r="P40" s="4">
        <f t="shared" si="4"/>
        <v>22743.5</v>
      </c>
      <c r="Q40" s="4">
        <f t="shared" si="4"/>
        <v>4548.700000000001</v>
      </c>
      <c r="R40" s="115">
        <f t="shared" si="4"/>
        <v>27292.2</v>
      </c>
      <c r="S40" s="5">
        <f>R40*0.375</f>
        <v>10234.575</v>
      </c>
      <c r="T40" s="5">
        <f>R40-S40</f>
        <v>17057.625</v>
      </c>
      <c r="U40" s="29"/>
      <c r="V40" s="29"/>
    </row>
    <row r="41" spans="1:22" ht="11.25">
      <c r="A41" s="246"/>
      <c r="B41" s="247"/>
      <c r="C41" s="49"/>
      <c r="D41" s="48"/>
      <c r="E41" s="48"/>
      <c r="F41" s="73"/>
      <c r="G41" s="74"/>
      <c r="H41" s="48"/>
      <c r="I41" s="48"/>
      <c r="J41" s="48"/>
      <c r="K41" s="50"/>
      <c r="L41" s="108" t="s">
        <v>30</v>
      </c>
      <c r="M41" s="4">
        <v>0</v>
      </c>
      <c r="N41" s="4"/>
      <c r="O41" s="115"/>
      <c r="P41" s="4">
        <v>0</v>
      </c>
      <c r="Q41" s="96"/>
      <c r="R41" s="118"/>
      <c r="S41" s="5">
        <f>R41*0.375</f>
        <v>0</v>
      </c>
      <c r="T41" s="5">
        <f>R41-S41</f>
        <v>0</v>
      </c>
      <c r="U41" s="29"/>
      <c r="V41" s="29"/>
    </row>
    <row r="42" spans="1:22" ht="11.25">
      <c r="A42" s="246"/>
      <c r="B42" s="247"/>
      <c r="C42" s="49"/>
      <c r="D42" s="48"/>
      <c r="E42" s="48"/>
      <c r="F42" s="48"/>
      <c r="G42" s="48"/>
      <c r="H42" s="48"/>
      <c r="I42" s="48"/>
      <c r="J42" s="48"/>
      <c r="K42" s="50"/>
      <c r="L42" s="108" t="s">
        <v>89</v>
      </c>
      <c r="M42" s="4">
        <f>SUM(M49:M51)</f>
        <v>35800</v>
      </c>
      <c r="N42" s="4">
        <f>SUM(N49:N51)</f>
        <v>3600</v>
      </c>
      <c r="O42" s="115">
        <f>+N42+M42</f>
        <v>39400</v>
      </c>
      <c r="P42" s="4">
        <f>SUM(P49:P51)</f>
        <v>23270</v>
      </c>
      <c r="Q42" s="4">
        <f>SUM(Q49:Q51)</f>
        <v>2340</v>
      </c>
      <c r="R42" s="115">
        <f>+Q42+P42</f>
        <v>25610</v>
      </c>
      <c r="S42" s="5">
        <f>R42*0.375</f>
        <v>9603.75</v>
      </c>
      <c r="T42" s="5">
        <f>R42-S42</f>
        <v>16006.25</v>
      </c>
      <c r="U42" s="29"/>
      <c r="V42" s="29"/>
    </row>
    <row r="43" spans="1:22" ht="11.25">
      <c r="A43" s="246"/>
      <c r="B43" s="247"/>
      <c r="C43" s="49"/>
      <c r="D43" s="48"/>
      <c r="E43" s="48"/>
      <c r="F43" s="48"/>
      <c r="G43" s="48"/>
      <c r="H43" s="48"/>
      <c r="I43" s="48"/>
      <c r="J43" s="48"/>
      <c r="K43" s="50"/>
      <c r="L43" s="108" t="s">
        <v>166</v>
      </c>
      <c r="M43" s="4">
        <f>SUM(M52:M53)</f>
        <v>5610</v>
      </c>
      <c r="N43" s="4">
        <f>SUM(N52:N53)</f>
        <v>1122</v>
      </c>
      <c r="O43" s="115">
        <f>+N43+M43</f>
        <v>6732</v>
      </c>
      <c r="P43" s="4">
        <f>SUM(P52:P53)</f>
        <v>3646.5</v>
      </c>
      <c r="Q43" s="4">
        <f>SUM(Q52:Q53)</f>
        <v>729.3000000000001</v>
      </c>
      <c r="R43" s="115">
        <f>+Q43+P43</f>
        <v>4375.8</v>
      </c>
      <c r="S43" s="5">
        <f>R43*0.375</f>
        <v>1640.9250000000002</v>
      </c>
      <c r="T43" s="5">
        <f>R43-S43</f>
        <v>2734.875</v>
      </c>
      <c r="U43" s="29"/>
      <c r="V43" s="29"/>
    </row>
    <row r="44" spans="1:22" ht="11.25">
      <c r="A44" s="246"/>
      <c r="B44" s="247"/>
      <c r="C44" s="49"/>
      <c r="D44" s="48"/>
      <c r="E44" s="48"/>
      <c r="F44" s="48"/>
      <c r="G44" s="48"/>
      <c r="H44" s="48"/>
      <c r="I44" s="48"/>
      <c r="J44" s="48"/>
      <c r="K44" s="50"/>
      <c r="L44" s="108" t="s">
        <v>213</v>
      </c>
      <c r="M44" s="4">
        <f>SUM(M54:M56)</f>
        <v>5610</v>
      </c>
      <c r="N44" s="4">
        <f>SUM(N54:N56)</f>
        <v>4682</v>
      </c>
      <c r="O44" s="115">
        <f>+N44+M44</f>
        <v>10292</v>
      </c>
      <c r="P44" s="4">
        <f>SUM(P54:P56)</f>
        <v>3646.5</v>
      </c>
      <c r="Q44" s="4">
        <f>SUM(Q54:Q56)</f>
        <v>3043.3</v>
      </c>
      <c r="R44" s="115">
        <f>+Q44+P44</f>
        <v>6689.8</v>
      </c>
      <c r="S44" s="5">
        <f>R44*0.375</f>
        <v>2508.675</v>
      </c>
      <c r="T44" s="5">
        <f>R44-S44</f>
        <v>4181.125</v>
      </c>
      <c r="U44" s="29"/>
      <c r="V44" s="29"/>
    </row>
    <row r="45" spans="1:22" ht="11.25">
      <c r="A45" s="248"/>
      <c r="B45" s="249"/>
      <c r="C45" s="253"/>
      <c r="D45" s="254"/>
      <c r="E45" s="254"/>
      <c r="F45" s="254"/>
      <c r="G45" s="254"/>
      <c r="H45" s="254"/>
      <c r="I45" s="254"/>
      <c r="J45" s="254"/>
      <c r="K45" s="255"/>
      <c r="L45" s="109" t="s">
        <v>13</v>
      </c>
      <c r="M45" s="6">
        <f>M39-M40-M41-M42-M43-M44</f>
        <v>104990</v>
      </c>
      <c r="N45" s="6"/>
      <c r="O45" s="116"/>
      <c r="P45" s="6"/>
      <c r="Q45" s="6"/>
      <c r="R45" s="116"/>
      <c r="S45" s="39"/>
      <c r="T45" s="1"/>
      <c r="U45" s="29"/>
      <c r="V45" s="29"/>
    </row>
    <row r="46" spans="1:21" ht="22.5">
      <c r="A46" s="99" t="s">
        <v>14</v>
      </c>
      <c r="B46" s="7" t="s">
        <v>11</v>
      </c>
      <c r="C46" s="38" t="s">
        <v>23</v>
      </c>
      <c r="D46" s="38" t="s">
        <v>20</v>
      </c>
      <c r="E46" s="46" t="s">
        <v>2</v>
      </c>
      <c r="F46" s="38" t="s">
        <v>19</v>
      </c>
      <c r="G46" s="38" t="s">
        <v>18</v>
      </c>
      <c r="H46" s="46" t="s">
        <v>17</v>
      </c>
      <c r="I46" s="46" t="s">
        <v>16</v>
      </c>
      <c r="J46" s="38" t="s">
        <v>3</v>
      </c>
      <c r="K46" s="38" t="s">
        <v>4</v>
      </c>
      <c r="L46" s="104" t="s">
        <v>5</v>
      </c>
      <c r="M46" s="7" t="s">
        <v>21</v>
      </c>
      <c r="N46" s="7" t="s">
        <v>79</v>
      </c>
      <c r="O46" s="104" t="s">
        <v>80</v>
      </c>
      <c r="P46" s="7" t="s">
        <v>22</v>
      </c>
      <c r="Q46" s="7" t="s">
        <v>81</v>
      </c>
      <c r="R46" s="104" t="s">
        <v>82</v>
      </c>
      <c r="S46" s="240" t="s">
        <v>28</v>
      </c>
      <c r="T46" s="240"/>
      <c r="U46" s="29"/>
    </row>
    <row r="47" spans="1:21" s="85" customFormat="1" ht="11.25">
      <c r="A47" s="83" t="s">
        <v>15</v>
      </c>
      <c r="B47" s="90" t="s">
        <v>68</v>
      </c>
      <c r="C47" s="82" t="s">
        <v>41</v>
      </c>
      <c r="D47" s="82" t="s">
        <v>42</v>
      </c>
      <c r="E47" s="82" t="s">
        <v>43</v>
      </c>
      <c r="F47" s="82">
        <v>16</v>
      </c>
      <c r="G47" s="87">
        <v>38349</v>
      </c>
      <c r="H47" s="87">
        <v>38349</v>
      </c>
      <c r="I47" s="87" t="s">
        <v>45</v>
      </c>
      <c r="J47" s="84">
        <v>15000</v>
      </c>
      <c r="K47" s="84">
        <f>+J47*0.2</f>
        <v>3000</v>
      </c>
      <c r="L47" s="110">
        <f>SUM(J47:K47)</f>
        <v>18000</v>
      </c>
      <c r="M47" s="84">
        <v>15000</v>
      </c>
      <c r="N47" s="84">
        <f>+M47*0.2</f>
        <v>3000</v>
      </c>
      <c r="O47" s="110">
        <f>SUM(M47:N47)</f>
        <v>18000</v>
      </c>
      <c r="P47" s="84">
        <f>M47*0.65</f>
        <v>9750</v>
      </c>
      <c r="Q47" s="84">
        <f>N47*0.65</f>
        <v>1950</v>
      </c>
      <c r="R47" s="110">
        <f aca="true" t="shared" si="5" ref="R47:R53">+Q47+P47</f>
        <v>11700</v>
      </c>
      <c r="S47" s="272"/>
      <c r="T47" s="272"/>
      <c r="U47" s="85">
        <f>30*180+32*300</f>
        <v>15000</v>
      </c>
    </row>
    <row r="48" spans="1:21" ht="11.25">
      <c r="A48" s="65" t="s">
        <v>15</v>
      </c>
      <c r="B48" s="80" t="s">
        <v>69</v>
      </c>
      <c r="C48" s="9" t="s">
        <v>41</v>
      </c>
      <c r="D48" s="9" t="s">
        <v>46</v>
      </c>
      <c r="E48" s="9" t="s">
        <v>44</v>
      </c>
      <c r="F48" s="9">
        <v>248</v>
      </c>
      <c r="G48" s="10">
        <v>38294</v>
      </c>
      <c r="H48" s="11">
        <v>38390</v>
      </c>
      <c r="I48" s="11" t="s">
        <v>45</v>
      </c>
      <c r="J48" s="12">
        <v>20000</v>
      </c>
      <c r="K48" s="12">
        <f>+J48*0.2</f>
        <v>4000</v>
      </c>
      <c r="L48" s="105">
        <f>SUM(J48:K48)</f>
        <v>24000</v>
      </c>
      <c r="M48" s="33">
        <v>19990</v>
      </c>
      <c r="N48" s="33">
        <f>+M48*0.2</f>
        <v>3998</v>
      </c>
      <c r="O48" s="105">
        <f>+M48+N48</f>
        <v>23988</v>
      </c>
      <c r="P48" s="12">
        <f>M48*0.65</f>
        <v>12993.5</v>
      </c>
      <c r="Q48" s="12">
        <f>N48*0.65</f>
        <v>2598.7000000000003</v>
      </c>
      <c r="R48" s="110">
        <f t="shared" si="5"/>
        <v>15592.2</v>
      </c>
      <c r="S48" s="235"/>
      <c r="T48" s="235"/>
      <c r="U48" s="2">
        <f>35*350+43*180</f>
        <v>19990</v>
      </c>
    </row>
    <row r="49" spans="1:20" ht="11.25">
      <c r="A49" s="65" t="s">
        <v>101</v>
      </c>
      <c r="B49" s="8"/>
      <c r="C49" s="9" t="s">
        <v>41</v>
      </c>
      <c r="D49" s="134" t="s">
        <v>102</v>
      </c>
      <c r="E49" s="9" t="s">
        <v>103</v>
      </c>
      <c r="F49" s="9" t="s">
        <v>104</v>
      </c>
      <c r="G49" s="10">
        <v>38474</v>
      </c>
      <c r="H49" s="11">
        <v>38573</v>
      </c>
      <c r="I49" s="11" t="s">
        <v>45</v>
      </c>
      <c r="J49" s="12">
        <v>17800</v>
      </c>
      <c r="K49" s="12">
        <v>3560</v>
      </c>
      <c r="L49" s="105">
        <v>21360</v>
      </c>
      <c r="M49" s="33">
        <v>17800</v>
      </c>
      <c r="N49" s="33"/>
      <c r="O49" s="105">
        <f>+M49+N49</f>
        <v>17800</v>
      </c>
      <c r="P49" s="12">
        <f aca="true" t="shared" si="6" ref="P49:Q51">M49*0.65</f>
        <v>11570</v>
      </c>
      <c r="Q49" s="12"/>
      <c r="R49" s="110">
        <f t="shared" si="5"/>
        <v>11570</v>
      </c>
      <c r="S49" s="235"/>
      <c r="T49" s="235"/>
    </row>
    <row r="50" spans="1:20" ht="11.25">
      <c r="A50" s="65" t="s">
        <v>101</v>
      </c>
      <c r="B50" s="8"/>
      <c r="C50" s="9" t="s">
        <v>41</v>
      </c>
      <c r="D50" s="134" t="s">
        <v>106</v>
      </c>
      <c r="E50" s="9" t="s">
        <v>107</v>
      </c>
      <c r="F50" s="9" t="s">
        <v>108</v>
      </c>
      <c r="G50" s="10">
        <v>38565</v>
      </c>
      <c r="H50" s="11">
        <v>38568</v>
      </c>
      <c r="I50" s="11" t="s">
        <v>45</v>
      </c>
      <c r="J50" s="12">
        <v>10000</v>
      </c>
      <c r="K50" s="12">
        <v>2000</v>
      </c>
      <c r="L50" s="105">
        <v>12000</v>
      </c>
      <c r="M50" s="33">
        <v>10000</v>
      </c>
      <c r="N50" s="33">
        <v>2000</v>
      </c>
      <c r="O50" s="105">
        <f>+N50+M50</f>
        <v>12000</v>
      </c>
      <c r="P50" s="12">
        <f t="shared" si="6"/>
        <v>6500</v>
      </c>
      <c r="Q50" s="12">
        <f t="shared" si="6"/>
        <v>1300</v>
      </c>
      <c r="R50" s="110">
        <f t="shared" si="5"/>
        <v>7800</v>
      </c>
      <c r="S50" s="235"/>
      <c r="T50" s="235"/>
    </row>
    <row r="51" spans="1:20" ht="11.25">
      <c r="A51" s="65" t="s">
        <v>101</v>
      </c>
      <c r="B51" s="8"/>
      <c r="C51" s="9" t="s">
        <v>41</v>
      </c>
      <c r="D51" s="134" t="s">
        <v>109</v>
      </c>
      <c r="E51" s="9" t="s">
        <v>107</v>
      </c>
      <c r="F51" s="9">
        <v>27</v>
      </c>
      <c r="G51" s="10">
        <v>38652</v>
      </c>
      <c r="H51" s="11">
        <v>38672</v>
      </c>
      <c r="I51" s="11" t="s">
        <v>45</v>
      </c>
      <c r="J51" s="16">
        <v>8000</v>
      </c>
      <c r="K51" s="12">
        <v>1600</v>
      </c>
      <c r="L51" s="105">
        <v>9600</v>
      </c>
      <c r="M51" s="33">
        <v>8000</v>
      </c>
      <c r="N51" s="33">
        <v>1600</v>
      </c>
      <c r="O51" s="105">
        <f>+N51+M51</f>
        <v>9600</v>
      </c>
      <c r="P51" s="12">
        <f t="shared" si="6"/>
        <v>5200</v>
      </c>
      <c r="Q51" s="12">
        <f t="shared" si="6"/>
        <v>1040</v>
      </c>
      <c r="R51" s="110">
        <f t="shared" si="5"/>
        <v>6240</v>
      </c>
      <c r="S51" s="235"/>
      <c r="T51" s="235"/>
    </row>
    <row r="52" spans="1:20" ht="40.5" customHeight="1">
      <c r="A52" s="65" t="s">
        <v>168</v>
      </c>
      <c r="B52" s="8"/>
      <c r="C52" s="9" t="s">
        <v>41</v>
      </c>
      <c r="D52" s="134" t="s">
        <v>171</v>
      </c>
      <c r="E52" s="9" t="s">
        <v>172</v>
      </c>
      <c r="F52" s="9">
        <v>2</v>
      </c>
      <c r="G52" s="10">
        <v>38821</v>
      </c>
      <c r="H52" s="11">
        <v>38821</v>
      </c>
      <c r="I52" s="11" t="s">
        <v>173</v>
      </c>
      <c r="J52" s="16">
        <v>2805</v>
      </c>
      <c r="K52" s="12">
        <v>561</v>
      </c>
      <c r="L52" s="105">
        <v>3366</v>
      </c>
      <c r="M52" s="12">
        <f>+O52-N52</f>
        <v>2805</v>
      </c>
      <c r="N52" s="12">
        <v>561</v>
      </c>
      <c r="O52" s="105">
        <v>3366</v>
      </c>
      <c r="P52" s="12">
        <f aca="true" t="shared" si="7" ref="P52:Q56">M52*0.65</f>
        <v>1823.25</v>
      </c>
      <c r="Q52" s="12">
        <f t="shared" si="7"/>
        <v>364.65000000000003</v>
      </c>
      <c r="R52" s="110">
        <f t="shared" si="5"/>
        <v>2187.9</v>
      </c>
      <c r="S52" s="227"/>
      <c r="T52" s="228"/>
    </row>
    <row r="53" spans="1:20" ht="41.25" customHeight="1">
      <c r="A53" s="65" t="s">
        <v>168</v>
      </c>
      <c r="B53" s="8"/>
      <c r="C53" s="9" t="s">
        <v>41</v>
      </c>
      <c r="D53" s="134" t="s">
        <v>171</v>
      </c>
      <c r="E53" s="9" t="s">
        <v>172</v>
      </c>
      <c r="F53" s="9">
        <v>4</v>
      </c>
      <c r="G53" s="10">
        <v>38905</v>
      </c>
      <c r="H53" s="11">
        <v>38929</v>
      </c>
      <c r="I53" s="11" t="s">
        <v>173</v>
      </c>
      <c r="J53" s="16">
        <v>2805</v>
      </c>
      <c r="K53" s="12">
        <v>561</v>
      </c>
      <c r="L53" s="105">
        <v>3366</v>
      </c>
      <c r="M53" s="12">
        <f>+O53-N53</f>
        <v>2805</v>
      </c>
      <c r="N53" s="12">
        <v>561</v>
      </c>
      <c r="O53" s="105">
        <v>3366</v>
      </c>
      <c r="P53" s="12">
        <f t="shared" si="7"/>
        <v>1823.25</v>
      </c>
      <c r="Q53" s="12">
        <f t="shared" si="7"/>
        <v>364.65000000000003</v>
      </c>
      <c r="R53" s="110">
        <f t="shared" si="5"/>
        <v>2187.9</v>
      </c>
      <c r="S53" s="229"/>
      <c r="T53" s="230"/>
    </row>
    <row r="54" spans="1:20" ht="41.25" customHeight="1">
      <c r="A54" s="65" t="s">
        <v>190</v>
      </c>
      <c r="B54" s="8"/>
      <c r="C54" s="9" t="s">
        <v>41</v>
      </c>
      <c r="D54" s="134" t="s">
        <v>102</v>
      </c>
      <c r="E54" s="9" t="s">
        <v>103</v>
      </c>
      <c r="F54" s="9" t="s">
        <v>104</v>
      </c>
      <c r="G54" s="10">
        <v>38474</v>
      </c>
      <c r="H54" s="11">
        <v>38573</v>
      </c>
      <c r="I54" s="11" t="s">
        <v>45</v>
      </c>
      <c r="J54" s="12">
        <v>17800</v>
      </c>
      <c r="K54" s="12">
        <v>3560</v>
      </c>
      <c r="L54" s="105">
        <v>21360</v>
      </c>
      <c r="M54" s="33"/>
      <c r="N54" s="12">
        <v>3560</v>
      </c>
      <c r="O54" s="105">
        <f>+M54+N54</f>
        <v>3560</v>
      </c>
      <c r="P54" s="12">
        <f>M54*0.65</f>
        <v>0</v>
      </c>
      <c r="Q54" s="12">
        <f>N54*0.65</f>
        <v>2314</v>
      </c>
      <c r="R54" s="110">
        <f>+Q54+P54</f>
        <v>2314</v>
      </c>
      <c r="S54" s="236" t="s">
        <v>209</v>
      </c>
      <c r="T54" s="237"/>
    </row>
    <row r="55" spans="1:20" ht="41.25" customHeight="1">
      <c r="A55" s="65" t="s">
        <v>190</v>
      </c>
      <c r="B55" s="8"/>
      <c r="C55" s="9" t="s">
        <v>41</v>
      </c>
      <c r="D55" s="134" t="s">
        <v>171</v>
      </c>
      <c r="E55" s="9" t="s">
        <v>172</v>
      </c>
      <c r="F55" s="9">
        <v>6</v>
      </c>
      <c r="G55" s="10">
        <v>39014</v>
      </c>
      <c r="H55" s="11">
        <v>39049</v>
      </c>
      <c r="I55" s="11" t="s">
        <v>173</v>
      </c>
      <c r="J55" s="16">
        <v>2805</v>
      </c>
      <c r="K55" s="12">
        <v>561</v>
      </c>
      <c r="L55" s="105">
        <v>3366</v>
      </c>
      <c r="M55" s="16">
        <v>2805</v>
      </c>
      <c r="N55" s="12">
        <v>561</v>
      </c>
      <c r="O55" s="105">
        <v>3366</v>
      </c>
      <c r="P55" s="12">
        <f t="shared" si="7"/>
        <v>1823.25</v>
      </c>
      <c r="Q55" s="12">
        <f t="shared" si="7"/>
        <v>364.65000000000003</v>
      </c>
      <c r="R55" s="110">
        <f>+Q55+P55</f>
        <v>2187.9</v>
      </c>
      <c r="S55" s="236" t="s">
        <v>206</v>
      </c>
      <c r="T55" s="237"/>
    </row>
    <row r="56" spans="1:20" ht="41.25" customHeight="1">
      <c r="A56" s="65" t="s">
        <v>190</v>
      </c>
      <c r="B56" s="8"/>
      <c r="C56" s="9" t="s">
        <v>41</v>
      </c>
      <c r="D56" s="134" t="s">
        <v>171</v>
      </c>
      <c r="E56" s="9" t="s">
        <v>172</v>
      </c>
      <c r="F56" s="9">
        <v>7</v>
      </c>
      <c r="G56" s="10">
        <v>39064</v>
      </c>
      <c r="H56" s="11">
        <v>39074</v>
      </c>
      <c r="I56" s="11" t="s">
        <v>173</v>
      </c>
      <c r="J56" s="16">
        <v>2805</v>
      </c>
      <c r="K56" s="12">
        <v>561</v>
      </c>
      <c r="L56" s="105">
        <v>3366</v>
      </c>
      <c r="M56" s="16">
        <v>2805</v>
      </c>
      <c r="N56" s="12">
        <v>561</v>
      </c>
      <c r="O56" s="105">
        <v>3366</v>
      </c>
      <c r="P56" s="12">
        <f t="shared" si="7"/>
        <v>1823.25</v>
      </c>
      <c r="Q56" s="12">
        <f t="shared" si="7"/>
        <v>364.65000000000003</v>
      </c>
      <c r="R56" s="110">
        <f>+Q56+P56</f>
        <v>2187.9</v>
      </c>
      <c r="S56" s="236" t="s">
        <v>206</v>
      </c>
      <c r="T56" s="237"/>
    </row>
    <row r="57" spans="1:20" ht="11.25">
      <c r="A57" s="65"/>
      <c r="B57" s="8"/>
      <c r="C57" s="9"/>
      <c r="D57" s="13"/>
      <c r="E57" s="13"/>
      <c r="F57" s="13"/>
      <c r="G57" s="10"/>
      <c r="H57" s="14"/>
      <c r="I57" s="14"/>
      <c r="J57" s="12"/>
      <c r="K57" s="12"/>
      <c r="L57" s="105"/>
      <c r="M57" s="33">
        <f>+J57</f>
        <v>0</v>
      </c>
      <c r="N57" s="33"/>
      <c r="O57" s="105"/>
      <c r="P57" s="12">
        <f>M57*0.65</f>
        <v>0</v>
      </c>
      <c r="Q57" s="12"/>
      <c r="R57" s="105"/>
      <c r="S57" s="235"/>
      <c r="T57" s="235"/>
    </row>
    <row r="58" ht="11.25">
      <c r="U58" s="29"/>
    </row>
    <row r="59" spans="1:21" ht="11.25">
      <c r="A59" s="45"/>
      <c r="B59" s="70"/>
      <c r="C59" s="273" t="s">
        <v>1</v>
      </c>
      <c r="D59" s="273"/>
      <c r="E59" s="273"/>
      <c r="F59" s="273"/>
      <c r="G59" s="273"/>
      <c r="H59" s="273"/>
      <c r="I59" s="273"/>
      <c r="J59" s="273"/>
      <c r="K59" s="273"/>
      <c r="L59" s="274"/>
      <c r="M59" s="238" t="s">
        <v>26</v>
      </c>
      <c r="N59" s="239"/>
      <c r="O59" s="239"/>
      <c r="P59" s="239" t="s">
        <v>22</v>
      </c>
      <c r="Q59" s="239"/>
      <c r="R59" s="239"/>
      <c r="S59" s="36" t="s">
        <v>24</v>
      </c>
      <c r="T59" s="37" t="s">
        <v>25</v>
      </c>
      <c r="U59" s="29"/>
    </row>
    <row r="60" spans="1:22" ht="11.25">
      <c r="A60" s="246"/>
      <c r="B60" s="247"/>
      <c r="C60" s="256"/>
      <c r="D60" s="257"/>
      <c r="E60" s="257"/>
      <c r="F60" s="257"/>
      <c r="G60" s="257"/>
      <c r="H60" s="257"/>
      <c r="I60" s="257"/>
      <c r="J60" s="257"/>
      <c r="K60" s="258"/>
      <c r="L60" s="101" t="s">
        <v>12</v>
      </c>
      <c r="M60" s="3">
        <v>75000</v>
      </c>
      <c r="N60" s="3"/>
      <c r="O60" s="114"/>
      <c r="P60" s="57"/>
      <c r="Q60" s="95"/>
      <c r="R60" s="117"/>
      <c r="S60" s="56"/>
      <c r="T60" s="56"/>
      <c r="U60" s="29"/>
      <c r="V60" s="29"/>
    </row>
    <row r="61" spans="1:22" ht="11.25">
      <c r="A61" s="246"/>
      <c r="B61" s="247"/>
      <c r="C61" s="259"/>
      <c r="D61" s="260"/>
      <c r="E61" s="260"/>
      <c r="F61" s="260"/>
      <c r="G61" s="260"/>
      <c r="H61" s="260"/>
      <c r="I61" s="260"/>
      <c r="J61" s="260"/>
      <c r="K61" s="261"/>
      <c r="L61" s="102" t="s">
        <v>29</v>
      </c>
      <c r="M61" s="4"/>
      <c r="N61" s="4"/>
      <c r="O61" s="115">
        <f>+N61+M61</f>
        <v>0</v>
      </c>
      <c r="P61" s="4"/>
      <c r="Q61" s="4"/>
      <c r="R61" s="118">
        <f>+Q61+P61</f>
        <v>0</v>
      </c>
      <c r="S61" s="5">
        <f>R61*0.375</f>
        <v>0</v>
      </c>
      <c r="T61" s="5">
        <f>R61-S61</f>
        <v>0</v>
      </c>
      <c r="U61" s="29"/>
      <c r="V61" s="29"/>
    </row>
    <row r="62" spans="1:22" ht="11.25">
      <c r="A62" s="246"/>
      <c r="B62" s="247"/>
      <c r="C62" s="49"/>
      <c r="D62" s="48"/>
      <c r="E62" s="48"/>
      <c r="F62" s="48"/>
      <c r="G62" s="48"/>
      <c r="H62" s="48"/>
      <c r="I62" s="48"/>
      <c r="J62" s="48"/>
      <c r="K62" s="50"/>
      <c r="L62" s="108" t="s">
        <v>30</v>
      </c>
      <c r="M62" s="4">
        <v>0</v>
      </c>
      <c r="N62" s="4"/>
      <c r="O62" s="115"/>
      <c r="P62" s="4">
        <v>0</v>
      </c>
      <c r="Q62" s="96"/>
      <c r="R62" s="118"/>
      <c r="S62" s="5">
        <f>R62*0.375</f>
        <v>0</v>
      </c>
      <c r="T62" s="5">
        <f>R62-S62</f>
        <v>0</v>
      </c>
      <c r="U62" s="29"/>
      <c r="V62" s="29"/>
    </row>
    <row r="63" spans="1:22" ht="11.25">
      <c r="A63" s="246"/>
      <c r="B63" s="247"/>
      <c r="C63" s="49"/>
      <c r="D63" s="48"/>
      <c r="E63" s="48"/>
      <c r="F63" s="48"/>
      <c r="G63" s="48"/>
      <c r="H63" s="48"/>
      <c r="I63" s="48"/>
      <c r="J63" s="48"/>
      <c r="K63" s="50"/>
      <c r="L63" s="108" t="s">
        <v>89</v>
      </c>
      <c r="M63" s="4">
        <f>+M68</f>
        <v>20000</v>
      </c>
      <c r="N63" s="4">
        <f>+N68</f>
        <v>4000</v>
      </c>
      <c r="O63" s="115">
        <f>+N63+M63</f>
        <v>24000</v>
      </c>
      <c r="P63" s="4">
        <f>+P68</f>
        <v>13000</v>
      </c>
      <c r="Q63" s="4">
        <f>+Q68</f>
        <v>2600</v>
      </c>
      <c r="R63" s="115">
        <f>+Q63+P63</f>
        <v>15600</v>
      </c>
      <c r="S63" s="5">
        <f>R63*0.375</f>
        <v>5850</v>
      </c>
      <c r="T63" s="5">
        <f>R63-S63</f>
        <v>9750</v>
      </c>
      <c r="U63" s="29"/>
      <c r="V63" s="29"/>
    </row>
    <row r="64" spans="1:22" ht="11.25">
      <c r="A64" s="246"/>
      <c r="B64" s="247"/>
      <c r="C64" s="49"/>
      <c r="D64" s="48"/>
      <c r="E64" s="48"/>
      <c r="F64" s="48"/>
      <c r="G64" s="48"/>
      <c r="H64" s="48"/>
      <c r="I64" s="48"/>
      <c r="J64" s="48"/>
      <c r="K64" s="50"/>
      <c r="L64" s="108" t="s">
        <v>166</v>
      </c>
      <c r="M64" s="4">
        <f>SUM(M69:M71)</f>
        <v>15838</v>
      </c>
      <c r="N64" s="4">
        <f>SUM(N69:N71)</f>
        <v>3167.6</v>
      </c>
      <c r="O64" s="115">
        <f>+N64+M64</f>
        <v>19005.6</v>
      </c>
      <c r="P64" s="4">
        <f>SUM(P69:P71)</f>
        <v>10294.7</v>
      </c>
      <c r="Q64" s="4">
        <f>SUM(Q69:Q71)</f>
        <v>2058.94</v>
      </c>
      <c r="R64" s="115">
        <f>+Q64+P64</f>
        <v>12353.640000000001</v>
      </c>
      <c r="S64" s="5">
        <f>R64*0.375</f>
        <v>4632.615000000001</v>
      </c>
      <c r="T64" s="5">
        <f>R64-S64</f>
        <v>7721.025000000001</v>
      </c>
      <c r="U64" s="29"/>
      <c r="V64" s="29"/>
    </row>
    <row r="65" spans="1:22" ht="11.25">
      <c r="A65" s="246"/>
      <c r="B65" s="247"/>
      <c r="C65" s="49"/>
      <c r="D65" s="48"/>
      <c r="E65" s="48"/>
      <c r="F65" s="48"/>
      <c r="G65" s="48"/>
      <c r="H65" s="48"/>
      <c r="I65" s="48"/>
      <c r="J65" s="48"/>
      <c r="K65" s="50"/>
      <c r="L65" s="108" t="s">
        <v>213</v>
      </c>
      <c r="M65" s="4">
        <f>SUM(M72:M73)</f>
        <v>25000</v>
      </c>
      <c r="N65" s="4">
        <f>SUM(N72:N73)</f>
        <v>5000</v>
      </c>
      <c r="O65" s="115">
        <f>+N65+M65</f>
        <v>30000</v>
      </c>
      <c r="P65" s="4">
        <f>SUM(P72:P73)</f>
        <v>16250</v>
      </c>
      <c r="Q65" s="4">
        <f>SUM(Q72:Q73)</f>
        <v>3250</v>
      </c>
      <c r="R65" s="115">
        <f>+Q65+P65</f>
        <v>19500</v>
      </c>
      <c r="S65" s="5">
        <f>R65*0.375</f>
        <v>7312.5</v>
      </c>
      <c r="T65" s="5">
        <f>R65-S65</f>
        <v>12187.5</v>
      </c>
      <c r="U65" s="29"/>
      <c r="V65" s="29"/>
    </row>
    <row r="66" spans="1:22" ht="11.25">
      <c r="A66" s="248"/>
      <c r="B66" s="249"/>
      <c r="C66" s="253"/>
      <c r="D66" s="254"/>
      <c r="E66" s="254"/>
      <c r="F66" s="254"/>
      <c r="G66" s="254"/>
      <c r="H66" s="254"/>
      <c r="I66" s="254"/>
      <c r="J66" s="254"/>
      <c r="K66" s="255"/>
      <c r="L66" s="103" t="s">
        <v>13</v>
      </c>
      <c r="M66" s="6">
        <f>M60-M61-M62-M63-M64-M65</f>
        <v>14162</v>
      </c>
      <c r="N66" s="6"/>
      <c r="O66" s="116"/>
      <c r="P66" s="6"/>
      <c r="Q66" s="6"/>
      <c r="R66" s="116"/>
      <c r="S66" s="58"/>
      <c r="T66" s="1"/>
      <c r="U66" s="29"/>
      <c r="V66" s="29"/>
    </row>
    <row r="67" spans="1:21" ht="22.5">
      <c r="A67" s="99" t="s">
        <v>14</v>
      </c>
      <c r="B67" s="7" t="s">
        <v>11</v>
      </c>
      <c r="C67" s="38" t="s">
        <v>23</v>
      </c>
      <c r="D67" s="38" t="s">
        <v>20</v>
      </c>
      <c r="E67" s="46" t="s">
        <v>2</v>
      </c>
      <c r="F67" s="38" t="s">
        <v>19</v>
      </c>
      <c r="G67" s="38" t="s">
        <v>18</v>
      </c>
      <c r="H67" s="46" t="s">
        <v>17</v>
      </c>
      <c r="I67" s="46" t="s">
        <v>16</v>
      </c>
      <c r="J67" s="38" t="s">
        <v>3</v>
      </c>
      <c r="K67" s="38" t="s">
        <v>4</v>
      </c>
      <c r="L67" s="104" t="s">
        <v>5</v>
      </c>
      <c r="M67" s="7" t="s">
        <v>21</v>
      </c>
      <c r="N67" s="7" t="s">
        <v>79</v>
      </c>
      <c r="O67" s="104" t="s">
        <v>80</v>
      </c>
      <c r="P67" s="7" t="s">
        <v>22</v>
      </c>
      <c r="Q67" s="7" t="s">
        <v>81</v>
      </c>
      <c r="R67" s="104" t="s">
        <v>82</v>
      </c>
      <c r="S67" s="240" t="s">
        <v>28</v>
      </c>
      <c r="T67" s="240"/>
      <c r="U67" s="29"/>
    </row>
    <row r="68" spans="1:20" ht="11.25">
      <c r="A68" s="65" t="s">
        <v>101</v>
      </c>
      <c r="B68" s="8"/>
      <c r="C68" s="9" t="s">
        <v>41</v>
      </c>
      <c r="D68" s="9" t="s">
        <v>110</v>
      </c>
      <c r="E68" s="9" t="s">
        <v>111</v>
      </c>
      <c r="F68" s="9" t="s">
        <v>112</v>
      </c>
      <c r="G68" s="10">
        <v>38562</v>
      </c>
      <c r="H68" s="11">
        <v>38568</v>
      </c>
      <c r="I68" s="11" t="s">
        <v>45</v>
      </c>
      <c r="J68" s="16">
        <v>20000</v>
      </c>
      <c r="K68" s="135">
        <v>4000</v>
      </c>
      <c r="L68" s="105">
        <v>24000</v>
      </c>
      <c r="M68" s="12">
        <v>20000</v>
      </c>
      <c r="N68" s="12">
        <v>4000</v>
      </c>
      <c r="O68" s="105">
        <f>+N68+M68</f>
        <v>24000</v>
      </c>
      <c r="P68" s="12">
        <f aca="true" t="shared" si="8" ref="P68:Q71">M68*0.65</f>
        <v>13000</v>
      </c>
      <c r="Q68" s="12">
        <f t="shared" si="8"/>
        <v>2600</v>
      </c>
      <c r="R68" s="105">
        <f aca="true" t="shared" si="9" ref="R68:R73">+Q68+P68</f>
        <v>15600</v>
      </c>
      <c r="S68" s="235"/>
      <c r="T68" s="235"/>
    </row>
    <row r="69" spans="1:20" ht="11.25">
      <c r="A69" s="65" t="s">
        <v>168</v>
      </c>
      <c r="B69" s="8"/>
      <c r="C69" s="9" t="s">
        <v>41</v>
      </c>
      <c r="D69" s="9" t="s">
        <v>110</v>
      </c>
      <c r="E69" s="9" t="s">
        <v>111</v>
      </c>
      <c r="F69" s="9" t="s">
        <v>174</v>
      </c>
      <c r="G69" s="10">
        <v>38692</v>
      </c>
      <c r="H69" s="11">
        <v>38716</v>
      </c>
      <c r="I69" s="11" t="s">
        <v>45</v>
      </c>
      <c r="J69" s="16">
        <v>9166.67</v>
      </c>
      <c r="K69" s="135">
        <v>1833.33</v>
      </c>
      <c r="L69" s="105">
        <v>11000</v>
      </c>
      <c r="M69" s="12">
        <v>9166.67</v>
      </c>
      <c r="N69" s="12">
        <v>1833.33</v>
      </c>
      <c r="O69" s="105">
        <f>+N69+M69</f>
        <v>11000</v>
      </c>
      <c r="P69" s="12">
        <f t="shared" si="8"/>
        <v>5958.3355</v>
      </c>
      <c r="Q69" s="12">
        <f t="shared" si="8"/>
        <v>1191.6645</v>
      </c>
      <c r="R69" s="105">
        <f t="shared" si="9"/>
        <v>7150</v>
      </c>
      <c r="S69" s="235"/>
      <c r="T69" s="235"/>
    </row>
    <row r="70" spans="1:20" ht="11.25">
      <c r="A70" s="65" t="s">
        <v>168</v>
      </c>
      <c r="B70" s="8"/>
      <c r="C70" s="9" t="s">
        <v>41</v>
      </c>
      <c r="D70" s="9" t="s">
        <v>110</v>
      </c>
      <c r="E70" s="9" t="s">
        <v>111</v>
      </c>
      <c r="F70" s="9" t="s">
        <v>175</v>
      </c>
      <c r="G70" s="10">
        <v>38692</v>
      </c>
      <c r="H70" s="11">
        <v>38898</v>
      </c>
      <c r="I70" s="11" t="s">
        <v>45</v>
      </c>
      <c r="J70" s="16">
        <v>5833.33</v>
      </c>
      <c r="K70" s="135">
        <v>1166.67</v>
      </c>
      <c r="L70" s="105">
        <v>7000</v>
      </c>
      <c r="M70" s="12">
        <v>5833.33</v>
      </c>
      <c r="N70" s="12">
        <v>1166.67</v>
      </c>
      <c r="O70" s="105">
        <f>+N70+M70</f>
        <v>7000</v>
      </c>
      <c r="P70" s="12">
        <f t="shared" si="8"/>
        <v>3791.6645</v>
      </c>
      <c r="Q70" s="12">
        <f t="shared" si="8"/>
        <v>758.3355</v>
      </c>
      <c r="R70" s="105">
        <f t="shared" si="9"/>
        <v>4550</v>
      </c>
      <c r="S70" s="235"/>
      <c r="T70" s="235"/>
    </row>
    <row r="71" spans="1:20" ht="11.25">
      <c r="A71" s="65" t="s">
        <v>168</v>
      </c>
      <c r="B71" s="8"/>
      <c r="C71" s="9" t="s">
        <v>41</v>
      </c>
      <c r="D71" s="9" t="s">
        <v>176</v>
      </c>
      <c r="E71" s="9" t="s">
        <v>177</v>
      </c>
      <c r="F71" s="9">
        <v>128</v>
      </c>
      <c r="G71" s="10">
        <v>38852</v>
      </c>
      <c r="H71" s="11">
        <v>38897</v>
      </c>
      <c r="I71" s="11" t="s">
        <v>45</v>
      </c>
      <c r="J71" s="16">
        <v>838</v>
      </c>
      <c r="K71" s="135">
        <v>167.6</v>
      </c>
      <c r="L71" s="105">
        <v>1005.6</v>
      </c>
      <c r="M71" s="12">
        <v>838</v>
      </c>
      <c r="N71" s="12">
        <v>167.6</v>
      </c>
      <c r="O71" s="105">
        <f>+N71+M71</f>
        <v>1005.6</v>
      </c>
      <c r="P71" s="12">
        <f t="shared" si="8"/>
        <v>544.7</v>
      </c>
      <c r="Q71" s="12">
        <f t="shared" si="8"/>
        <v>108.94</v>
      </c>
      <c r="R71" s="105">
        <f t="shared" si="9"/>
        <v>653.6400000000001</v>
      </c>
      <c r="S71" s="235"/>
      <c r="T71" s="235"/>
    </row>
    <row r="72" spans="1:20" ht="11.25">
      <c r="A72" s="65" t="s">
        <v>190</v>
      </c>
      <c r="B72" s="8"/>
      <c r="C72" s="9" t="s">
        <v>41</v>
      </c>
      <c r="D72" s="9" t="s">
        <v>110</v>
      </c>
      <c r="E72" s="9" t="s">
        <v>111</v>
      </c>
      <c r="F72" s="9" t="s">
        <v>192</v>
      </c>
      <c r="G72" s="10">
        <v>39056</v>
      </c>
      <c r="H72" s="11">
        <v>39066</v>
      </c>
      <c r="I72" s="11" t="s">
        <v>105</v>
      </c>
      <c r="J72" s="16">
        <v>13009.04</v>
      </c>
      <c r="K72" s="135">
        <v>2601.81</v>
      </c>
      <c r="L72" s="105">
        <v>15610.85</v>
      </c>
      <c r="M72" s="16">
        <v>13009.04</v>
      </c>
      <c r="N72" s="135">
        <v>2601.81</v>
      </c>
      <c r="O72" s="105">
        <v>15610.85</v>
      </c>
      <c r="P72" s="12">
        <f>M72*0.65</f>
        <v>8455.876</v>
      </c>
      <c r="Q72" s="12">
        <f>N72*0.65</f>
        <v>1691.1765</v>
      </c>
      <c r="R72" s="105">
        <f t="shared" si="9"/>
        <v>10147.0525</v>
      </c>
      <c r="S72" s="227" t="s">
        <v>206</v>
      </c>
      <c r="T72" s="228"/>
    </row>
    <row r="73" spans="1:20" ht="11.25">
      <c r="A73" s="65" t="s">
        <v>190</v>
      </c>
      <c r="B73" s="8"/>
      <c r="C73" s="9" t="s">
        <v>41</v>
      </c>
      <c r="D73" s="9" t="s">
        <v>110</v>
      </c>
      <c r="E73" s="9" t="s">
        <v>111</v>
      </c>
      <c r="F73" s="9" t="s">
        <v>193</v>
      </c>
      <c r="G73" s="10">
        <v>39056</v>
      </c>
      <c r="H73" s="11">
        <v>39066</v>
      </c>
      <c r="I73" s="11" t="s">
        <v>105</v>
      </c>
      <c r="J73" s="16">
        <v>11990.96</v>
      </c>
      <c r="K73" s="135">
        <v>2398.19</v>
      </c>
      <c r="L73" s="105">
        <v>14389.15</v>
      </c>
      <c r="M73" s="16">
        <v>11990.96</v>
      </c>
      <c r="N73" s="135">
        <v>2398.19</v>
      </c>
      <c r="O73" s="105">
        <v>14389.15</v>
      </c>
      <c r="P73" s="12">
        <f>M73*0.65</f>
        <v>7794.124</v>
      </c>
      <c r="Q73" s="12">
        <f>N73*0.65</f>
        <v>1558.8235000000002</v>
      </c>
      <c r="R73" s="105">
        <f t="shared" si="9"/>
        <v>9352.9475</v>
      </c>
      <c r="S73" s="229"/>
      <c r="T73" s="230"/>
    </row>
    <row r="74" spans="1:21" ht="11.25">
      <c r="A74" s="68"/>
      <c r="B74" s="8"/>
      <c r="C74" s="9"/>
      <c r="D74" s="9"/>
      <c r="E74" s="9"/>
      <c r="F74" s="9"/>
      <c r="G74" s="10"/>
      <c r="H74" s="11"/>
      <c r="I74" s="11"/>
      <c r="J74" s="12"/>
      <c r="K74" s="12"/>
      <c r="L74" s="232"/>
      <c r="M74" s="12"/>
      <c r="N74" s="12"/>
      <c r="O74" s="105"/>
      <c r="P74" s="12"/>
      <c r="Q74" s="12"/>
      <c r="R74" s="105"/>
      <c r="S74" s="235"/>
      <c r="T74" s="235"/>
      <c r="U74" s="29"/>
    </row>
    <row r="75" ht="11.25">
      <c r="U75" s="29"/>
    </row>
    <row r="76" spans="1:21" ht="11.25">
      <c r="A76" s="45"/>
      <c r="B76" s="70"/>
      <c r="C76" s="273" t="s">
        <v>8</v>
      </c>
      <c r="D76" s="273"/>
      <c r="E76" s="273"/>
      <c r="F76" s="273"/>
      <c r="G76" s="273"/>
      <c r="H76" s="273"/>
      <c r="I76" s="273"/>
      <c r="J76" s="273"/>
      <c r="K76" s="273"/>
      <c r="L76" s="274"/>
      <c r="M76" s="238" t="s">
        <v>26</v>
      </c>
      <c r="N76" s="239"/>
      <c r="O76" s="239"/>
      <c r="P76" s="239" t="s">
        <v>22</v>
      </c>
      <c r="Q76" s="239"/>
      <c r="R76" s="239"/>
      <c r="S76" s="36" t="s">
        <v>24</v>
      </c>
      <c r="T76" s="37" t="s">
        <v>25</v>
      </c>
      <c r="U76" s="29"/>
    </row>
    <row r="77" spans="1:22" ht="11.25">
      <c r="A77" s="246"/>
      <c r="B77" s="247"/>
      <c r="C77" s="256"/>
      <c r="D77" s="257"/>
      <c r="E77" s="257"/>
      <c r="F77" s="257"/>
      <c r="G77" s="257"/>
      <c r="H77" s="257"/>
      <c r="I77" s="257"/>
      <c r="J77" s="257"/>
      <c r="K77" s="258"/>
      <c r="L77" s="111" t="s">
        <v>12</v>
      </c>
      <c r="M77" s="3">
        <v>25000</v>
      </c>
      <c r="N77" s="3"/>
      <c r="O77" s="114"/>
      <c r="P77" s="3"/>
      <c r="Q77" s="95"/>
      <c r="R77" s="117"/>
      <c r="S77" s="56"/>
      <c r="T77" s="56"/>
      <c r="U77" s="29"/>
      <c r="V77" s="29"/>
    </row>
    <row r="78" spans="1:22" ht="11.25">
      <c r="A78" s="246"/>
      <c r="B78" s="247"/>
      <c r="C78" s="49"/>
      <c r="D78" s="48"/>
      <c r="E78" s="48"/>
      <c r="F78" s="48"/>
      <c r="G78" s="48"/>
      <c r="H78" s="48"/>
      <c r="I78" s="48"/>
      <c r="J78" s="48"/>
      <c r="K78" s="202"/>
      <c r="L78" s="108" t="s">
        <v>29</v>
      </c>
      <c r="M78" s="4">
        <f aca="true" t="shared" si="10" ref="M78:R78">SUM(M85)</f>
        <v>1104</v>
      </c>
      <c r="N78" s="4">
        <f t="shared" si="10"/>
        <v>220.8</v>
      </c>
      <c r="O78" s="115">
        <f t="shared" si="10"/>
        <v>1324.8</v>
      </c>
      <c r="P78" s="4">
        <f t="shared" si="10"/>
        <v>717.6</v>
      </c>
      <c r="Q78" s="4">
        <f t="shared" si="10"/>
        <v>143.52</v>
      </c>
      <c r="R78" s="115">
        <f t="shared" si="10"/>
        <v>861.12</v>
      </c>
      <c r="S78" s="5">
        <f>R78*0.375</f>
        <v>322.92</v>
      </c>
      <c r="T78" s="5">
        <f>R78-S78</f>
        <v>538.2</v>
      </c>
      <c r="U78" s="29"/>
      <c r="V78" s="29"/>
    </row>
    <row r="79" spans="1:22" ht="11.25">
      <c r="A79" s="246"/>
      <c r="B79" s="247"/>
      <c r="C79" s="49"/>
      <c r="D79" s="48"/>
      <c r="E79" s="48"/>
      <c r="F79" s="48"/>
      <c r="G79" s="48"/>
      <c r="H79" s="48"/>
      <c r="I79" s="48"/>
      <c r="J79" s="48"/>
      <c r="K79" s="50"/>
      <c r="L79" s="108" t="s">
        <v>30</v>
      </c>
      <c r="M79" s="4">
        <v>0</v>
      </c>
      <c r="N79" s="4"/>
      <c r="O79" s="115"/>
      <c r="P79" s="4">
        <v>0</v>
      </c>
      <c r="Q79" s="96"/>
      <c r="R79" s="118"/>
      <c r="S79" s="5">
        <f>R79*0.375</f>
        <v>0</v>
      </c>
      <c r="T79" s="5">
        <f>R79-S79</f>
        <v>0</v>
      </c>
      <c r="U79" s="29"/>
      <c r="V79" s="29"/>
    </row>
    <row r="80" spans="1:22" ht="11.25">
      <c r="A80" s="246"/>
      <c r="B80" s="247"/>
      <c r="C80" s="49"/>
      <c r="D80" s="48"/>
      <c r="E80" s="48"/>
      <c r="F80" s="48"/>
      <c r="G80" s="48"/>
      <c r="H80" s="48"/>
      <c r="I80" s="48"/>
      <c r="J80" s="48"/>
      <c r="K80" s="50"/>
      <c r="L80" s="108" t="s">
        <v>89</v>
      </c>
      <c r="M80" s="4">
        <f>+M86</f>
        <v>1134</v>
      </c>
      <c r="N80" s="4">
        <f>+N86</f>
        <v>226.8</v>
      </c>
      <c r="O80" s="115">
        <f>+N80+M80</f>
        <v>1360.8</v>
      </c>
      <c r="P80" s="4">
        <f>+P86</f>
        <v>737.1</v>
      </c>
      <c r="Q80" s="4">
        <f>+Q86</f>
        <v>147.42000000000002</v>
      </c>
      <c r="R80" s="115">
        <f>+Q80+P80</f>
        <v>884.52</v>
      </c>
      <c r="S80" s="5">
        <f>R80*0.375</f>
        <v>331.695</v>
      </c>
      <c r="T80" s="5">
        <f>R80-S80</f>
        <v>552.825</v>
      </c>
      <c r="U80" s="29"/>
      <c r="V80" s="29"/>
    </row>
    <row r="81" spans="1:22" ht="11.25">
      <c r="A81" s="246"/>
      <c r="B81" s="247"/>
      <c r="C81" s="49"/>
      <c r="D81" s="48"/>
      <c r="E81" s="48"/>
      <c r="F81" s="48"/>
      <c r="G81" s="48"/>
      <c r="H81" s="48"/>
      <c r="I81" s="48"/>
      <c r="J81" s="48"/>
      <c r="K81" s="50"/>
      <c r="L81" s="108" t="s">
        <v>166</v>
      </c>
      <c r="M81" s="4"/>
      <c r="N81" s="4"/>
      <c r="O81" s="115"/>
      <c r="P81" s="4"/>
      <c r="Q81" s="4"/>
      <c r="R81" s="115"/>
      <c r="S81" s="5">
        <f>R81*0.375</f>
        <v>0</v>
      </c>
      <c r="T81" s="5">
        <f>R81-S81</f>
        <v>0</v>
      </c>
      <c r="U81" s="29"/>
      <c r="V81" s="29"/>
    </row>
    <row r="82" spans="1:22" ht="11.25">
      <c r="A82" s="246"/>
      <c r="B82" s="247"/>
      <c r="C82" s="49"/>
      <c r="D82" s="48"/>
      <c r="E82" s="48"/>
      <c r="F82" s="48"/>
      <c r="G82" s="48"/>
      <c r="H82" s="48"/>
      <c r="I82" s="48"/>
      <c r="J82" s="48"/>
      <c r="K82" s="50"/>
      <c r="L82" s="108" t="s">
        <v>213</v>
      </c>
      <c r="M82" s="4">
        <f>+M87</f>
        <v>8133.33</v>
      </c>
      <c r="N82" s="4">
        <f>+N87</f>
        <v>1626.67</v>
      </c>
      <c r="O82" s="115">
        <f>+N82+M82</f>
        <v>9760</v>
      </c>
      <c r="P82" s="4">
        <f>+P87</f>
        <v>5286.6645</v>
      </c>
      <c r="Q82" s="4">
        <f>+Q87</f>
        <v>1057.3355000000001</v>
      </c>
      <c r="R82" s="115">
        <f>+Q82+P82</f>
        <v>6344</v>
      </c>
      <c r="S82" s="5">
        <f>R82*0.375</f>
        <v>2379</v>
      </c>
      <c r="T82" s="5">
        <f>R82-S82</f>
        <v>3965</v>
      </c>
      <c r="U82" s="29"/>
      <c r="V82" s="29"/>
    </row>
    <row r="83" spans="1:22" ht="11.25">
      <c r="A83" s="248"/>
      <c r="B83" s="249"/>
      <c r="C83" s="253"/>
      <c r="D83" s="254"/>
      <c r="E83" s="254"/>
      <c r="F83" s="254"/>
      <c r="G83" s="254"/>
      <c r="H83" s="254"/>
      <c r="I83" s="254"/>
      <c r="J83" s="254"/>
      <c r="K83" s="255"/>
      <c r="L83" s="103" t="s">
        <v>13</v>
      </c>
      <c r="M83" s="6">
        <f>M77-M78-M79-M80-M81-M82</f>
        <v>14628.67</v>
      </c>
      <c r="N83" s="6"/>
      <c r="O83" s="116"/>
      <c r="P83" s="6"/>
      <c r="Q83" s="6"/>
      <c r="R83" s="116"/>
      <c r="S83" s="1"/>
      <c r="T83" s="1"/>
      <c r="U83" s="29"/>
      <c r="V83" s="29"/>
    </row>
    <row r="84" spans="1:21" ht="22.5">
      <c r="A84" s="99" t="s">
        <v>14</v>
      </c>
      <c r="B84" s="7" t="s">
        <v>11</v>
      </c>
      <c r="C84" s="38" t="s">
        <v>23</v>
      </c>
      <c r="D84" s="38" t="s">
        <v>20</v>
      </c>
      <c r="E84" s="46" t="s">
        <v>2</v>
      </c>
      <c r="F84" s="38" t="s">
        <v>19</v>
      </c>
      <c r="G84" s="38" t="s">
        <v>18</v>
      </c>
      <c r="H84" s="46" t="s">
        <v>17</v>
      </c>
      <c r="I84" s="46" t="s">
        <v>16</v>
      </c>
      <c r="J84" s="38" t="s">
        <v>3</v>
      </c>
      <c r="K84" s="38" t="s">
        <v>4</v>
      </c>
      <c r="L84" s="104" t="s">
        <v>5</v>
      </c>
      <c r="M84" s="7" t="s">
        <v>21</v>
      </c>
      <c r="N84" s="7" t="s">
        <v>79</v>
      </c>
      <c r="O84" s="104" t="s">
        <v>80</v>
      </c>
      <c r="P84" s="7" t="s">
        <v>22</v>
      </c>
      <c r="Q84" s="7" t="s">
        <v>81</v>
      </c>
      <c r="R84" s="104" t="s">
        <v>82</v>
      </c>
      <c r="S84" s="240" t="s">
        <v>28</v>
      </c>
      <c r="T84" s="240"/>
      <c r="U84" s="29"/>
    </row>
    <row r="85" spans="1:21" ht="11.25">
      <c r="A85" s="65" t="s">
        <v>15</v>
      </c>
      <c r="B85" s="8">
        <v>2</v>
      </c>
      <c r="C85" s="9" t="s">
        <v>41</v>
      </c>
      <c r="D85" s="9" t="s">
        <v>47</v>
      </c>
      <c r="E85" s="9" t="s">
        <v>48</v>
      </c>
      <c r="F85" s="9">
        <v>257</v>
      </c>
      <c r="G85" s="10">
        <v>38107</v>
      </c>
      <c r="H85" s="11" t="s">
        <v>49</v>
      </c>
      <c r="I85" s="11" t="s">
        <v>27</v>
      </c>
      <c r="J85" s="12">
        <v>1104</v>
      </c>
      <c r="K85" s="12">
        <f>+J85*0.2</f>
        <v>220.8</v>
      </c>
      <c r="L85" s="105">
        <f>J85+K85</f>
        <v>1324.8</v>
      </c>
      <c r="M85" s="12">
        <v>1104</v>
      </c>
      <c r="N85" s="12">
        <f>+M85*0.2</f>
        <v>220.8</v>
      </c>
      <c r="O85" s="105">
        <f>M85+N85</f>
        <v>1324.8</v>
      </c>
      <c r="P85" s="12">
        <f>M85*0.65</f>
        <v>717.6</v>
      </c>
      <c r="Q85" s="12">
        <f>+N85*0.65</f>
        <v>143.52</v>
      </c>
      <c r="R85" s="105">
        <f>+P85+Q85</f>
        <v>861.12</v>
      </c>
      <c r="S85" s="235"/>
      <c r="T85" s="235"/>
      <c r="U85" s="81">
        <f>(622.4+662.4+40)/12*8</f>
        <v>883.1999999999999</v>
      </c>
    </row>
    <row r="86" spans="1:21" ht="12" customHeight="1">
      <c r="A86" s="65" t="s">
        <v>101</v>
      </c>
      <c r="B86" s="8"/>
      <c r="C86" s="9" t="s">
        <v>41</v>
      </c>
      <c r="D86" s="9" t="s">
        <v>113</v>
      </c>
      <c r="E86" s="9" t="s">
        <v>114</v>
      </c>
      <c r="F86" s="9" t="s">
        <v>115</v>
      </c>
      <c r="G86" s="10">
        <v>38471</v>
      </c>
      <c r="H86" s="11">
        <v>38519</v>
      </c>
      <c r="I86" s="11" t="s">
        <v>105</v>
      </c>
      <c r="J86" s="12">
        <v>1134</v>
      </c>
      <c r="K86" s="12">
        <v>226.8</v>
      </c>
      <c r="L86" s="105">
        <v>1360.8</v>
      </c>
      <c r="M86" s="12">
        <v>1134</v>
      </c>
      <c r="N86" s="26">
        <v>226.8</v>
      </c>
      <c r="O86" s="105">
        <f>+N86+M86</f>
        <v>1360.8</v>
      </c>
      <c r="P86" s="12">
        <f>M86*0.65</f>
        <v>737.1</v>
      </c>
      <c r="Q86" s="12">
        <f>+N86*0.65</f>
        <v>147.42000000000002</v>
      </c>
      <c r="R86" s="105">
        <f>+P86+Q86</f>
        <v>884.52</v>
      </c>
      <c r="S86" s="235"/>
      <c r="T86" s="235"/>
      <c r="U86" s="29"/>
    </row>
    <row r="87" spans="1:21" ht="12" customHeight="1">
      <c r="A87" s="65" t="s">
        <v>190</v>
      </c>
      <c r="B87" s="8"/>
      <c r="C87" s="9" t="s">
        <v>41</v>
      </c>
      <c r="D87" s="9" t="s">
        <v>110</v>
      </c>
      <c r="E87" s="9" t="s">
        <v>111</v>
      </c>
      <c r="F87" s="9" t="s">
        <v>194</v>
      </c>
      <c r="G87" s="10">
        <v>38887</v>
      </c>
      <c r="H87" s="11">
        <v>39066</v>
      </c>
      <c r="I87" s="11" t="s">
        <v>105</v>
      </c>
      <c r="J87" s="12">
        <v>8133.33</v>
      </c>
      <c r="K87" s="12">
        <v>1626.67</v>
      </c>
      <c r="L87" s="105">
        <v>9760</v>
      </c>
      <c r="M87" s="12">
        <v>8133.33</v>
      </c>
      <c r="N87" s="12">
        <v>1626.67</v>
      </c>
      <c r="O87" s="105">
        <v>9760</v>
      </c>
      <c r="P87" s="12">
        <f>M87*0.65</f>
        <v>5286.6645</v>
      </c>
      <c r="Q87" s="12">
        <f>+N87*0.65</f>
        <v>1057.3355000000001</v>
      </c>
      <c r="R87" s="105">
        <f>+P87+Q87</f>
        <v>6344</v>
      </c>
      <c r="S87" s="235" t="s">
        <v>207</v>
      </c>
      <c r="T87" s="235"/>
      <c r="U87" s="29"/>
    </row>
    <row r="88" spans="1:21" ht="11.25">
      <c r="A88" s="68"/>
      <c r="B88" s="8"/>
      <c r="C88" s="9"/>
      <c r="D88" s="9"/>
      <c r="E88" s="9"/>
      <c r="F88" s="9"/>
      <c r="G88" s="10"/>
      <c r="H88" s="11"/>
      <c r="I88" s="11"/>
      <c r="J88" s="12"/>
      <c r="K88" s="12"/>
      <c r="L88" s="105"/>
      <c r="M88" s="12"/>
      <c r="N88" s="12"/>
      <c r="O88" s="105"/>
      <c r="P88" s="12"/>
      <c r="Q88" s="12"/>
      <c r="R88" s="105"/>
      <c r="S88" s="235"/>
      <c r="T88" s="235"/>
      <c r="U88" s="29"/>
    </row>
    <row r="89" ht="11.25">
      <c r="U89" s="29"/>
    </row>
    <row r="90" spans="1:21" ht="11.25">
      <c r="A90" s="45"/>
      <c r="B90" s="70"/>
      <c r="C90" s="273" t="s">
        <v>83</v>
      </c>
      <c r="D90" s="273"/>
      <c r="E90" s="273"/>
      <c r="F90" s="273"/>
      <c r="G90" s="273"/>
      <c r="H90" s="273"/>
      <c r="I90" s="273"/>
      <c r="J90" s="273"/>
      <c r="K90" s="273"/>
      <c r="L90" s="274"/>
      <c r="M90" s="238" t="s">
        <v>26</v>
      </c>
      <c r="N90" s="239"/>
      <c r="O90" s="239"/>
      <c r="P90" s="239" t="s">
        <v>22</v>
      </c>
      <c r="Q90" s="239"/>
      <c r="R90" s="239"/>
      <c r="S90" s="54" t="s">
        <v>24</v>
      </c>
      <c r="T90" s="55" t="s">
        <v>25</v>
      </c>
      <c r="U90" s="29"/>
    </row>
    <row r="91" spans="1:22" ht="11.25">
      <c r="A91" s="246"/>
      <c r="B91" s="247"/>
      <c r="C91" s="250"/>
      <c r="D91" s="251"/>
      <c r="E91" s="251"/>
      <c r="F91" s="251"/>
      <c r="G91" s="251"/>
      <c r="H91" s="251"/>
      <c r="I91" s="251"/>
      <c r="J91" s="251"/>
      <c r="K91" s="252"/>
      <c r="L91" s="111" t="s">
        <v>12</v>
      </c>
      <c r="M91" s="3">
        <v>65000</v>
      </c>
      <c r="N91" s="3"/>
      <c r="O91" s="114"/>
      <c r="P91" s="57"/>
      <c r="Q91" s="57"/>
      <c r="R91" s="203"/>
      <c r="S91" s="62"/>
      <c r="T91" s="62"/>
      <c r="U91" s="29"/>
      <c r="V91" s="29"/>
    </row>
    <row r="92" spans="1:22" ht="11.25">
      <c r="A92" s="246"/>
      <c r="B92" s="247"/>
      <c r="C92" s="49"/>
      <c r="D92" s="48"/>
      <c r="E92" s="48"/>
      <c r="F92" s="48"/>
      <c r="G92" s="48"/>
      <c r="H92" s="48"/>
      <c r="I92" s="48"/>
      <c r="J92" s="48"/>
      <c r="K92" s="202"/>
      <c r="L92" s="108" t="s">
        <v>29</v>
      </c>
      <c r="M92" s="4">
        <f aca="true" t="shared" si="11" ref="M92:R92">SUM(M99)</f>
        <v>23246</v>
      </c>
      <c r="N92" s="4">
        <f t="shared" si="11"/>
        <v>4649.2</v>
      </c>
      <c r="O92" s="115">
        <f t="shared" si="11"/>
        <v>27895.2</v>
      </c>
      <c r="P92" s="4">
        <f t="shared" si="11"/>
        <v>15109.9</v>
      </c>
      <c r="Q92" s="4">
        <f t="shared" si="11"/>
        <v>3021.98</v>
      </c>
      <c r="R92" s="115">
        <f t="shared" si="11"/>
        <v>18131.88</v>
      </c>
      <c r="S92" s="5">
        <f>R92*0.375</f>
        <v>6799.455</v>
      </c>
      <c r="T92" s="5">
        <f>R92-S92</f>
        <v>11332.425000000001</v>
      </c>
      <c r="U92" s="29"/>
      <c r="V92" s="29"/>
    </row>
    <row r="93" spans="1:22" ht="11.25">
      <c r="A93" s="246"/>
      <c r="B93" s="247"/>
      <c r="C93" s="49"/>
      <c r="D93" s="48"/>
      <c r="E93" s="48"/>
      <c r="F93" s="48"/>
      <c r="G93" s="48"/>
      <c r="H93" s="48"/>
      <c r="I93" s="48"/>
      <c r="J93" s="48"/>
      <c r="K93" s="50"/>
      <c r="L93" s="102" t="s">
        <v>30</v>
      </c>
      <c r="M93" s="4"/>
      <c r="N93" s="4"/>
      <c r="O93" s="115"/>
      <c r="P93" s="4"/>
      <c r="Q93" s="96"/>
      <c r="R93" s="118"/>
      <c r="S93" s="5">
        <f>R93*0.375</f>
        <v>0</v>
      </c>
      <c r="T93" s="5">
        <f>R93-S93</f>
        <v>0</v>
      </c>
      <c r="U93" s="29"/>
      <c r="V93" s="29"/>
    </row>
    <row r="94" spans="1:22" ht="11.25">
      <c r="A94" s="246"/>
      <c r="B94" s="247"/>
      <c r="C94" s="49"/>
      <c r="D94" s="48"/>
      <c r="E94" s="48"/>
      <c r="F94" s="48"/>
      <c r="G94" s="48"/>
      <c r="H94" s="48"/>
      <c r="I94" s="48"/>
      <c r="J94" s="48"/>
      <c r="K94" s="50"/>
      <c r="L94" s="102" t="s">
        <v>89</v>
      </c>
      <c r="M94" s="4">
        <f>+M100</f>
        <v>23246</v>
      </c>
      <c r="N94" s="4">
        <f>+N100</f>
        <v>4649.2</v>
      </c>
      <c r="O94" s="115">
        <f>+M94+N94</f>
        <v>27895.2</v>
      </c>
      <c r="P94" s="4">
        <f>+P100</f>
        <v>15109.9</v>
      </c>
      <c r="Q94" s="4">
        <f>+Q100</f>
        <v>3021.98</v>
      </c>
      <c r="R94" s="115">
        <f>+P94+Q94</f>
        <v>18131.88</v>
      </c>
      <c r="S94" s="5">
        <f>R94*0.375</f>
        <v>6799.455</v>
      </c>
      <c r="T94" s="5">
        <f>R94-S94</f>
        <v>11332.425000000001</v>
      </c>
      <c r="U94" s="29"/>
      <c r="V94" s="29"/>
    </row>
    <row r="95" spans="1:22" ht="11.25">
      <c r="A95" s="246"/>
      <c r="B95" s="247"/>
      <c r="C95" s="49"/>
      <c r="D95" s="48"/>
      <c r="E95" s="48"/>
      <c r="F95" s="48"/>
      <c r="G95" s="48"/>
      <c r="H95" s="48"/>
      <c r="I95" s="48"/>
      <c r="J95" s="48"/>
      <c r="K95" s="207"/>
      <c r="L95" s="102" t="s">
        <v>166</v>
      </c>
      <c r="M95" s="4">
        <f>+M101</f>
        <v>23246</v>
      </c>
      <c r="N95" s="4">
        <f>+N101</f>
        <v>4649.2</v>
      </c>
      <c r="O95" s="115">
        <f>+N95+M95</f>
        <v>27895.2</v>
      </c>
      <c r="P95" s="4">
        <f>+P101</f>
        <v>15109.9</v>
      </c>
      <c r="Q95" s="4">
        <f>+Q101</f>
        <v>3021.98</v>
      </c>
      <c r="R95" s="115">
        <f>+Q95+P95</f>
        <v>18131.88</v>
      </c>
      <c r="S95" s="5">
        <f>R95*0.375</f>
        <v>6799.455</v>
      </c>
      <c r="T95" s="5">
        <f>R95-S95</f>
        <v>11332.425000000001</v>
      </c>
      <c r="U95" s="29"/>
      <c r="V95" s="29"/>
    </row>
    <row r="96" spans="1:22" ht="11.25">
      <c r="A96" s="246"/>
      <c r="B96" s="247"/>
      <c r="C96" s="49"/>
      <c r="D96" s="48"/>
      <c r="E96" s="48"/>
      <c r="F96" s="48"/>
      <c r="G96" s="48"/>
      <c r="H96" s="48"/>
      <c r="I96" s="48"/>
      <c r="J96" s="48"/>
      <c r="K96" s="207"/>
      <c r="L96" s="102" t="s">
        <v>213</v>
      </c>
      <c r="M96" s="4"/>
      <c r="N96" s="4"/>
      <c r="O96" s="115"/>
      <c r="P96" s="4"/>
      <c r="Q96" s="4"/>
      <c r="R96" s="115"/>
      <c r="S96" s="205"/>
      <c r="T96" s="205"/>
      <c r="U96" s="29"/>
      <c r="V96" s="29"/>
    </row>
    <row r="97" spans="1:22" ht="11.25">
      <c r="A97" s="248"/>
      <c r="B97" s="249"/>
      <c r="C97" s="253"/>
      <c r="D97" s="254"/>
      <c r="E97" s="254"/>
      <c r="F97" s="254"/>
      <c r="G97" s="254"/>
      <c r="H97" s="254"/>
      <c r="I97" s="254"/>
      <c r="J97" s="254"/>
      <c r="K97" s="255"/>
      <c r="L97" s="103" t="s">
        <v>13</v>
      </c>
      <c r="M97" s="6">
        <f>M91-M92-M93-M94-M95</f>
        <v>-4738</v>
      </c>
      <c r="N97" s="6"/>
      <c r="O97" s="116"/>
      <c r="P97" s="6"/>
      <c r="Q97" s="6"/>
      <c r="R97" s="116"/>
      <c r="S97" s="1"/>
      <c r="T97" s="1"/>
      <c r="U97" s="29"/>
      <c r="V97" s="29"/>
    </row>
    <row r="98" spans="1:21" ht="22.5">
      <c r="A98" s="99" t="s">
        <v>14</v>
      </c>
      <c r="B98" s="7" t="s">
        <v>11</v>
      </c>
      <c r="C98" s="38" t="s">
        <v>23</v>
      </c>
      <c r="D98" s="38" t="s">
        <v>20</v>
      </c>
      <c r="E98" s="46" t="s">
        <v>2</v>
      </c>
      <c r="F98" s="38" t="s">
        <v>19</v>
      </c>
      <c r="G98" s="38" t="s">
        <v>18</v>
      </c>
      <c r="H98" s="46" t="s">
        <v>17</v>
      </c>
      <c r="I98" s="46" t="s">
        <v>16</v>
      </c>
      <c r="J98" s="38" t="s">
        <v>3</v>
      </c>
      <c r="K98" s="38" t="s">
        <v>4</v>
      </c>
      <c r="L98" s="104" t="s">
        <v>5</v>
      </c>
      <c r="M98" s="7" t="s">
        <v>21</v>
      </c>
      <c r="N98" s="7" t="s">
        <v>79</v>
      </c>
      <c r="O98" s="104" t="s">
        <v>80</v>
      </c>
      <c r="P98" s="7" t="s">
        <v>22</v>
      </c>
      <c r="Q98" s="7" t="s">
        <v>81</v>
      </c>
      <c r="R98" s="104" t="s">
        <v>82</v>
      </c>
      <c r="S98" s="240" t="s">
        <v>28</v>
      </c>
      <c r="T98" s="240"/>
      <c r="U98" s="29"/>
    </row>
    <row r="99" spans="1:20" ht="22.5">
      <c r="A99" s="65" t="s">
        <v>15</v>
      </c>
      <c r="B99" s="8">
        <v>4</v>
      </c>
      <c r="C99" s="9" t="s">
        <v>41</v>
      </c>
      <c r="D99" s="9" t="s">
        <v>50</v>
      </c>
      <c r="E99" s="13" t="s">
        <v>52</v>
      </c>
      <c r="F99" s="9" t="s">
        <v>51</v>
      </c>
      <c r="G99" s="10">
        <v>38310</v>
      </c>
      <c r="H99" s="11">
        <v>38370</v>
      </c>
      <c r="I99" s="11" t="s">
        <v>45</v>
      </c>
      <c r="J99" s="12">
        <v>23246</v>
      </c>
      <c r="K99" s="23">
        <f>+J99*0.2</f>
        <v>4649.2</v>
      </c>
      <c r="L99" s="112">
        <f>+K99+J99</f>
        <v>27895.2</v>
      </c>
      <c r="M99" s="12">
        <v>23246</v>
      </c>
      <c r="N99" s="23">
        <f>+M99*0.2</f>
        <v>4649.2</v>
      </c>
      <c r="O99" s="112">
        <f>+N99+M99</f>
        <v>27895.2</v>
      </c>
      <c r="P99" s="12">
        <f aca="true" t="shared" si="12" ref="P99:Q101">M99*0.65</f>
        <v>15109.9</v>
      </c>
      <c r="Q99" s="12">
        <f t="shared" si="12"/>
        <v>3021.98</v>
      </c>
      <c r="R99" s="105">
        <f>+Q99+P99</f>
        <v>18131.88</v>
      </c>
      <c r="S99" s="235"/>
      <c r="T99" s="235"/>
    </row>
    <row r="100" spans="1:21" ht="11.25">
      <c r="A100" s="65" t="s">
        <v>101</v>
      </c>
      <c r="B100" s="8"/>
      <c r="C100" s="9" t="s">
        <v>41</v>
      </c>
      <c r="D100" s="9" t="s">
        <v>116</v>
      </c>
      <c r="E100" s="13" t="s">
        <v>117</v>
      </c>
      <c r="F100" s="9" t="s">
        <v>118</v>
      </c>
      <c r="G100" s="10">
        <v>38527</v>
      </c>
      <c r="H100" s="11">
        <v>38531</v>
      </c>
      <c r="I100" s="11" t="s">
        <v>45</v>
      </c>
      <c r="J100" s="12">
        <v>23246</v>
      </c>
      <c r="K100" s="206">
        <v>4649.2</v>
      </c>
      <c r="L100" s="112">
        <f>+K100+J100</f>
        <v>27895.2</v>
      </c>
      <c r="M100" s="12">
        <v>23246</v>
      </c>
      <c r="N100" s="12">
        <v>4649.2</v>
      </c>
      <c r="O100" s="105">
        <f>+N100+M100</f>
        <v>27895.2</v>
      </c>
      <c r="P100" s="12">
        <f t="shared" si="12"/>
        <v>15109.9</v>
      </c>
      <c r="Q100" s="12">
        <f t="shared" si="12"/>
        <v>3021.98</v>
      </c>
      <c r="R100" s="105">
        <f>+Q100+P100</f>
        <v>18131.88</v>
      </c>
      <c r="S100" s="235"/>
      <c r="T100" s="235"/>
      <c r="U100" s="29"/>
    </row>
    <row r="101" spans="1:21" ht="11.25">
      <c r="A101" s="65" t="s">
        <v>168</v>
      </c>
      <c r="B101" s="8"/>
      <c r="C101" s="9" t="s">
        <v>41</v>
      </c>
      <c r="D101" s="72" t="s">
        <v>116</v>
      </c>
      <c r="E101" s="9" t="s">
        <v>117</v>
      </c>
      <c r="F101" s="8" t="s">
        <v>178</v>
      </c>
      <c r="G101" s="15">
        <v>38847</v>
      </c>
      <c r="H101" s="15">
        <v>38897</v>
      </c>
      <c r="I101" s="11" t="s">
        <v>45</v>
      </c>
      <c r="J101" s="12">
        <v>23246</v>
      </c>
      <c r="K101" s="206">
        <v>4649.2</v>
      </c>
      <c r="L101" s="112">
        <f>+K101+J101</f>
        <v>27895.2</v>
      </c>
      <c r="M101" s="12">
        <v>23246</v>
      </c>
      <c r="N101" s="206">
        <v>4649.2</v>
      </c>
      <c r="O101" s="105">
        <f>+N101+M101</f>
        <v>27895.2</v>
      </c>
      <c r="P101" s="12">
        <f t="shared" si="12"/>
        <v>15109.9</v>
      </c>
      <c r="Q101" s="12">
        <f t="shared" si="12"/>
        <v>3021.98</v>
      </c>
      <c r="R101" s="105">
        <f>+Q101+P101</f>
        <v>18131.88</v>
      </c>
      <c r="S101" s="235"/>
      <c r="T101" s="235"/>
      <c r="U101" s="29"/>
    </row>
    <row r="102" spans="1:21" ht="11.25">
      <c r="A102" s="68"/>
      <c r="B102" s="8"/>
      <c r="C102" s="9"/>
      <c r="D102" s="9"/>
      <c r="E102" s="9"/>
      <c r="F102" s="9"/>
      <c r="G102" s="10"/>
      <c r="H102" s="11"/>
      <c r="I102" s="11"/>
      <c r="J102" s="12"/>
      <c r="K102" s="12"/>
      <c r="L102" s="105"/>
      <c r="M102" s="12"/>
      <c r="N102" s="12"/>
      <c r="O102" s="105"/>
      <c r="P102" s="12"/>
      <c r="Q102" s="12"/>
      <c r="R102" s="105"/>
      <c r="S102" s="235"/>
      <c r="T102" s="235"/>
      <c r="U102" s="29"/>
    </row>
    <row r="103" ht="11.25">
      <c r="U103" s="29"/>
    </row>
    <row r="104" spans="1:21" ht="11.25">
      <c r="A104" s="45"/>
      <c r="B104" s="70"/>
      <c r="C104" s="273" t="s">
        <v>9</v>
      </c>
      <c r="D104" s="273"/>
      <c r="E104" s="273"/>
      <c r="F104" s="273"/>
      <c r="G104" s="273"/>
      <c r="H104" s="273"/>
      <c r="I104" s="273"/>
      <c r="J104" s="273"/>
      <c r="K104" s="273"/>
      <c r="L104" s="274"/>
      <c r="M104" s="238" t="s">
        <v>26</v>
      </c>
      <c r="N104" s="239"/>
      <c r="O104" s="239"/>
      <c r="P104" s="239" t="s">
        <v>22</v>
      </c>
      <c r="Q104" s="239"/>
      <c r="R104" s="239"/>
      <c r="S104" s="59" t="s">
        <v>24</v>
      </c>
      <c r="T104" s="59" t="s">
        <v>25</v>
      </c>
      <c r="U104" s="29"/>
    </row>
    <row r="105" spans="1:22" ht="11.25">
      <c r="A105" s="246"/>
      <c r="B105" s="247"/>
      <c r="C105" s="250"/>
      <c r="D105" s="251"/>
      <c r="E105" s="251"/>
      <c r="F105" s="251"/>
      <c r="G105" s="251"/>
      <c r="H105" s="251"/>
      <c r="I105" s="251"/>
      <c r="J105" s="251"/>
      <c r="K105" s="252"/>
      <c r="L105" s="111" t="s">
        <v>12</v>
      </c>
      <c r="M105" s="3">
        <v>55000</v>
      </c>
      <c r="N105" s="3"/>
      <c r="O105" s="114"/>
      <c r="P105" s="57"/>
      <c r="Q105" s="95"/>
      <c r="R105" s="117"/>
      <c r="S105" s="56"/>
      <c r="T105" s="56"/>
      <c r="U105" s="29"/>
      <c r="V105" s="29"/>
    </row>
    <row r="106" spans="1:22" ht="11.25">
      <c r="A106" s="246"/>
      <c r="B106" s="247"/>
      <c r="C106" s="49"/>
      <c r="D106" s="48"/>
      <c r="E106" s="48"/>
      <c r="F106" s="48"/>
      <c r="G106" s="48"/>
      <c r="H106" s="48"/>
      <c r="I106" s="48"/>
      <c r="J106" s="48"/>
      <c r="K106" s="4">
        <v>0</v>
      </c>
      <c r="L106" s="102" t="s">
        <v>29</v>
      </c>
      <c r="M106" s="4">
        <f aca="true" t="shared" si="13" ref="M106:R106">+M113</f>
        <v>0</v>
      </c>
      <c r="N106" s="4">
        <f t="shared" si="13"/>
        <v>0</v>
      </c>
      <c r="O106" s="115">
        <f t="shared" si="13"/>
        <v>0</v>
      </c>
      <c r="P106" s="4">
        <f t="shared" si="13"/>
        <v>0</v>
      </c>
      <c r="Q106" s="4">
        <f t="shared" si="13"/>
        <v>0</v>
      </c>
      <c r="R106" s="115">
        <f t="shared" si="13"/>
        <v>0</v>
      </c>
      <c r="S106" s="5">
        <f>R106*0.375</f>
        <v>0</v>
      </c>
      <c r="T106" s="5">
        <f>R106-S106</f>
        <v>0</v>
      </c>
      <c r="U106" s="29"/>
      <c r="V106" s="29"/>
    </row>
    <row r="107" spans="1:22" ht="11.25">
      <c r="A107" s="246"/>
      <c r="B107" s="247"/>
      <c r="C107" s="49"/>
      <c r="D107" s="48"/>
      <c r="E107" s="48"/>
      <c r="F107" s="48"/>
      <c r="G107" s="48"/>
      <c r="H107" s="48"/>
      <c r="I107" s="48"/>
      <c r="J107" s="48"/>
      <c r="K107" s="50"/>
      <c r="L107" s="102" t="s">
        <v>30</v>
      </c>
      <c r="M107" s="4">
        <f>+M114</f>
        <v>23954.16</v>
      </c>
      <c r="N107" s="4">
        <f>+N114</f>
        <v>0</v>
      </c>
      <c r="O107" s="115">
        <f>+N107+M107</f>
        <v>23954.16</v>
      </c>
      <c r="P107" s="4">
        <f>+P114</f>
        <v>15570.204</v>
      </c>
      <c r="Q107" s="4">
        <f>+Q114</f>
        <v>0</v>
      </c>
      <c r="R107" s="115">
        <f>+Q107+P107</f>
        <v>15570.204</v>
      </c>
      <c r="S107" s="5">
        <f>R107*0.375</f>
        <v>5838.8265</v>
      </c>
      <c r="T107" s="5">
        <f>R107-S107</f>
        <v>9731.377499999999</v>
      </c>
      <c r="U107" s="29"/>
      <c r="V107" s="29"/>
    </row>
    <row r="108" spans="1:22" ht="11.25">
      <c r="A108" s="246"/>
      <c r="B108" s="247"/>
      <c r="C108" s="49"/>
      <c r="D108" s="48"/>
      <c r="E108" s="48"/>
      <c r="F108" s="48"/>
      <c r="G108" s="48"/>
      <c r="H108" s="48"/>
      <c r="I108" s="48"/>
      <c r="J108" s="48"/>
      <c r="K108" s="50"/>
      <c r="L108" s="102" t="s">
        <v>89</v>
      </c>
      <c r="M108" s="4">
        <f aca="true" t="shared" si="14" ref="M108:R108">SUM(M118:M119)</f>
        <v>-2996.529999999999</v>
      </c>
      <c r="N108" s="4">
        <f t="shared" si="14"/>
        <v>4191.530000000001</v>
      </c>
      <c r="O108" s="115">
        <f t="shared" si="14"/>
        <v>1195</v>
      </c>
      <c r="P108" s="4">
        <f t="shared" si="14"/>
        <v>-1947.7444999999989</v>
      </c>
      <c r="Q108" s="4">
        <f t="shared" si="14"/>
        <v>2724.4945000000002</v>
      </c>
      <c r="R108" s="115">
        <f t="shared" si="14"/>
        <v>776.7500000000018</v>
      </c>
      <c r="S108" s="5">
        <f>R108*0.375</f>
        <v>291.2812500000007</v>
      </c>
      <c r="T108" s="5">
        <f>R108-S108</f>
        <v>485.46875000000114</v>
      </c>
      <c r="U108" s="29"/>
      <c r="V108" s="29"/>
    </row>
    <row r="109" spans="1:22" ht="11.25">
      <c r="A109" s="246"/>
      <c r="B109" s="247"/>
      <c r="C109" s="49"/>
      <c r="D109" s="48"/>
      <c r="E109" s="48"/>
      <c r="F109" s="48"/>
      <c r="G109" s="48"/>
      <c r="H109" s="48"/>
      <c r="I109" s="48"/>
      <c r="J109" s="48"/>
      <c r="K109" s="50"/>
      <c r="L109" s="102" t="s">
        <v>166</v>
      </c>
      <c r="M109" s="4">
        <f>+M120</f>
        <v>21033.33</v>
      </c>
      <c r="N109" s="4">
        <f>+N120</f>
        <v>4206.67</v>
      </c>
      <c r="O109" s="115">
        <f>+N109+M109</f>
        <v>25240</v>
      </c>
      <c r="P109" s="4">
        <f>+P120</f>
        <v>13671.6645</v>
      </c>
      <c r="Q109" s="4">
        <f>+Q120</f>
        <v>2734.3355</v>
      </c>
      <c r="R109" s="115">
        <f>+Q109+P109</f>
        <v>16406</v>
      </c>
      <c r="S109" s="5">
        <f>R109*0.375</f>
        <v>6152.25</v>
      </c>
      <c r="T109" s="5">
        <f>R109-S109</f>
        <v>10253.75</v>
      </c>
      <c r="U109" s="29"/>
      <c r="V109" s="29"/>
    </row>
    <row r="110" spans="1:22" ht="11.25">
      <c r="A110" s="246"/>
      <c r="B110" s="247"/>
      <c r="C110" s="49"/>
      <c r="D110" s="48"/>
      <c r="E110" s="48"/>
      <c r="F110" s="48"/>
      <c r="G110" s="48"/>
      <c r="H110" s="48"/>
      <c r="I110" s="48"/>
      <c r="J110" s="48"/>
      <c r="K110" s="50"/>
      <c r="L110" s="102" t="s">
        <v>213</v>
      </c>
      <c r="M110" s="4"/>
      <c r="N110" s="4"/>
      <c r="O110" s="115"/>
      <c r="P110" s="4"/>
      <c r="Q110" s="4"/>
      <c r="R110" s="115"/>
      <c r="S110" s="205"/>
      <c r="T110" s="205"/>
      <c r="U110" s="29"/>
      <c r="V110" s="29"/>
    </row>
    <row r="111" spans="1:22" ht="11.25">
      <c r="A111" s="248"/>
      <c r="B111" s="249"/>
      <c r="C111" s="253"/>
      <c r="D111" s="254"/>
      <c r="E111" s="254"/>
      <c r="F111" s="254"/>
      <c r="G111" s="254"/>
      <c r="H111" s="254"/>
      <c r="I111" s="254"/>
      <c r="J111" s="254"/>
      <c r="K111" s="255"/>
      <c r="L111" s="103" t="s">
        <v>13</v>
      </c>
      <c r="M111" s="6">
        <f>M105-M106-M107-M108-M109</f>
        <v>13009.039999999994</v>
      </c>
      <c r="N111" s="6"/>
      <c r="O111" s="116"/>
      <c r="P111" s="6"/>
      <c r="Q111" s="6"/>
      <c r="R111" s="116"/>
      <c r="S111" s="1"/>
      <c r="T111" s="1"/>
      <c r="U111" s="29"/>
      <c r="V111" s="29"/>
    </row>
    <row r="112" spans="1:21" ht="22.5">
      <c r="A112" s="99" t="s">
        <v>14</v>
      </c>
      <c r="B112" s="7" t="s">
        <v>11</v>
      </c>
      <c r="C112" s="38" t="s">
        <v>23</v>
      </c>
      <c r="D112" s="38" t="s">
        <v>20</v>
      </c>
      <c r="E112" s="46" t="s">
        <v>2</v>
      </c>
      <c r="F112" s="38" t="s">
        <v>19</v>
      </c>
      <c r="G112" s="38" t="s">
        <v>18</v>
      </c>
      <c r="H112" s="46" t="s">
        <v>17</v>
      </c>
      <c r="I112" s="46" t="s">
        <v>16</v>
      </c>
      <c r="J112" s="38" t="s">
        <v>3</v>
      </c>
      <c r="K112" s="38" t="s">
        <v>4</v>
      </c>
      <c r="L112" s="104" t="s">
        <v>5</v>
      </c>
      <c r="M112" s="7" t="s">
        <v>21</v>
      </c>
      <c r="N112" s="7" t="s">
        <v>79</v>
      </c>
      <c r="O112" s="104" t="s">
        <v>80</v>
      </c>
      <c r="P112" s="7" t="s">
        <v>22</v>
      </c>
      <c r="Q112" s="7" t="s">
        <v>81</v>
      </c>
      <c r="R112" s="104" t="s">
        <v>82</v>
      </c>
      <c r="S112" s="240" t="s">
        <v>28</v>
      </c>
      <c r="T112" s="240"/>
      <c r="U112" s="29"/>
    </row>
    <row r="113" spans="1:21" ht="23.25" customHeight="1">
      <c r="A113" s="65" t="s">
        <v>15</v>
      </c>
      <c r="B113" s="8">
        <v>2</v>
      </c>
      <c r="C113" s="9" t="s">
        <v>41</v>
      </c>
      <c r="D113" s="9" t="s">
        <v>53</v>
      </c>
      <c r="E113" s="9" t="s">
        <v>54</v>
      </c>
      <c r="F113" s="9">
        <v>1007</v>
      </c>
      <c r="G113" s="10">
        <v>38201</v>
      </c>
      <c r="H113" s="11">
        <v>38201</v>
      </c>
      <c r="I113" s="11" t="s">
        <v>55</v>
      </c>
      <c r="J113" s="12">
        <v>483.33</v>
      </c>
      <c r="K113" s="23">
        <f>J113*0.2</f>
        <v>96.666</v>
      </c>
      <c r="L113" s="112">
        <f>J113+K113</f>
        <v>579.996</v>
      </c>
      <c r="M113" s="12">
        <v>0</v>
      </c>
      <c r="N113" s="12"/>
      <c r="O113" s="105"/>
      <c r="P113" s="12">
        <f>M113*0.65</f>
        <v>0</v>
      </c>
      <c r="Q113" s="12"/>
      <c r="R113" s="105"/>
      <c r="S113" s="235" t="s">
        <v>56</v>
      </c>
      <c r="T113" s="235"/>
      <c r="U113" s="29"/>
    </row>
    <row r="114" spans="1:21" s="150" customFormat="1" ht="23.25" customHeight="1">
      <c r="A114" s="140" t="s">
        <v>86</v>
      </c>
      <c r="B114" s="141"/>
      <c r="C114" s="142"/>
      <c r="D114" s="142" t="s">
        <v>126</v>
      </c>
      <c r="E114" s="142"/>
      <c r="F114" s="142"/>
      <c r="G114" s="144"/>
      <c r="H114" s="145"/>
      <c r="I114" s="145"/>
      <c r="J114" s="151">
        <v>19961.18</v>
      </c>
      <c r="K114" s="151">
        <v>3992.36</v>
      </c>
      <c r="L114" s="151">
        <f>J114+K114</f>
        <v>23953.54</v>
      </c>
      <c r="M114" s="146">
        <v>23954.16</v>
      </c>
      <c r="N114" s="146"/>
      <c r="O114" s="105">
        <f>+N114+M114</f>
        <v>23954.16</v>
      </c>
      <c r="P114" s="146">
        <f>+M114*0.65</f>
        <v>15570.204</v>
      </c>
      <c r="Q114" s="146"/>
      <c r="R114" s="105">
        <f>+Q114+P114</f>
        <v>15570.204</v>
      </c>
      <c r="S114" s="231"/>
      <c r="T114" s="220"/>
      <c r="U114" s="149"/>
    </row>
    <row r="115" spans="1:21" ht="23.25" customHeight="1">
      <c r="A115" s="65" t="s">
        <v>86</v>
      </c>
      <c r="B115" s="8">
        <v>2</v>
      </c>
      <c r="C115" s="9" t="s">
        <v>41</v>
      </c>
      <c r="D115" s="9" t="s">
        <v>53</v>
      </c>
      <c r="E115" s="9" t="s">
        <v>54</v>
      </c>
      <c r="F115" s="9">
        <v>1007</v>
      </c>
      <c r="G115" s="10">
        <v>38201</v>
      </c>
      <c r="H115" s="11">
        <v>38201</v>
      </c>
      <c r="I115" s="11" t="s">
        <v>55</v>
      </c>
      <c r="J115" s="12"/>
      <c r="K115" s="23"/>
      <c r="L115" s="112"/>
      <c r="M115" s="12">
        <v>483.33</v>
      </c>
      <c r="N115" s="12">
        <v>96.67</v>
      </c>
      <c r="O115" s="105">
        <f>+N115+M115</f>
        <v>580</v>
      </c>
      <c r="P115" s="12">
        <f aca="true" t="shared" si="15" ref="P115:Q117">M115*0.65</f>
        <v>314.1645</v>
      </c>
      <c r="Q115" s="12">
        <f t="shared" si="15"/>
        <v>62.8355</v>
      </c>
      <c r="R115" s="105">
        <f>+P115+Q115</f>
        <v>377</v>
      </c>
      <c r="S115" s="235" t="s">
        <v>91</v>
      </c>
      <c r="T115" s="235"/>
      <c r="U115" s="29"/>
    </row>
    <row r="116" spans="1:21" ht="11.25">
      <c r="A116" s="65" t="s">
        <v>86</v>
      </c>
      <c r="B116" s="8"/>
      <c r="C116" s="9" t="s">
        <v>41</v>
      </c>
      <c r="D116" s="17" t="s">
        <v>92</v>
      </c>
      <c r="E116" s="18" t="s">
        <v>93</v>
      </c>
      <c r="F116" s="19">
        <v>421</v>
      </c>
      <c r="G116" s="20">
        <v>38462</v>
      </c>
      <c r="H116" s="11">
        <v>38463</v>
      </c>
      <c r="I116" s="21" t="s">
        <v>27</v>
      </c>
      <c r="J116" s="22">
        <v>6085</v>
      </c>
      <c r="K116" s="23">
        <v>1217</v>
      </c>
      <c r="L116" s="112">
        <f>+K116+J116</f>
        <v>7302</v>
      </c>
      <c r="M116" s="22">
        <v>6085</v>
      </c>
      <c r="N116" s="23">
        <v>1217</v>
      </c>
      <c r="O116" s="112">
        <f>+N116+M116</f>
        <v>7302</v>
      </c>
      <c r="P116" s="12">
        <f t="shared" si="15"/>
        <v>3955.25</v>
      </c>
      <c r="Q116" s="12">
        <f t="shared" si="15"/>
        <v>791.0500000000001</v>
      </c>
      <c r="R116" s="105">
        <f>+P116+Q116</f>
        <v>4746.3</v>
      </c>
      <c r="S116" s="235"/>
      <c r="T116" s="235"/>
      <c r="U116" s="29"/>
    </row>
    <row r="117" spans="1:21" ht="11.25">
      <c r="A117" s="65" t="s">
        <v>86</v>
      </c>
      <c r="B117" s="8"/>
      <c r="C117" s="9" t="s">
        <v>41</v>
      </c>
      <c r="D117" s="17" t="s">
        <v>94</v>
      </c>
      <c r="E117" s="24" t="s">
        <v>95</v>
      </c>
      <c r="F117" s="19">
        <v>735</v>
      </c>
      <c r="G117" s="20">
        <v>38418</v>
      </c>
      <c r="H117" s="11">
        <v>38421</v>
      </c>
      <c r="I117" s="21" t="s">
        <v>27</v>
      </c>
      <c r="J117" s="22">
        <v>13876.8</v>
      </c>
      <c r="K117" s="23">
        <f>+J117*20%</f>
        <v>2775.36</v>
      </c>
      <c r="L117" s="112">
        <f>+K117+J117</f>
        <v>16652.16</v>
      </c>
      <c r="M117" s="22">
        <v>13876.8</v>
      </c>
      <c r="N117" s="12">
        <v>2775.36</v>
      </c>
      <c r="O117" s="105">
        <f>+N117+M117</f>
        <v>16652.16</v>
      </c>
      <c r="P117" s="12">
        <f t="shared" si="15"/>
        <v>9019.92</v>
      </c>
      <c r="Q117" s="12">
        <f t="shared" si="15"/>
        <v>1803.9840000000002</v>
      </c>
      <c r="R117" s="105">
        <f>+P117+Q117</f>
        <v>10823.904</v>
      </c>
      <c r="S117" s="235"/>
      <c r="T117" s="235"/>
      <c r="U117" s="29"/>
    </row>
    <row r="118" spans="1:21" s="150" customFormat="1" ht="11.25">
      <c r="A118" s="140" t="s">
        <v>101</v>
      </c>
      <c r="B118" s="141"/>
      <c r="C118" s="142"/>
      <c r="D118" s="142" t="s">
        <v>127</v>
      </c>
      <c r="E118" s="152"/>
      <c r="F118" s="141"/>
      <c r="G118" s="153"/>
      <c r="H118" s="145"/>
      <c r="I118" s="154"/>
      <c r="J118" s="151">
        <f>+J117+J116+J115-J114</f>
        <v>0.6199999999989814</v>
      </c>
      <c r="K118" s="151">
        <f aca="true" t="shared" si="16" ref="K118:R118">+K117+K116+K115-K114</f>
        <v>0</v>
      </c>
      <c r="L118" s="151">
        <f t="shared" si="16"/>
        <v>0.6199999999989814</v>
      </c>
      <c r="M118" s="151">
        <f t="shared" si="16"/>
        <v>-3509.029999999999</v>
      </c>
      <c r="N118" s="151">
        <f t="shared" si="16"/>
        <v>4089.03</v>
      </c>
      <c r="O118" s="112">
        <f t="shared" si="16"/>
        <v>580</v>
      </c>
      <c r="P118" s="151">
        <f t="shared" si="16"/>
        <v>-2280.869499999999</v>
      </c>
      <c r="Q118" s="151">
        <f t="shared" si="16"/>
        <v>2657.8695000000002</v>
      </c>
      <c r="R118" s="112">
        <f t="shared" si="16"/>
        <v>377.0000000000018</v>
      </c>
      <c r="S118" s="231"/>
      <c r="T118" s="220"/>
      <c r="U118" s="149"/>
    </row>
    <row r="119" spans="1:21" ht="11.25">
      <c r="A119" s="65" t="s">
        <v>101</v>
      </c>
      <c r="B119" s="8"/>
      <c r="C119" s="9" t="s">
        <v>41</v>
      </c>
      <c r="D119" s="9" t="s">
        <v>119</v>
      </c>
      <c r="E119" s="9" t="s">
        <v>120</v>
      </c>
      <c r="F119" s="9">
        <v>32</v>
      </c>
      <c r="G119" s="10">
        <v>38597</v>
      </c>
      <c r="H119" s="11">
        <v>38597</v>
      </c>
      <c r="I119" s="11" t="s">
        <v>55</v>
      </c>
      <c r="J119" s="136">
        <v>512.5</v>
      </c>
      <c r="K119" s="137">
        <v>102.5</v>
      </c>
      <c r="L119" s="138">
        <v>615</v>
      </c>
      <c r="M119" s="136">
        <v>512.5</v>
      </c>
      <c r="N119" s="137">
        <v>102.5</v>
      </c>
      <c r="O119" s="105">
        <f>+N119+M119</f>
        <v>615</v>
      </c>
      <c r="P119" s="12">
        <f>M119*0.65</f>
        <v>333.125</v>
      </c>
      <c r="Q119" s="12">
        <f>N119*0.65</f>
        <v>66.625</v>
      </c>
      <c r="R119" s="105">
        <f>+P119+Q119</f>
        <v>399.75</v>
      </c>
      <c r="S119" s="235"/>
      <c r="T119" s="235"/>
      <c r="U119" s="29"/>
    </row>
    <row r="120" spans="1:21" ht="11.25">
      <c r="A120" s="65" t="s">
        <v>168</v>
      </c>
      <c r="B120" s="8"/>
      <c r="C120" s="9" t="s">
        <v>41</v>
      </c>
      <c r="D120" s="9" t="s">
        <v>179</v>
      </c>
      <c r="E120" s="9" t="s">
        <v>111</v>
      </c>
      <c r="F120" s="9" t="s">
        <v>180</v>
      </c>
      <c r="G120" s="10">
        <v>38887</v>
      </c>
      <c r="H120" s="11">
        <v>38898</v>
      </c>
      <c r="I120" s="21" t="s">
        <v>27</v>
      </c>
      <c r="J120" s="12">
        <v>21033.33</v>
      </c>
      <c r="K120" s="12">
        <v>4206.67</v>
      </c>
      <c r="L120" s="105">
        <v>25240</v>
      </c>
      <c r="M120" s="12">
        <v>21033.33</v>
      </c>
      <c r="N120" s="12">
        <v>4206.67</v>
      </c>
      <c r="O120" s="105">
        <f>+N120+M120</f>
        <v>25240</v>
      </c>
      <c r="P120" s="12">
        <f>M120*0.65</f>
        <v>13671.6645</v>
      </c>
      <c r="Q120" s="12">
        <f>N120*0.65</f>
        <v>2734.3355</v>
      </c>
      <c r="R120" s="105">
        <f>+P120+Q120</f>
        <v>16406</v>
      </c>
      <c r="S120" s="235"/>
      <c r="T120" s="235"/>
      <c r="U120" s="29"/>
    </row>
    <row r="121" spans="1:21" ht="11.25">
      <c r="A121" s="65"/>
      <c r="B121" s="8"/>
      <c r="C121" s="9"/>
      <c r="D121" s="9"/>
      <c r="E121" s="9"/>
      <c r="F121" s="9"/>
      <c r="G121" s="10"/>
      <c r="H121" s="11"/>
      <c r="I121" s="11"/>
      <c r="J121" s="12"/>
      <c r="K121" s="12"/>
      <c r="L121" s="105"/>
      <c r="M121" s="12"/>
      <c r="N121" s="12"/>
      <c r="O121" s="105"/>
      <c r="P121" s="12"/>
      <c r="Q121" s="12"/>
      <c r="R121" s="105"/>
      <c r="S121" s="235"/>
      <c r="T121" s="235"/>
      <c r="U121" s="29"/>
    </row>
    <row r="122" spans="1:21" ht="11.25">
      <c r="A122" s="68"/>
      <c r="B122" s="8"/>
      <c r="C122" s="9"/>
      <c r="D122" s="9"/>
      <c r="E122" s="9"/>
      <c r="F122" s="9"/>
      <c r="G122" s="10"/>
      <c r="H122" s="11"/>
      <c r="I122" s="11"/>
      <c r="J122" s="12"/>
      <c r="K122" s="12"/>
      <c r="L122" s="105"/>
      <c r="M122" s="12"/>
      <c r="N122" s="12"/>
      <c r="O122" s="105"/>
      <c r="P122" s="12"/>
      <c r="Q122" s="12"/>
      <c r="R122" s="105"/>
      <c r="S122" s="235"/>
      <c r="T122" s="235"/>
      <c r="U122" s="29"/>
    </row>
    <row r="123" ht="11.25">
      <c r="U123" s="29"/>
    </row>
    <row r="124" spans="1:21" ht="11.25">
      <c r="A124" s="45"/>
      <c r="B124" s="70"/>
      <c r="C124" s="273" t="s">
        <v>10</v>
      </c>
      <c r="D124" s="273"/>
      <c r="E124" s="273"/>
      <c r="F124" s="273"/>
      <c r="G124" s="273"/>
      <c r="H124" s="273"/>
      <c r="I124" s="273"/>
      <c r="J124" s="273"/>
      <c r="K124" s="273"/>
      <c r="L124" s="274"/>
      <c r="M124" s="238" t="s">
        <v>26</v>
      </c>
      <c r="N124" s="239"/>
      <c r="O124" s="239"/>
      <c r="P124" s="239" t="s">
        <v>22</v>
      </c>
      <c r="Q124" s="239"/>
      <c r="R124" s="239"/>
      <c r="S124" s="36" t="s">
        <v>24</v>
      </c>
      <c r="T124" s="37" t="s">
        <v>25</v>
      </c>
      <c r="U124" s="29"/>
    </row>
    <row r="125" spans="1:22" ht="11.25">
      <c r="A125" s="246"/>
      <c r="B125" s="247"/>
      <c r="C125" s="250"/>
      <c r="D125" s="251"/>
      <c r="E125" s="251"/>
      <c r="F125" s="251"/>
      <c r="G125" s="251"/>
      <c r="H125" s="251"/>
      <c r="I125" s="251"/>
      <c r="J125" s="251"/>
      <c r="K125" s="252"/>
      <c r="L125" s="111" t="s">
        <v>12</v>
      </c>
      <c r="M125" s="3">
        <v>31425</v>
      </c>
      <c r="N125" s="3"/>
      <c r="O125" s="114"/>
      <c r="P125" s="3"/>
      <c r="Q125" s="3"/>
      <c r="R125" s="117"/>
      <c r="S125" s="56"/>
      <c r="T125" s="56"/>
      <c r="U125" s="29"/>
      <c r="V125" s="29"/>
    </row>
    <row r="126" spans="1:22" ht="11.25">
      <c r="A126" s="246"/>
      <c r="B126" s="247"/>
      <c r="C126" s="49"/>
      <c r="D126" s="48"/>
      <c r="E126" s="48"/>
      <c r="F126" s="48"/>
      <c r="G126" s="48"/>
      <c r="H126" s="48"/>
      <c r="I126" s="48"/>
      <c r="J126" s="48"/>
      <c r="K126" s="4"/>
      <c r="L126" s="102" t="s">
        <v>29</v>
      </c>
      <c r="M126" s="4">
        <f>SUM(M133:M138)</f>
        <v>3172.35</v>
      </c>
      <c r="N126" s="4">
        <f>SUM(N133:N138)</f>
        <v>0</v>
      </c>
      <c r="O126" s="115">
        <f>+N126+M126</f>
        <v>3172.35</v>
      </c>
      <c r="P126" s="4">
        <f>SUM(P133:P138)</f>
        <v>2062.0275</v>
      </c>
      <c r="Q126" s="4">
        <f>SUM(Q133:Q138)</f>
        <v>0</v>
      </c>
      <c r="R126" s="115">
        <f>+Q126+P126</f>
        <v>2062.0275</v>
      </c>
      <c r="S126" s="5">
        <f>R126*0.375</f>
        <v>773.2603125</v>
      </c>
      <c r="T126" s="5">
        <f>R126-S126</f>
        <v>1288.7671875</v>
      </c>
      <c r="U126" s="29"/>
      <c r="V126" s="29"/>
    </row>
    <row r="127" spans="1:22" ht="11.25">
      <c r="A127" s="246"/>
      <c r="B127" s="247"/>
      <c r="C127" s="49"/>
      <c r="D127" s="48"/>
      <c r="E127" s="48"/>
      <c r="F127" s="48"/>
      <c r="G127" s="48"/>
      <c r="H127" s="48"/>
      <c r="I127" s="48"/>
      <c r="J127" s="48"/>
      <c r="K127" s="50"/>
      <c r="L127" s="102" t="s">
        <v>30</v>
      </c>
      <c r="M127" s="4">
        <f>SUM(M139:M141)</f>
        <v>1020</v>
      </c>
      <c r="N127" s="4">
        <f>SUM(N139:N141)</f>
        <v>204</v>
      </c>
      <c r="O127" s="115">
        <f>+N127+M127</f>
        <v>1224</v>
      </c>
      <c r="P127" s="4">
        <f>SUM(P139:P141)</f>
        <v>663</v>
      </c>
      <c r="Q127" s="4">
        <f>SUM(Q139:Q141)</f>
        <v>132.6</v>
      </c>
      <c r="R127" s="115">
        <f>+Q127+P127</f>
        <v>795.6</v>
      </c>
      <c r="S127" s="5">
        <f>R127*0.375</f>
        <v>298.35</v>
      </c>
      <c r="T127" s="5">
        <f>R127-S127</f>
        <v>497.25</v>
      </c>
      <c r="U127" s="29"/>
      <c r="V127" s="29"/>
    </row>
    <row r="128" spans="1:22" ht="11.25">
      <c r="A128" s="246"/>
      <c r="B128" s="247"/>
      <c r="C128" s="49"/>
      <c r="D128" s="48"/>
      <c r="E128" s="48"/>
      <c r="F128" s="48"/>
      <c r="G128" s="48"/>
      <c r="H128" s="48"/>
      <c r="I128" s="48"/>
      <c r="J128" s="48"/>
      <c r="K128" s="50"/>
      <c r="L128" s="102" t="s">
        <v>89</v>
      </c>
      <c r="M128" s="4">
        <f>SUM(M142)</f>
        <v>-1020</v>
      </c>
      <c r="N128" s="4">
        <f>SUM(N142)</f>
        <v>-204</v>
      </c>
      <c r="O128" s="115">
        <f>+N128+M128</f>
        <v>-1224</v>
      </c>
      <c r="P128" s="4">
        <f>SUM(P142)</f>
        <v>-663</v>
      </c>
      <c r="Q128" s="4">
        <f>SUM(Q142)</f>
        <v>-132.6</v>
      </c>
      <c r="R128" s="115">
        <f>+Q128+P128</f>
        <v>-795.6</v>
      </c>
      <c r="S128" s="5">
        <f>R128*0.375</f>
        <v>-298.35</v>
      </c>
      <c r="T128" s="5">
        <f>R128-S128</f>
        <v>-497.25</v>
      </c>
      <c r="U128" s="29"/>
      <c r="V128" s="29"/>
    </row>
    <row r="129" spans="1:22" ht="11.25">
      <c r="A129" s="246"/>
      <c r="B129" s="247"/>
      <c r="C129" s="49"/>
      <c r="D129" s="48"/>
      <c r="E129" s="48"/>
      <c r="F129" s="48"/>
      <c r="G129" s="48"/>
      <c r="H129" s="48"/>
      <c r="I129" s="48"/>
      <c r="J129" s="48"/>
      <c r="K129" s="50"/>
      <c r="L129" s="102" t="s">
        <v>166</v>
      </c>
      <c r="M129" s="4"/>
      <c r="N129" s="4"/>
      <c r="O129" s="115"/>
      <c r="P129" s="4"/>
      <c r="Q129" s="4"/>
      <c r="R129" s="115"/>
      <c r="S129" s="5">
        <f>R129*0.375</f>
        <v>0</v>
      </c>
      <c r="T129" s="5">
        <f>R129-S129</f>
        <v>0</v>
      </c>
      <c r="U129" s="29"/>
      <c r="V129" s="29"/>
    </row>
    <row r="130" spans="1:22" ht="11.25">
      <c r="A130" s="246"/>
      <c r="B130" s="247"/>
      <c r="C130" s="49"/>
      <c r="D130" s="48"/>
      <c r="E130" s="48"/>
      <c r="F130" s="48"/>
      <c r="G130" s="48"/>
      <c r="H130" s="48"/>
      <c r="I130" s="48"/>
      <c r="J130" s="48"/>
      <c r="K130" s="50"/>
      <c r="L130" s="102" t="s">
        <v>213</v>
      </c>
      <c r="M130" s="4">
        <f>SUM(M143:M161)</f>
        <v>32517.054242424245</v>
      </c>
      <c r="N130" s="4">
        <f>SUM(N143:N161)</f>
        <v>5437.145757575759</v>
      </c>
      <c r="O130" s="115">
        <f>+N130+M130</f>
        <v>37954.200000000004</v>
      </c>
      <c r="P130" s="4">
        <f>SUM(P143:P161)</f>
        <v>21136.08525757576</v>
      </c>
      <c r="Q130" s="4">
        <f>SUM(Q143:Q161)</f>
        <v>3534.1447424242424</v>
      </c>
      <c r="R130" s="115">
        <f>+Q130+P130</f>
        <v>24670.230000000003</v>
      </c>
      <c r="S130" s="5">
        <f>R130*0.375</f>
        <v>9251.33625</v>
      </c>
      <c r="T130" s="5">
        <f>R130-S130</f>
        <v>15418.893750000003</v>
      </c>
      <c r="U130" s="29"/>
      <c r="V130" s="29"/>
    </row>
    <row r="131" spans="1:22" ht="11.25">
      <c r="A131" s="248"/>
      <c r="B131" s="249"/>
      <c r="C131" s="253"/>
      <c r="D131" s="254"/>
      <c r="E131" s="254"/>
      <c r="F131" s="254"/>
      <c r="G131" s="254"/>
      <c r="H131" s="254"/>
      <c r="I131" s="254"/>
      <c r="J131" s="254"/>
      <c r="K131" s="255"/>
      <c r="L131" s="103" t="s">
        <v>13</v>
      </c>
      <c r="M131" s="6">
        <f>M125-M126-M127-M128-M129-M130</f>
        <v>-4264.404242424243</v>
      </c>
      <c r="N131" s="6"/>
      <c r="O131" s="116"/>
      <c r="P131" s="6"/>
      <c r="Q131" s="6"/>
      <c r="R131" s="116"/>
      <c r="S131" s="1"/>
      <c r="T131" s="1"/>
      <c r="U131" s="29"/>
      <c r="V131" s="29"/>
    </row>
    <row r="132" spans="1:21" ht="22.5">
      <c r="A132" s="99" t="s">
        <v>14</v>
      </c>
      <c r="B132" s="7" t="s">
        <v>11</v>
      </c>
      <c r="C132" s="38" t="s">
        <v>23</v>
      </c>
      <c r="D132" s="38" t="s">
        <v>20</v>
      </c>
      <c r="E132" s="46" t="s">
        <v>2</v>
      </c>
      <c r="F132" s="38" t="s">
        <v>19</v>
      </c>
      <c r="G132" s="38" t="s">
        <v>18</v>
      </c>
      <c r="H132" s="46" t="s">
        <v>17</v>
      </c>
      <c r="I132" s="46" t="s">
        <v>16</v>
      </c>
      <c r="J132" s="38" t="s">
        <v>3</v>
      </c>
      <c r="K132" s="38" t="s">
        <v>4</v>
      </c>
      <c r="L132" s="104" t="s">
        <v>5</v>
      </c>
      <c r="M132" s="7" t="s">
        <v>21</v>
      </c>
      <c r="N132" s="7" t="s">
        <v>79</v>
      </c>
      <c r="O132" s="104" t="s">
        <v>80</v>
      </c>
      <c r="P132" s="7" t="s">
        <v>22</v>
      </c>
      <c r="Q132" s="7" t="s">
        <v>81</v>
      </c>
      <c r="R132" s="104" t="s">
        <v>82</v>
      </c>
      <c r="S132" s="240" t="s">
        <v>28</v>
      </c>
      <c r="T132" s="240"/>
      <c r="U132" s="29"/>
    </row>
    <row r="133" spans="1:20" ht="11.25">
      <c r="A133" s="65" t="s">
        <v>15</v>
      </c>
      <c r="B133" s="8"/>
      <c r="C133" s="86" t="s">
        <v>41</v>
      </c>
      <c r="D133" s="9" t="s">
        <v>57</v>
      </c>
      <c r="E133" s="9" t="s">
        <v>70</v>
      </c>
      <c r="F133" s="9"/>
      <c r="G133" s="10">
        <v>38271</v>
      </c>
      <c r="H133" s="11">
        <v>37993</v>
      </c>
      <c r="I133" s="11" t="s">
        <v>27</v>
      </c>
      <c r="J133" s="12">
        <v>1636.47</v>
      </c>
      <c r="K133" s="12"/>
      <c r="L133" s="105">
        <f aca="true" t="shared" si="17" ref="L133:L141">SUM(J133:K133)</f>
        <v>1636.47</v>
      </c>
      <c r="M133" s="12">
        <v>0</v>
      </c>
      <c r="N133" s="12"/>
      <c r="O133" s="105"/>
      <c r="P133" s="12">
        <f aca="true" t="shared" si="18" ref="P133:Q138">M133*0.65</f>
        <v>0</v>
      </c>
      <c r="Q133" s="97"/>
      <c r="R133" s="119"/>
      <c r="S133" s="227"/>
      <c r="T133" s="228"/>
    </row>
    <row r="134" spans="1:20" ht="11.25">
      <c r="A134" s="65" t="s">
        <v>15</v>
      </c>
      <c r="B134" s="8"/>
      <c r="C134" s="86" t="s">
        <v>41</v>
      </c>
      <c r="D134" s="9" t="s">
        <v>58</v>
      </c>
      <c r="E134" s="9" t="s">
        <v>70</v>
      </c>
      <c r="F134" s="9"/>
      <c r="G134" s="10">
        <v>38355</v>
      </c>
      <c r="H134" s="11">
        <v>38377</v>
      </c>
      <c r="I134" s="11" t="s">
        <v>27</v>
      </c>
      <c r="J134" s="26">
        <v>3460</v>
      </c>
      <c r="K134" s="12"/>
      <c r="L134" s="105">
        <f t="shared" si="17"/>
        <v>3460</v>
      </c>
      <c r="M134" s="12"/>
      <c r="N134" s="12"/>
      <c r="O134" s="105"/>
      <c r="P134" s="12">
        <f t="shared" si="18"/>
        <v>0</v>
      </c>
      <c r="Q134" s="98"/>
      <c r="R134" s="120"/>
      <c r="S134" s="229"/>
      <c r="T134" s="230"/>
    </row>
    <row r="135" spans="1:20" ht="11.25">
      <c r="A135" s="65" t="s">
        <v>15</v>
      </c>
      <c r="B135" s="8"/>
      <c r="C135" s="86" t="s">
        <v>41</v>
      </c>
      <c r="D135" s="9" t="s">
        <v>59</v>
      </c>
      <c r="E135" s="9" t="s">
        <v>63</v>
      </c>
      <c r="F135" s="11" t="s">
        <v>64</v>
      </c>
      <c r="G135" s="11">
        <v>38300</v>
      </c>
      <c r="H135" s="11" t="s">
        <v>65</v>
      </c>
      <c r="I135" s="11" t="s">
        <v>55</v>
      </c>
      <c r="J135" s="12">
        <v>3568.89</v>
      </c>
      <c r="K135" s="12">
        <v>0</v>
      </c>
      <c r="L135" s="105">
        <f t="shared" si="17"/>
        <v>3568.89</v>
      </c>
      <c r="M135" s="12">
        <v>3172.35</v>
      </c>
      <c r="N135" s="12"/>
      <c r="O135" s="105">
        <f>+N135+M135</f>
        <v>3172.35</v>
      </c>
      <c r="P135" s="12">
        <f t="shared" si="18"/>
        <v>2062.0275</v>
      </c>
      <c r="Q135" s="12">
        <f t="shared" si="18"/>
        <v>0</v>
      </c>
      <c r="R135" s="105">
        <f>+Q135+P135</f>
        <v>2062.0275</v>
      </c>
      <c r="S135" s="235"/>
      <c r="T135" s="235"/>
    </row>
    <row r="136" spans="1:20" ht="11.25">
      <c r="A136" s="65" t="s">
        <v>15</v>
      </c>
      <c r="B136" s="8"/>
      <c r="C136" s="86" t="s">
        <v>41</v>
      </c>
      <c r="D136" s="9" t="s">
        <v>60</v>
      </c>
      <c r="E136" s="9"/>
      <c r="F136" s="9"/>
      <c r="G136" s="10">
        <v>38271</v>
      </c>
      <c r="H136" s="11">
        <v>38268</v>
      </c>
      <c r="I136" s="11" t="s">
        <v>55</v>
      </c>
      <c r="J136" s="26">
        <v>750.4</v>
      </c>
      <c r="K136" s="26"/>
      <c r="L136" s="105">
        <f t="shared" si="17"/>
        <v>750.4</v>
      </c>
      <c r="M136" s="12">
        <v>0</v>
      </c>
      <c r="N136" s="12"/>
      <c r="O136" s="105"/>
      <c r="P136" s="12">
        <f t="shared" si="18"/>
        <v>0</v>
      </c>
      <c r="Q136" s="12"/>
      <c r="R136" s="105"/>
      <c r="S136" s="235"/>
      <c r="T136" s="235"/>
    </row>
    <row r="137" spans="1:20" ht="11.25">
      <c r="A137" s="65" t="s">
        <v>15</v>
      </c>
      <c r="B137" s="8"/>
      <c r="C137" s="86" t="s">
        <v>41</v>
      </c>
      <c r="D137" s="9" t="s">
        <v>61</v>
      </c>
      <c r="E137" s="9" t="s">
        <v>66</v>
      </c>
      <c r="F137" s="89" t="s">
        <v>67</v>
      </c>
      <c r="G137" s="11">
        <v>38349</v>
      </c>
      <c r="H137" s="11">
        <v>38349</v>
      </c>
      <c r="I137" s="11" t="s">
        <v>27</v>
      </c>
      <c r="J137" s="12">
        <v>3290</v>
      </c>
      <c r="K137" s="26"/>
      <c r="L137" s="105">
        <f t="shared" si="17"/>
        <v>3290</v>
      </c>
      <c r="M137" s="12">
        <v>0</v>
      </c>
      <c r="N137" s="12"/>
      <c r="O137" s="105"/>
      <c r="P137" s="12">
        <f t="shared" si="18"/>
        <v>0</v>
      </c>
      <c r="Q137" s="12"/>
      <c r="R137" s="105"/>
      <c r="S137" s="235"/>
      <c r="T137" s="235"/>
    </row>
    <row r="138" spans="1:20" ht="24.75" customHeight="1">
      <c r="A138" s="65" t="s">
        <v>15</v>
      </c>
      <c r="B138" s="8"/>
      <c r="C138" s="86" t="s">
        <v>41</v>
      </c>
      <c r="D138" s="9" t="s">
        <v>62</v>
      </c>
      <c r="E138" s="9" t="s">
        <v>66</v>
      </c>
      <c r="F138" s="88">
        <v>14</v>
      </c>
      <c r="G138" s="10">
        <v>38349</v>
      </c>
      <c r="H138" s="11">
        <v>38349</v>
      </c>
      <c r="I138" s="11" t="s">
        <v>27</v>
      </c>
      <c r="J138" s="12">
        <v>3960</v>
      </c>
      <c r="K138" s="26"/>
      <c r="L138" s="105">
        <f t="shared" si="17"/>
        <v>3960</v>
      </c>
      <c r="M138" s="12">
        <v>0</v>
      </c>
      <c r="N138" s="12"/>
      <c r="O138" s="105"/>
      <c r="P138" s="12">
        <f t="shared" si="18"/>
        <v>0</v>
      </c>
      <c r="Q138" s="12"/>
      <c r="R138" s="105"/>
      <c r="S138" s="226" t="s">
        <v>71</v>
      </c>
      <c r="T138" s="226"/>
    </row>
    <row r="139" spans="1:20" s="150" customFormat="1" ht="24.75" customHeight="1">
      <c r="A139" s="140" t="s">
        <v>86</v>
      </c>
      <c r="B139" s="141"/>
      <c r="C139" s="152"/>
      <c r="D139" s="142" t="s">
        <v>126</v>
      </c>
      <c r="E139" s="142"/>
      <c r="F139" s="155"/>
      <c r="G139" s="144"/>
      <c r="H139" s="145"/>
      <c r="I139" s="145"/>
      <c r="J139" s="146">
        <v>1020</v>
      </c>
      <c r="K139" s="156">
        <v>204</v>
      </c>
      <c r="L139" s="146">
        <f t="shared" si="17"/>
        <v>1224</v>
      </c>
      <c r="M139" s="146">
        <v>1020</v>
      </c>
      <c r="N139" s="156">
        <v>204</v>
      </c>
      <c r="O139" s="105">
        <f>SUM(M139:N139)</f>
        <v>1224</v>
      </c>
      <c r="P139" s="146">
        <f>+M139*0.65</f>
        <v>663</v>
      </c>
      <c r="Q139" s="146">
        <f>+N139*0.65</f>
        <v>132.6</v>
      </c>
      <c r="R139" s="105">
        <f>SUM(P139:Q139)</f>
        <v>795.6</v>
      </c>
      <c r="S139" s="157"/>
      <c r="T139" s="158"/>
    </row>
    <row r="140" spans="1:20" ht="24.75" customHeight="1">
      <c r="A140" s="65" t="s">
        <v>86</v>
      </c>
      <c r="B140" s="8"/>
      <c r="C140" s="86" t="s">
        <v>41</v>
      </c>
      <c r="D140" s="9" t="s">
        <v>96</v>
      </c>
      <c r="E140" s="9" t="s">
        <v>97</v>
      </c>
      <c r="F140" s="88">
        <v>9</v>
      </c>
      <c r="G140" s="10">
        <v>38392</v>
      </c>
      <c r="H140" s="11">
        <v>38390</v>
      </c>
      <c r="I140" s="11" t="s">
        <v>27</v>
      </c>
      <c r="J140" s="12">
        <v>520</v>
      </c>
      <c r="K140" s="26">
        <v>104</v>
      </c>
      <c r="L140" s="105">
        <f t="shared" si="17"/>
        <v>624</v>
      </c>
      <c r="M140" s="12"/>
      <c r="N140" s="26"/>
      <c r="O140" s="105"/>
      <c r="P140" s="12"/>
      <c r="Q140" s="12"/>
      <c r="R140" s="105"/>
      <c r="S140" s="233" t="s">
        <v>98</v>
      </c>
      <c r="T140" s="234"/>
    </row>
    <row r="141" spans="1:20" ht="24.75" customHeight="1">
      <c r="A141" s="65" t="s">
        <v>86</v>
      </c>
      <c r="B141" s="8"/>
      <c r="C141" s="86" t="s">
        <v>41</v>
      </c>
      <c r="D141" s="9" t="s">
        <v>99</v>
      </c>
      <c r="E141" s="9" t="s">
        <v>100</v>
      </c>
      <c r="F141" s="88">
        <v>11</v>
      </c>
      <c r="G141" s="10">
        <v>38448</v>
      </c>
      <c r="H141" s="11">
        <v>38453</v>
      </c>
      <c r="I141" s="11" t="s">
        <v>27</v>
      </c>
      <c r="J141" s="12">
        <v>500</v>
      </c>
      <c r="K141" s="26">
        <v>100</v>
      </c>
      <c r="L141" s="105">
        <f t="shared" si="17"/>
        <v>600</v>
      </c>
      <c r="M141" s="12"/>
      <c r="N141" s="12"/>
      <c r="O141" s="105"/>
      <c r="P141" s="12"/>
      <c r="Q141" s="12"/>
      <c r="R141" s="105"/>
      <c r="S141" s="233" t="s">
        <v>98</v>
      </c>
      <c r="T141" s="234"/>
    </row>
    <row r="142" spans="1:20" s="150" customFormat="1" ht="24.75" customHeight="1">
      <c r="A142" s="140" t="s">
        <v>101</v>
      </c>
      <c r="B142" s="141"/>
      <c r="C142" s="152"/>
      <c r="D142" s="142" t="s">
        <v>127</v>
      </c>
      <c r="E142" s="142"/>
      <c r="F142" s="155"/>
      <c r="G142" s="144"/>
      <c r="H142" s="145"/>
      <c r="I142" s="145"/>
      <c r="J142" s="146">
        <f aca="true" t="shared" si="19" ref="J142:R142">+J141+J140-J139</f>
        <v>0</v>
      </c>
      <c r="K142" s="146">
        <f t="shared" si="19"/>
        <v>0</v>
      </c>
      <c r="L142" s="146">
        <f t="shared" si="19"/>
        <v>0</v>
      </c>
      <c r="M142" s="146">
        <f t="shared" si="19"/>
        <v>-1020</v>
      </c>
      <c r="N142" s="146">
        <f t="shared" si="19"/>
        <v>-204</v>
      </c>
      <c r="O142" s="105">
        <f t="shared" si="19"/>
        <v>-1224</v>
      </c>
      <c r="P142" s="146">
        <f t="shared" si="19"/>
        <v>-663</v>
      </c>
      <c r="Q142" s="146">
        <f t="shared" si="19"/>
        <v>-132.6</v>
      </c>
      <c r="R142" s="105">
        <f t="shared" si="19"/>
        <v>-795.6</v>
      </c>
      <c r="S142" s="159"/>
      <c r="T142" s="160"/>
    </row>
    <row r="143" spans="1:20" s="292" customFormat="1" ht="24.75" customHeight="1">
      <c r="A143" s="290" t="s">
        <v>190</v>
      </c>
      <c r="B143" s="291"/>
      <c r="C143" s="86" t="s">
        <v>41</v>
      </c>
      <c r="D143" s="9" t="s">
        <v>58</v>
      </c>
      <c r="E143" s="9" t="s">
        <v>70</v>
      </c>
      <c r="F143" s="9"/>
      <c r="G143" s="10">
        <v>38355</v>
      </c>
      <c r="H143" s="11">
        <v>38377</v>
      </c>
      <c r="I143" s="11" t="s">
        <v>27</v>
      </c>
      <c r="J143" s="12">
        <f>3460/1.1</f>
        <v>3145.454545454545</v>
      </c>
      <c r="K143" s="12">
        <f>+J143*0.1</f>
        <v>314.5454545454545</v>
      </c>
      <c r="L143" s="105">
        <v>3460</v>
      </c>
      <c r="M143" s="12">
        <f>3460/1.1</f>
        <v>3145.454545454545</v>
      </c>
      <c r="N143" s="12">
        <f>+M143*0.1</f>
        <v>314.5454545454545</v>
      </c>
      <c r="O143" s="105">
        <v>3460</v>
      </c>
      <c r="P143" s="33">
        <f>+M143*0.65</f>
        <v>2044.5454545454543</v>
      </c>
      <c r="Q143" s="33">
        <f>+N143*0.65</f>
        <v>204.45454545454544</v>
      </c>
      <c r="R143" s="105">
        <f>+Q143+P143</f>
        <v>2248.9999999999995</v>
      </c>
      <c r="S143" s="233" t="s">
        <v>210</v>
      </c>
      <c r="T143" s="234"/>
    </row>
    <row r="144" spans="1:20" s="292" customFormat="1" ht="24.75" customHeight="1">
      <c r="A144" s="290" t="s">
        <v>190</v>
      </c>
      <c r="B144" s="291"/>
      <c r="C144" s="86" t="s">
        <v>41</v>
      </c>
      <c r="D144" s="9" t="s">
        <v>61</v>
      </c>
      <c r="E144" s="9" t="s">
        <v>66</v>
      </c>
      <c r="F144" s="89" t="s">
        <v>67</v>
      </c>
      <c r="G144" s="11">
        <v>38349</v>
      </c>
      <c r="H144" s="11">
        <v>38349</v>
      </c>
      <c r="I144" s="11" t="s">
        <v>27</v>
      </c>
      <c r="J144" s="12">
        <f>3290/1.2</f>
        <v>2741.666666666667</v>
      </c>
      <c r="K144" s="26">
        <f>+J144*0.2</f>
        <v>548.3333333333334</v>
      </c>
      <c r="L144" s="105">
        <f>SUM(J144:K144)</f>
        <v>3290.0000000000005</v>
      </c>
      <c r="M144" s="33">
        <f>+J144*0.8</f>
        <v>2193.3333333333335</v>
      </c>
      <c r="N144" s="33">
        <f>+K144*0.8</f>
        <v>438.66666666666674</v>
      </c>
      <c r="O144" s="105">
        <f>SUM(M144:N144)</f>
        <v>2632</v>
      </c>
      <c r="P144" s="33">
        <f>+M144*0.65</f>
        <v>1425.6666666666667</v>
      </c>
      <c r="Q144" s="33">
        <f>+N144*0.65</f>
        <v>285.1333333333334</v>
      </c>
      <c r="R144" s="105">
        <f>+Q144+P144</f>
        <v>1710.8000000000002</v>
      </c>
      <c r="S144" s="233" t="s">
        <v>210</v>
      </c>
      <c r="T144" s="234"/>
    </row>
    <row r="145" spans="1:20" s="292" customFormat="1" ht="24.75" customHeight="1">
      <c r="A145" s="290" t="s">
        <v>190</v>
      </c>
      <c r="B145" s="291"/>
      <c r="C145" s="86" t="s">
        <v>41</v>
      </c>
      <c r="D145" s="9" t="s">
        <v>62</v>
      </c>
      <c r="E145" s="9" t="s">
        <v>66</v>
      </c>
      <c r="F145" s="88">
        <v>14</v>
      </c>
      <c r="G145" s="10">
        <v>38349</v>
      </c>
      <c r="H145" s="11">
        <v>38349</v>
      </c>
      <c r="I145" s="11" t="s">
        <v>27</v>
      </c>
      <c r="J145" s="12">
        <v>3960</v>
      </c>
      <c r="K145" s="26">
        <f>+J145*0.2</f>
        <v>792</v>
      </c>
      <c r="L145" s="105">
        <f>SUM(J145:K145)</f>
        <v>4752</v>
      </c>
      <c r="M145" s="33">
        <f>+J145*0.8</f>
        <v>3168</v>
      </c>
      <c r="N145" s="33">
        <f>+K145*0.8</f>
        <v>633.6</v>
      </c>
      <c r="O145" s="105">
        <f>SUM(M145:N145)</f>
        <v>3801.6</v>
      </c>
      <c r="P145" s="33">
        <f>+M145*0.65</f>
        <v>2059.2000000000003</v>
      </c>
      <c r="Q145" s="33">
        <f>+N145*0.65</f>
        <v>411.84000000000003</v>
      </c>
      <c r="R145" s="105">
        <f>+Q145+P145</f>
        <v>2471.0400000000004</v>
      </c>
      <c r="S145" s="233" t="s">
        <v>210</v>
      </c>
      <c r="T145" s="234"/>
    </row>
    <row r="146" spans="1:20" s="292" customFormat="1" ht="24.75" customHeight="1">
      <c r="A146" s="290" t="s">
        <v>190</v>
      </c>
      <c r="B146" s="291"/>
      <c r="C146" s="86" t="s">
        <v>41</v>
      </c>
      <c r="D146" s="9" t="s">
        <v>96</v>
      </c>
      <c r="E146" s="9" t="s">
        <v>97</v>
      </c>
      <c r="F146" s="88">
        <v>9</v>
      </c>
      <c r="G146" s="10">
        <v>38392</v>
      </c>
      <c r="H146" s="11">
        <v>38390</v>
      </c>
      <c r="I146" s="11" t="s">
        <v>27</v>
      </c>
      <c r="J146" s="12">
        <v>520</v>
      </c>
      <c r="K146" s="26">
        <v>104</v>
      </c>
      <c r="L146" s="105">
        <f>SUM(J146:K146)</f>
        <v>624</v>
      </c>
      <c r="M146" s="33">
        <f>+J146*0.8</f>
        <v>416</v>
      </c>
      <c r="N146" s="33">
        <f>+K146*0.8</f>
        <v>83.2</v>
      </c>
      <c r="O146" s="105">
        <f>SUM(M146:N146)</f>
        <v>499.2</v>
      </c>
      <c r="P146" s="33">
        <f>+M146*0.65</f>
        <v>270.40000000000003</v>
      </c>
      <c r="Q146" s="33">
        <f>+N146*0.65</f>
        <v>54.080000000000005</v>
      </c>
      <c r="R146" s="105">
        <f>+Q146+P146</f>
        <v>324.48</v>
      </c>
      <c r="S146" s="233" t="s">
        <v>211</v>
      </c>
      <c r="T146" s="234"/>
    </row>
    <row r="147" spans="1:20" s="292" customFormat="1" ht="24.75" customHeight="1">
      <c r="A147" s="290" t="s">
        <v>190</v>
      </c>
      <c r="B147" s="291"/>
      <c r="C147" s="86" t="s">
        <v>41</v>
      </c>
      <c r="D147" s="9" t="s">
        <v>99</v>
      </c>
      <c r="E147" s="9" t="s">
        <v>100</v>
      </c>
      <c r="F147" s="88">
        <v>11</v>
      </c>
      <c r="G147" s="10">
        <v>38448</v>
      </c>
      <c r="H147" s="11">
        <v>38453</v>
      </c>
      <c r="I147" s="11" t="s">
        <v>27</v>
      </c>
      <c r="J147" s="12">
        <v>500</v>
      </c>
      <c r="K147" s="26">
        <v>100</v>
      </c>
      <c r="L147" s="105">
        <f>SUM(J147:K147)</f>
        <v>600</v>
      </c>
      <c r="M147" s="33">
        <f>+J147*0.8</f>
        <v>400</v>
      </c>
      <c r="N147" s="33">
        <f>+K147*0.8</f>
        <v>80</v>
      </c>
      <c r="O147" s="105">
        <f>SUM(M147:N147)</f>
        <v>480</v>
      </c>
      <c r="P147" s="33">
        <f>+M147*0.65</f>
        <v>260</v>
      </c>
      <c r="Q147" s="33">
        <f>+N147*0.65</f>
        <v>52</v>
      </c>
      <c r="R147" s="105">
        <f>+Q147+P147</f>
        <v>312</v>
      </c>
      <c r="S147" s="233" t="s">
        <v>211</v>
      </c>
      <c r="T147" s="234"/>
    </row>
    <row r="148" spans="1:20" ht="24.75" customHeight="1">
      <c r="A148" s="65" t="s">
        <v>190</v>
      </c>
      <c r="B148" s="8"/>
      <c r="C148" s="86" t="s">
        <v>41</v>
      </c>
      <c r="D148" s="9" t="s">
        <v>121</v>
      </c>
      <c r="E148" s="9" t="s">
        <v>107</v>
      </c>
      <c r="F148" s="9">
        <v>21</v>
      </c>
      <c r="G148" s="10">
        <v>38565</v>
      </c>
      <c r="H148" s="11">
        <v>38568</v>
      </c>
      <c r="I148" s="11" t="s">
        <v>27</v>
      </c>
      <c r="J148" s="12">
        <v>1980</v>
      </c>
      <c r="K148" s="12">
        <v>396</v>
      </c>
      <c r="L148" s="105">
        <v>2376</v>
      </c>
      <c r="M148" s="33">
        <f>+J148*0.8</f>
        <v>1584</v>
      </c>
      <c r="N148" s="33">
        <f>+K148*0.8</f>
        <v>316.8</v>
      </c>
      <c r="O148" s="105">
        <f>SUM(M148:N148)</f>
        <v>1900.8</v>
      </c>
      <c r="P148" s="33">
        <f>+M148*0.65</f>
        <v>1029.6000000000001</v>
      </c>
      <c r="Q148" s="33">
        <f>+N148*0.65</f>
        <v>205.92000000000002</v>
      </c>
      <c r="R148" s="105">
        <f>+Q148+P148</f>
        <v>1235.5200000000002</v>
      </c>
      <c r="S148" s="233" t="s">
        <v>212</v>
      </c>
      <c r="T148" s="234"/>
    </row>
    <row r="149" spans="1:20" ht="24.75" customHeight="1">
      <c r="A149" s="65" t="s">
        <v>190</v>
      </c>
      <c r="B149" s="8"/>
      <c r="C149" s="86" t="s">
        <v>41</v>
      </c>
      <c r="D149" s="9" t="s">
        <v>122</v>
      </c>
      <c r="E149" s="9" t="s">
        <v>107</v>
      </c>
      <c r="F149" s="9">
        <v>21</v>
      </c>
      <c r="G149" s="10">
        <v>38642</v>
      </c>
      <c r="H149" s="11">
        <v>38642</v>
      </c>
      <c r="I149" s="11" t="s">
        <v>27</v>
      </c>
      <c r="J149" s="12">
        <v>1980</v>
      </c>
      <c r="K149" s="12">
        <v>396</v>
      </c>
      <c r="L149" s="105">
        <v>2376</v>
      </c>
      <c r="M149" s="33">
        <f>+J149*0.8</f>
        <v>1584</v>
      </c>
      <c r="N149" s="33">
        <f>+K149*0.8</f>
        <v>316.8</v>
      </c>
      <c r="O149" s="105">
        <f>SUM(M149:N149)</f>
        <v>1900.8</v>
      </c>
      <c r="P149" s="33">
        <f>+M149*0.65</f>
        <v>1029.6000000000001</v>
      </c>
      <c r="Q149" s="33">
        <f>+N149*0.65</f>
        <v>205.92000000000002</v>
      </c>
      <c r="R149" s="105">
        <f>+Q149+P149</f>
        <v>1235.5200000000002</v>
      </c>
      <c r="S149" s="233" t="s">
        <v>212</v>
      </c>
      <c r="T149" s="234"/>
    </row>
    <row r="150" spans="1:20" ht="24.75" customHeight="1">
      <c r="A150" s="65" t="s">
        <v>190</v>
      </c>
      <c r="B150" s="8"/>
      <c r="C150" s="86" t="s">
        <v>41</v>
      </c>
      <c r="D150" s="9" t="s">
        <v>123</v>
      </c>
      <c r="E150" s="9" t="s">
        <v>124</v>
      </c>
      <c r="F150" s="11" t="s">
        <v>64</v>
      </c>
      <c r="G150" s="11" t="s">
        <v>64</v>
      </c>
      <c r="H150" s="11">
        <v>38597</v>
      </c>
      <c r="I150" s="11" t="s">
        <v>27</v>
      </c>
      <c r="J150" s="12">
        <f>3460/1.1</f>
        <v>3145.454545454545</v>
      </c>
      <c r="K150" s="12">
        <f>+J150*0.1</f>
        <v>314.5454545454545</v>
      </c>
      <c r="L150" s="105">
        <v>3460</v>
      </c>
      <c r="M150" s="12">
        <f>3460/1.1</f>
        <v>3145.454545454545</v>
      </c>
      <c r="N150" s="12">
        <f>+M150*0.1</f>
        <v>314.5454545454545</v>
      </c>
      <c r="O150" s="105">
        <v>3460</v>
      </c>
      <c r="P150" s="33">
        <f>+M150*0.65</f>
        <v>2044.5454545454543</v>
      </c>
      <c r="Q150" s="33">
        <f>+N150*0.65</f>
        <v>204.45454545454544</v>
      </c>
      <c r="R150" s="105">
        <f>+Q150+P150</f>
        <v>2248.9999999999995</v>
      </c>
      <c r="S150" s="233" t="s">
        <v>212</v>
      </c>
      <c r="T150" s="234"/>
    </row>
    <row r="151" spans="1:20" ht="24.75" customHeight="1">
      <c r="A151" s="65" t="s">
        <v>190</v>
      </c>
      <c r="B151" s="8"/>
      <c r="C151" s="86" t="s">
        <v>41</v>
      </c>
      <c r="D151" s="13" t="s">
        <v>181</v>
      </c>
      <c r="E151" s="13" t="s">
        <v>182</v>
      </c>
      <c r="F151" s="209">
        <v>26</v>
      </c>
      <c r="G151" s="14">
        <v>38825</v>
      </c>
      <c r="H151" s="14">
        <v>38828</v>
      </c>
      <c r="I151" s="14" t="s">
        <v>105</v>
      </c>
      <c r="J151" s="289">
        <v>3510</v>
      </c>
      <c r="K151" s="289">
        <v>702</v>
      </c>
      <c r="L151" s="208">
        <v>4212</v>
      </c>
      <c r="M151" s="12">
        <f>+J151*0.8</f>
        <v>2808</v>
      </c>
      <c r="N151" s="12">
        <f>+K151*0.8</f>
        <v>561.6</v>
      </c>
      <c r="O151" s="105">
        <f>+N151+M151</f>
        <v>3369.6</v>
      </c>
      <c r="P151" s="12">
        <f>+M151*0.65</f>
        <v>1825.2</v>
      </c>
      <c r="Q151" s="12">
        <f>+N151*0.65</f>
        <v>365.04</v>
      </c>
      <c r="R151" s="105">
        <f>+Q151+P151</f>
        <v>2190.2400000000002</v>
      </c>
      <c r="S151" s="233" t="s">
        <v>212</v>
      </c>
      <c r="T151" s="234"/>
    </row>
    <row r="152" spans="1:20" ht="24.75" customHeight="1">
      <c r="A152" s="65" t="s">
        <v>190</v>
      </c>
      <c r="B152" s="8"/>
      <c r="C152" s="86" t="s">
        <v>41</v>
      </c>
      <c r="D152" s="13" t="s">
        <v>183</v>
      </c>
      <c r="E152" s="13" t="s">
        <v>184</v>
      </c>
      <c r="F152" s="209">
        <v>4</v>
      </c>
      <c r="G152" s="14">
        <v>38713</v>
      </c>
      <c r="H152" s="14">
        <v>38719</v>
      </c>
      <c r="I152" s="14" t="s">
        <v>185</v>
      </c>
      <c r="J152" s="289">
        <v>456.4</v>
      </c>
      <c r="K152" s="13">
        <v>91.28</v>
      </c>
      <c r="L152" s="208">
        <v>547.68</v>
      </c>
      <c r="M152" s="289">
        <v>456.4</v>
      </c>
      <c r="N152" s="13">
        <v>91.28</v>
      </c>
      <c r="O152" s="208">
        <v>547.68</v>
      </c>
      <c r="P152" s="12">
        <f>+M152*0.65</f>
        <v>296.65999999999997</v>
      </c>
      <c r="Q152" s="12">
        <f>+N152*0.65</f>
        <v>59.332</v>
      </c>
      <c r="R152" s="105">
        <f>+Q152+P152</f>
        <v>355.99199999999996</v>
      </c>
      <c r="S152" s="233" t="s">
        <v>212</v>
      </c>
      <c r="T152" s="234"/>
    </row>
    <row r="153" spans="1:20" ht="24.75" customHeight="1">
      <c r="A153" s="65" t="s">
        <v>190</v>
      </c>
      <c r="B153" s="8"/>
      <c r="C153" s="86" t="s">
        <v>41</v>
      </c>
      <c r="D153" s="13" t="s">
        <v>123</v>
      </c>
      <c r="E153" s="13" t="s">
        <v>124</v>
      </c>
      <c r="F153" s="209" t="s">
        <v>64</v>
      </c>
      <c r="G153" s="14" t="s">
        <v>186</v>
      </c>
      <c r="H153" s="14">
        <v>38597</v>
      </c>
      <c r="I153" s="14" t="s">
        <v>185</v>
      </c>
      <c r="J153" s="289">
        <f>2770/1.1</f>
        <v>2518.181818181818</v>
      </c>
      <c r="K153" s="289">
        <f>+J153*0.1</f>
        <v>251.8181818181818</v>
      </c>
      <c r="L153" s="208">
        <v>2770</v>
      </c>
      <c r="M153" s="289">
        <f>2770/1.1</f>
        <v>2518.181818181818</v>
      </c>
      <c r="N153" s="289">
        <f>+M153*0.1</f>
        <v>251.8181818181818</v>
      </c>
      <c r="O153" s="208">
        <v>2770</v>
      </c>
      <c r="P153" s="12">
        <f>+M153*0.65</f>
        <v>1636.8181818181818</v>
      </c>
      <c r="Q153" s="12">
        <f>+N153*0.65</f>
        <v>163.6818181818182</v>
      </c>
      <c r="R153" s="105">
        <f>+Q153+P153</f>
        <v>1800.5</v>
      </c>
      <c r="S153" s="233" t="s">
        <v>212</v>
      </c>
      <c r="T153" s="234"/>
    </row>
    <row r="154" spans="1:20" ht="24.75" customHeight="1">
      <c r="A154" s="65" t="s">
        <v>190</v>
      </c>
      <c r="B154" s="8"/>
      <c r="C154" s="86" t="s">
        <v>41</v>
      </c>
      <c r="D154" s="13" t="s">
        <v>181</v>
      </c>
      <c r="E154" s="13" t="s">
        <v>182</v>
      </c>
      <c r="F154" s="209">
        <v>83</v>
      </c>
      <c r="G154" s="14">
        <v>39069</v>
      </c>
      <c r="H154" s="14">
        <v>39078</v>
      </c>
      <c r="I154" s="14" t="s">
        <v>105</v>
      </c>
      <c r="J154" s="289">
        <v>3640</v>
      </c>
      <c r="K154" s="289">
        <v>728</v>
      </c>
      <c r="L154" s="208">
        <v>4368</v>
      </c>
      <c r="M154" s="12">
        <f>+J154*0.8</f>
        <v>2912</v>
      </c>
      <c r="N154" s="12">
        <f>+K154*0.8</f>
        <v>582.4</v>
      </c>
      <c r="O154" s="105">
        <f>+N154+M154</f>
        <v>3494.4</v>
      </c>
      <c r="P154" s="12">
        <f aca="true" t="shared" si="20" ref="P154:P161">M154*0.65</f>
        <v>1892.8</v>
      </c>
      <c r="Q154" s="12">
        <f aca="true" t="shared" si="21" ref="Q154:Q161">N154*0.65</f>
        <v>378.56</v>
      </c>
      <c r="R154" s="105">
        <f aca="true" t="shared" si="22" ref="R154:R161">+Q154+P154</f>
        <v>2271.36</v>
      </c>
      <c r="S154" s="233" t="s">
        <v>187</v>
      </c>
      <c r="T154" s="234"/>
    </row>
    <row r="155" spans="1:20" ht="24.75" customHeight="1">
      <c r="A155" s="65" t="s">
        <v>190</v>
      </c>
      <c r="B155" s="8"/>
      <c r="C155" s="13" t="s">
        <v>196</v>
      </c>
      <c r="D155" s="13" t="s">
        <v>195</v>
      </c>
      <c r="E155" s="13" t="s">
        <v>196</v>
      </c>
      <c r="F155" s="209" t="s">
        <v>64</v>
      </c>
      <c r="G155" s="14" t="s">
        <v>64</v>
      </c>
      <c r="H155" s="14" t="s">
        <v>64</v>
      </c>
      <c r="I155" s="14" t="s">
        <v>64</v>
      </c>
      <c r="J155" s="289">
        <v>836.36</v>
      </c>
      <c r="K155" s="13">
        <v>83.64</v>
      </c>
      <c r="L155" s="208">
        <v>920</v>
      </c>
      <c r="M155" s="289"/>
      <c r="N155" s="13"/>
      <c r="O155" s="208"/>
      <c r="P155" s="12"/>
      <c r="Q155" s="12">
        <f t="shared" si="21"/>
        <v>0</v>
      </c>
      <c r="R155" s="105"/>
      <c r="S155" s="221" t="s">
        <v>208</v>
      </c>
      <c r="T155" s="222"/>
    </row>
    <row r="156" spans="1:20" ht="24.75" customHeight="1">
      <c r="A156" s="65" t="s">
        <v>190</v>
      </c>
      <c r="B156" s="8"/>
      <c r="C156" s="13" t="s">
        <v>196</v>
      </c>
      <c r="D156" s="13" t="s">
        <v>197</v>
      </c>
      <c r="E156" s="13" t="s">
        <v>196</v>
      </c>
      <c r="F156" s="209"/>
      <c r="G156" s="14" t="s">
        <v>64</v>
      </c>
      <c r="H156" s="14" t="s">
        <v>64</v>
      </c>
      <c r="I156" s="14" t="s">
        <v>64</v>
      </c>
      <c r="J156" s="289">
        <v>836.36</v>
      </c>
      <c r="K156" s="13">
        <v>83.64</v>
      </c>
      <c r="L156" s="208">
        <v>920</v>
      </c>
      <c r="M156" s="289"/>
      <c r="N156" s="13"/>
      <c r="O156" s="208"/>
      <c r="P156" s="12">
        <f t="shared" si="20"/>
        <v>0</v>
      </c>
      <c r="Q156" s="12">
        <f t="shared" si="21"/>
        <v>0</v>
      </c>
      <c r="R156" s="105">
        <f t="shared" si="22"/>
        <v>0</v>
      </c>
      <c r="S156" s="221" t="s">
        <v>208</v>
      </c>
      <c r="T156" s="222"/>
    </row>
    <row r="157" spans="1:20" ht="24.75" customHeight="1">
      <c r="A157" s="65" t="s">
        <v>190</v>
      </c>
      <c r="B157" s="8"/>
      <c r="C157" s="13" t="s">
        <v>196</v>
      </c>
      <c r="D157" s="13" t="s">
        <v>198</v>
      </c>
      <c r="E157" s="13" t="s">
        <v>196</v>
      </c>
      <c r="F157" s="209" t="s">
        <v>64</v>
      </c>
      <c r="G157" s="14" t="s">
        <v>64</v>
      </c>
      <c r="H157" s="14" t="s">
        <v>64</v>
      </c>
      <c r="I157" s="14" t="s">
        <v>64</v>
      </c>
      <c r="J157" s="289">
        <v>935.45</v>
      </c>
      <c r="K157" s="13">
        <v>93.55</v>
      </c>
      <c r="L157" s="208">
        <v>1029</v>
      </c>
      <c r="M157" s="289">
        <v>935.45</v>
      </c>
      <c r="N157" s="13">
        <v>93.55</v>
      </c>
      <c r="O157" s="208">
        <v>1029</v>
      </c>
      <c r="P157" s="12">
        <f t="shared" si="20"/>
        <v>608.0425</v>
      </c>
      <c r="Q157" s="12">
        <f t="shared" si="21"/>
        <v>60.8075</v>
      </c>
      <c r="R157" s="105">
        <f t="shared" si="22"/>
        <v>668.85</v>
      </c>
      <c r="S157" s="210"/>
      <c r="T157" s="211"/>
    </row>
    <row r="158" spans="1:20" ht="24.75" customHeight="1">
      <c r="A158" s="65" t="s">
        <v>190</v>
      </c>
      <c r="B158" s="8"/>
      <c r="C158" s="13" t="s">
        <v>196</v>
      </c>
      <c r="D158" s="13" t="s">
        <v>199</v>
      </c>
      <c r="E158" s="13" t="s">
        <v>196</v>
      </c>
      <c r="F158" s="209" t="s">
        <v>64</v>
      </c>
      <c r="G158" s="14" t="s">
        <v>64</v>
      </c>
      <c r="H158" s="14" t="s">
        <v>64</v>
      </c>
      <c r="I158" s="14" t="s">
        <v>64</v>
      </c>
      <c r="J158" s="289">
        <v>918.18</v>
      </c>
      <c r="K158" s="13">
        <v>91.82</v>
      </c>
      <c r="L158" s="208">
        <v>1010</v>
      </c>
      <c r="M158" s="289">
        <v>918.18</v>
      </c>
      <c r="N158" s="13">
        <v>91.82</v>
      </c>
      <c r="O158" s="208">
        <v>1010</v>
      </c>
      <c r="P158" s="12">
        <f t="shared" si="20"/>
        <v>596.817</v>
      </c>
      <c r="Q158" s="12">
        <f t="shared" si="21"/>
        <v>59.683</v>
      </c>
      <c r="R158" s="105">
        <f t="shared" si="22"/>
        <v>656.5</v>
      </c>
      <c r="S158" s="210"/>
      <c r="T158" s="211"/>
    </row>
    <row r="159" spans="1:20" ht="24.75" customHeight="1">
      <c r="A159" s="65" t="s">
        <v>190</v>
      </c>
      <c r="B159" s="8"/>
      <c r="C159" s="86" t="s">
        <v>41</v>
      </c>
      <c r="D159" s="13" t="s">
        <v>200</v>
      </c>
      <c r="E159" s="13" t="s">
        <v>201</v>
      </c>
      <c r="F159" s="209">
        <v>33</v>
      </c>
      <c r="G159" s="14">
        <v>39070</v>
      </c>
      <c r="H159" s="14">
        <v>39073</v>
      </c>
      <c r="I159" s="14" t="s">
        <v>105</v>
      </c>
      <c r="J159" s="289">
        <v>1253</v>
      </c>
      <c r="K159" s="13">
        <v>250.6</v>
      </c>
      <c r="L159" s="208">
        <v>1503.6</v>
      </c>
      <c r="M159" s="12">
        <f aca="true" t="shared" si="23" ref="M159:N161">+J159*0.8</f>
        <v>1002.4000000000001</v>
      </c>
      <c r="N159" s="12">
        <f t="shared" si="23"/>
        <v>200.48000000000002</v>
      </c>
      <c r="O159" s="105">
        <f>+N159+M159</f>
        <v>1202.88</v>
      </c>
      <c r="P159" s="12">
        <f t="shared" si="20"/>
        <v>651.5600000000001</v>
      </c>
      <c r="Q159" s="12">
        <f t="shared" si="21"/>
        <v>130.312</v>
      </c>
      <c r="R159" s="105">
        <f t="shared" si="22"/>
        <v>781.8720000000001</v>
      </c>
      <c r="S159" s="233" t="s">
        <v>187</v>
      </c>
      <c r="T159" s="234"/>
    </row>
    <row r="160" spans="1:20" ht="24.75" customHeight="1">
      <c r="A160" s="65" t="s">
        <v>190</v>
      </c>
      <c r="B160" s="8"/>
      <c r="C160" s="86" t="s">
        <v>41</v>
      </c>
      <c r="D160" s="13" t="s">
        <v>200</v>
      </c>
      <c r="E160" s="13" t="s">
        <v>201</v>
      </c>
      <c r="F160" s="209">
        <v>34</v>
      </c>
      <c r="G160" s="14">
        <v>39070</v>
      </c>
      <c r="H160" s="14">
        <v>39073</v>
      </c>
      <c r="I160" s="14" t="s">
        <v>105</v>
      </c>
      <c r="J160" s="289">
        <v>2702.75</v>
      </c>
      <c r="K160" s="13">
        <v>540.55</v>
      </c>
      <c r="L160" s="208">
        <v>3243.3</v>
      </c>
      <c r="M160" s="12">
        <f t="shared" si="23"/>
        <v>2162.2000000000003</v>
      </c>
      <c r="N160" s="12">
        <f t="shared" si="23"/>
        <v>432.44</v>
      </c>
      <c r="O160" s="105">
        <f>+N160+M160</f>
        <v>2594.6400000000003</v>
      </c>
      <c r="P160" s="12">
        <f t="shared" si="20"/>
        <v>1405.4300000000003</v>
      </c>
      <c r="Q160" s="12">
        <f t="shared" si="21"/>
        <v>281.086</v>
      </c>
      <c r="R160" s="105">
        <f t="shared" si="22"/>
        <v>1686.5160000000003</v>
      </c>
      <c r="S160" s="233" t="s">
        <v>187</v>
      </c>
      <c r="T160" s="234"/>
    </row>
    <row r="161" spans="1:20" ht="24.75" customHeight="1">
      <c r="A161" s="65" t="s">
        <v>190</v>
      </c>
      <c r="B161" s="8"/>
      <c r="C161" s="86" t="s">
        <v>41</v>
      </c>
      <c r="D161" s="13" t="s">
        <v>202</v>
      </c>
      <c r="E161" s="13" t="s">
        <v>107</v>
      </c>
      <c r="F161" s="209">
        <v>32</v>
      </c>
      <c r="G161" s="14">
        <v>39070</v>
      </c>
      <c r="H161" s="14">
        <v>39073</v>
      </c>
      <c r="I161" s="14" t="s">
        <v>105</v>
      </c>
      <c r="J161" s="289">
        <v>3960</v>
      </c>
      <c r="K161" s="13">
        <v>792</v>
      </c>
      <c r="L161" s="208">
        <v>4752</v>
      </c>
      <c r="M161" s="12">
        <f t="shared" si="23"/>
        <v>3168</v>
      </c>
      <c r="N161" s="12">
        <f t="shared" si="23"/>
        <v>633.6</v>
      </c>
      <c r="O161" s="105">
        <f>+N161+M161</f>
        <v>3801.6</v>
      </c>
      <c r="P161" s="12">
        <f t="shared" si="20"/>
        <v>2059.2000000000003</v>
      </c>
      <c r="Q161" s="12">
        <f t="shared" si="21"/>
        <v>411.84000000000003</v>
      </c>
      <c r="R161" s="105">
        <f t="shared" si="22"/>
        <v>2471.0400000000004</v>
      </c>
      <c r="S161" s="233" t="s">
        <v>187</v>
      </c>
      <c r="T161" s="234"/>
    </row>
    <row r="162" spans="1:20" ht="11.25">
      <c r="A162" s="65"/>
      <c r="B162" s="8"/>
      <c r="C162" s="9"/>
      <c r="D162" s="9"/>
      <c r="E162" s="9"/>
      <c r="F162" s="8"/>
      <c r="G162" s="15"/>
      <c r="H162" s="35"/>
      <c r="I162" s="25"/>
      <c r="J162" s="12"/>
      <c r="K162" s="26"/>
      <c r="L162" s="105"/>
      <c r="M162" s="12"/>
      <c r="N162" s="12"/>
      <c r="O162" s="105"/>
      <c r="P162" s="12"/>
      <c r="Q162" s="12"/>
      <c r="R162" s="105"/>
      <c r="S162" s="235"/>
      <c r="T162" s="235"/>
    </row>
    <row r="163" ht="11.25">
      <c r="J163" s="75"/>
    </row>
  </sheetData>
  <mergeCells count="117">
    <mergeCell ref="S155:T155"/>
    <mergeCell ref="S156:T156"/>
    <mergeCell ref="S54:T54"/>
    <mergeCell ref="S143:T143"/>
    <mergeCell ref="S144:T144"/>
    <mergeCell ref="S145:T145"/>
    <mergeCell ref="S146:T146"/>
    <mergeCell ref="S147:T147"/>
    <mergeCell ref="S148:T148"/>
    <mergeCell ref="S149:T149"/>
    <mergeCell ref="C104:L104"/>
    <mergeCell ref="C124:L124"/>
    <mergeCell ref="S74:T74"/>
    <mergeCell ref="S84:T84"/>
    <mergeCell ref="S85:T85"/>
    <mergeCell ref="S46:T46"/>
    <mergeCell ref="M11:O11"/>
    <mergeCell ref="C66:K66"/>
    <mergeCell ref="C90:L90"/>
    <mergeCell ref="S68:T68"/>
    <mergeCell ref="S69:T69"/>
    <mergeCell ref="S70:T70"/>
    <mergeCell ref="S71:T71"/>
    <mergeCell ref="S72:T73"/>
    <mergeCell ref="C11:L11"/>
    <mergeCell ref="C38:L38"/>
    <mergeCell ref="P11:R11"/>
    <mergeCell ref="M38:O38"/>
    <mergeCell ref="P38:R38"/>
    <mergeCell ref="A125:B131"/>
    <mergeCell ref="C125:K125"/>
    <mergeCell ref="C131:K131"/>
    <mergeCell ref="S57:T57"/>
    <mergeCell ref="S67:T67"/>
    <mergeCell ref="A105:B111"/>
    <mergeCell ref="C105:K105"/>
    <mergeCell ref="C111:K111"/>
    <mergeCell ref="C59:L59"/>
    <mergeCell ref="C76:L76"/>
    <mergeCell ref="S47:T47"/>
    <mergeCell ref="S48:T48"/>
    <mergeCell ref="A91:B97"/>
    <mergeCell ref="C91:K91"/>
    <mergeCell ref="C97:K97"/>
    <mergeCell ref="A77:B83"/>
    <mergeCell ref="C77:K77"/>
    <mergeCell ref="C83:K83"/>
    <mergeCell ref="S49:T49"/>
    <mergeCell ref="C45:K45"/>
    <mergeCell ref="S19:T19"/>
    <mergeCell ref="A60:B66"/>
    <mergeCell ref="C60:K60"/>
    <mergeCell ref="C61:K61"/>
    <mergeCell ref="S23:T29"/>
    <mergeCell ref="S52:T53"/>
    <mergeCell ref="S30:T30"/>
    <mergeCell ref="S31:T31"/>
    <mergeCell ref="S32:T32"/>
    <mergeCell ref="S86:T86"/>
    <mergeCell ref="A1:T1"/>
    <mergeCell ref="S36:T36"/>
    <mergeCell ref="S20:T20"/>
    <mergeCell ref="S21:T21"/>
    <mergeCell ref="A9:B9"/>
    <mergeCell ref="A5:B5"/>
    <mergeCell ref="A6:B6"/>
    <mergeCell ref="A39:B45"/>
    <mergeCell ref="C39:K39"/>
    <mergeCell ref="S162:T162"/>
    <mergeCell ref="S135:T135"/>
    <mergeCell ref="S136:T136"/>
    <mergeCell ref="S137:T137"/>
    <mergeCell ref="S150:T150"/>
    <mergeCell ref="S138:T138"/>
    <mergeCell ref="S140:T140"/>
    <mergeCell ref="S141:T141"/>
    <mergeCell ref="S151:T151"/>
    <mergeCell ref="S50:T50"/>
    <mergeCell ref="S51:T51"/>
    <mergeCell ref="S132:T132"/>
    <mergeCell ref="S119:T119"/>
    <mergeCell ref="S120:T120"/>
    <mergeCell ref="S121:T121"/>
    <mergeCell ref="S122:T122"/>
    <mergeCell ref="S102:T102"/>
    <mergeCell ref="S112:T112"/>
    <mergeCell ref="S100:T100"/>
    <mergeCell ref="M59:O59"/>
    <mergeCell ref="P59:R59"/>
    <mergeCell ref="M76:O76"/>
    <mergeCell ref="P76:R76"/>
    <mergeCell ref="M124:O124"/>
    <mergeCell ref="P124:R124"/>
    <mergeCell ref="M90:O90"/>
    <mergeCell ref="P90:R90"/>
    <mergeCell ref="M104:O104"/>
    <mergeCell ref="P104:R104"/>
    <mergeCell ref="S55:T55"/>
    <mergeCell ref="S56:T56"/>
    <mergeCell ref="S159:T159"/>
    <mergeCell ref="S101:T101"/>
    <mergeCell ref="S88:T88"/>
    <mergeCell ref="S99:T99"/>
    <mergeCell ref="S98:T98"/>
    <mergeCell ref="S133:T134"/>
    <mergeCell ref="S113:T113"/>
    <mergeCell ref="S115:T115"/>
    <mergeCell ref="S160:T160"/>
    <mergeCell ref="S161:T161"/>
    <mergeCell ref="S154:T154"/>
    <mergeCell ref="S87:T87"/>
    <mergeCell ref="S116:T116"/>
    <mergeCell ref="S117:T117"/>
    <mergeCell ref="S114:T114"/>
    <mergeCell ref="S118:T118"/>
    <mergeCell ref="S153:T153"/>
    <mergeCell ref="S152:T152"/>
  </mergeCells>
  <printOptions horizontalCentered="1"/>
  <pageMargins left="0.1968503937007874" right="0.15748031496062992" top="0.31496062992125984" bottom="0.2755905511811024" header="0.2362204724409449" footer="0.15748031496062992"/>
  <pageSetup horizontalDpi="300" verticalDpi="3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5"/>
  <sheetViews>
    <sheetView tabSelected="1" workbookViewId="0" topLeftCell="A19">
      <selection activeCell="E24" sqref="E24"/>
    </sheetView>
  </sheetViews>
  <sheetFormatPr defaultColWidth="9.140625" defaultRowHeight="12.75"/>
  <cols>
    <col min="1" max="2" width="9.140625" style="166" customWidth="1"/>
    <col min="3" max="3" width="8.8515625" style="166" customWidth="1"/>
    <col min="4" max="4" width="11.140625" style="166" customWidth="1"/>
    <col min="5" max="5" width="10.8515625" style="166" customWidth="1"/>
    <col min="6" max="6" width="10.57421875" style="166" customWidth="1"/>
    <col min="7" max="7" width="10.8515625" style="166" customWidth="1"/>
    <col min="8" max="8" width="8.421875" style="166" customWidth="1"/>
    <col min="9" max="9" width="11.28125" style="166" customWidth="1"/>
    <col min="10" max="10" width="10.140625" style="166" customWidth="1"/>
    <col min="11" max="11" width="10.00390625" style="166" customWidth="1"/>
    <col min="12" max="16384" width="9.140625" style="166" customWidth="1"/>
  </cols>
  <sheetData>
    <row r="2" spans="1:20" ht="15">
      <c r="A2" s="280" t="s">
        <v>159</v>
      </c>
      <c r="B2" s="281"/>
      <c r="C2" s="281"/>
      <c r="D2" s="281"/>
      <c r="E2" s="281"/>
      <c r="F2" s="281"/>
      <c r="G2" s="281"/>
      <c r="H2" s="281"/>
      <c r="I2" s="281"/>
      <c r="J2" s="281"/>
      <c r="K2" s="282"/>
      <c r="L2" s="165"/>
      <c r="M2" s="165"/>
      <c r="N2" s="165"/>
      <c r="O2" s="165"/>
      <c r="P2" s="165"/>
      <c r="Q2" s="165"/>
      <c r="R2" s="165"/>
      <c r="S2" s="165"/>
      <c r="T2" s="165"/>
    </row>
    <row r="6" spans="1:10" ht="12.75">
      <c r="A6" s="167" t="s">
        <v>0</v>
      </c>
      <c r="B6" s="168"/>
      <c r="C6" s="168"/>
      <c r="D6" s="169" t="s">
        <v>35</v>
      </c>
      <c r="E6" s="170"/>
      <c r="I6" s="166" t="s">
        <v>130</v>
      </c>
      <c r="J6" s="171">
        <v>37987</v>
      </c>
    </row>
    <row r="7" spans="1:10" ht="12.75">
      <c r="A7" s="172" t="s">
        <v>131</v>
      </c>
      <c r="B7" s="173"/>
      <c r="C7" s="173"/>
      <c r="D7" s="174">
        <f>+Complessivo!G3</f>
        <v>659925</v>
      </c>
      <c r="E7" s="175">
        <f>+Complessivo!H3</f>
        <v>0.8474157373526148</v>
      </c>
      <c r="I7" s="166" t="s">
        <v>132</v>
      </c>
      <c r="J7" s="171">
        <v>39083</v>
      </c>
    </row>
    <row r="8" spans="1:9" ht="12.75">
      <c r="A8" s="172" t="s">
        <v>133</v>
      </c>
      <c r="B8" s="173"/>
      <c r="C8" s="173"/>
      <c r="D8" s="174">
        <f>+Complessivo!G4</f>
        <v>428951.25</v>
      </c>
      <c r="E8" s="175">
        <f>+Complessivo!H4</f>
        <v>0.8474157373526147</v>
      </c>
      <c r="I8" s="176" t="s">
        <v>160</v>
      </c>
    </row>
    <row r="9" spans="1:5" ht="12.75">
      <c r="A9" s="172" t="s">
        <v>134</v>
      </c>
      <c r="B9" s="173"/>
      <c r="C9" s="173"/>
      <c r="D9" s="174">
        <f>+Complessivo!G5</f>
        <v>56995.25</v>
      </c>
      <c r="E9" s="175">
        <f>+Complessivo!H5</f>
        <v>0.6663262331935424</v>
      </c>
    </row>
    <row r="10" spans="1:10" ht="12.75">
      <c r="A10" s="177" t="s">
        <v>135</v>
      </c>
      <c r="B10" s="178"/>
      <c r="C10" s="178"/>
      <c r="D10" s="179">
        <f>+Complessivo!G6</f>
        <v>485946.5</v>
      </c>
      <c r="E10" s="180">
        <f>+Complessivo!H6</f>
        <v>0.8261762767084444</v>
      </c>
      <c r="I10" s="176" t="s">
        <v>136</v>
      </c>
      <c r="J10" s="181">
        <v>0.65</v>
      </c>
    </row>
    <row r="12" spans="4:6" ht="12.75">
      <c r="D12" s="182" t="s">
        <v>137</v>
      </c>
      <c r="E12" s="182" t="s">
        <v>138</v>
      </c>
      <c r="F12" s="182" t="s">
        <v>139</v>
      </c>
    </row>
    <row r="13" spans="1:6" ht="12.75">
      <c r="A13" s="183" t="s">
        <v>6</v>
      </c>
      <c r="B13" s="168"/>
      <c r="C13" s="168"/>
      <c r="D13" s="184">
        <f>+Complessivo!M12</f>
        <v>221500</v>
      </c>
      <c r="E13" s="185">
        <f>+Complessivo!M18</f>
        <v>-37093.13622999999</v>
      </c>
      <c r="F13" s="174">
        <f>+D13-E13</f>
        <v>258593.13623</v>
      </c>
    </row>
    <row r="14" spans="1:6" ht="12.75">
      <c r="A14" s="172" t="s">
        <v>7</v>
      </c>
      <c r="B14" s="173"/>
      <c r="C14" s="173"/>
      <c r="D14" s="174">
        <f>+Complessivo!M39</f>
        <v>187000</v>
      </c>
      <c r="E14" s="186">
        <f>+Complessivo!M45</f>
        <v>104990</v>
      </c>
      <c r="F14" s="174">
        <f aca="true" t="shared" si="0" ref="F14:F19">+D14-E14</f>
        <v>82010</v>
      </c>
    </row>
    <row r="15" spans="1:6" ht="12.75">
      <c r="A15" s="172" t="s">
        <v>1</v>
      </c>
      <c r="B15" s="173"/>
      <c r="C15" s="173"/>
      <c r="D15" s="174">
        <f>+Complessivo!M60</f>
        <v>75000</v>
      </c>
      <c r="E15" s="186">
        <f>+Complessivo!M66</f>
        <v>14162</v>
      </c>
      <c r="F15" s="174">
        <f t="shared" si="0"/>
        <v>60838</v>
      </c>
    </row>
    <row r="16" spans="1:6" ht="12.75">
      <c r="A16" s="172" t="s">
        <v>8</v>
      </c>
      <c r="B16" s="173"/>
      <c r="C16" s="173"/>
      <c r="D16" s="174">
        <f>+Complessivo!M77</f>
        <v>25000</v>
      </c>
      <c r="E16" s="186">
        <f>+Complessivo!M83</f>
        <v>14628.67</v>
      </c>
      <c r="F16" s="174">
        <f t="shared" si="0"/>
        <v>10371.33</v>
      </c>
    </row>
    <row r="17" spans="1:6" ht="12.75">
      <c r="A17" s="172" t="s">
        <v>140</v>
      </c>
      <c r="B17" s="173"/>
      <c r="C17" s="173"/>
      <c r="D17" s="174">
        <f>+Complessivo!M91</f>
        <v>65000</v>
      </c>
      <c r="E17" s="186">
        <f>+Complessivo!M97</f>
        <v>-4738</v>
      </c>
      <c r="F17" s="174">
        <f t="shared" si="0"/>
        <v>69738</v>
      </c>
    </row>
    <row r="18" spans="1:6" ht="12.75">
      <c r="A18" s="172" t="s">
        <v>9</v>
      </c>
      <c r="B18" s="173"/>
      <c r="C18" s="173"/>
      <c r="D18" s="174">
        <f>+Complessivo!M105</f>
        <v>55000</v>
      </c>
      <c r="E18" s="186">
        <f>+Complessivo!M111</f>
        <v>13009.039999999994</v>
      </c>
      <c r="F18" s="174">
        <f t="shared" si="0"/>
        <v>41990.96000000001</v>
      </c>
    </row>
    <row r="19" spans="1:6" ht="12.75">
      <c r="A19" s="177" t="s">
        <v>10</v>
      </c>
      <c r="B19" s="178"/>
      <c r="C19" s="178"/>
      <c r="D19" s="179">
        <f>+Complessivo!M125</f>
        <v>31425</v>
      </c>
      <c r="E19" s="187">
        <f>+Complessivo!M131</f>
        <v>-4264.404242424243</v>
      </c>
      <c r="F19" s="174">
        <f t="shared" si="0"/>
        <v>35689.40424242424</v>
      </c>
    </row>
    <row r="20" spans="4:7" ht="12.75">
      <c r="D20" s="188">
        <f>SUM(D13:D19)</f>
        <v>659925</v>
      </c>
      <c r="E20" s="188">
        <f>SUM(E13:E19)</f>
        <v>100694.16952757575</v>
      </c>
      <c r="F20" s="188">
        <f>SUM(F13:F19)</f>
        <v>559230.8304724243</v>
      </c>
      <c r="G20" s="191"/>
    </row>
    <row r="22" spans="4:11" ht="21">
      <c r="D22" s="189" t="s">
        <v>21</v>
      </c>
      <c r="E22" s="189" t="s">
        <v>141</v>
      </c>
      <c r="F22" s="190" t="s">
        <v>80</v>
      </c>
      <c r="G22" s="189" t="s">
        <v>22</v>
      </c>
      <c r="H22" s="189" t="s">
        <v>142</v>
      </c>
      <c r="I22" s="190" t="s">
        <v>82</v>
      </c>
      <c r="J22" s="189" t="s">
        <v>143</v>
      </c>
      <c r="K22" s="189" t="s">
        <v>144</v>
      </c>
    </row>
    <row r="23" spans="1:11" ht="12.75">
      <c r="A23" s="166" t="s">
        <v>145</v>
      </c>
      <c r="D23" s="188">
        <f>+Complessivo!M3</f>
        <v>559230.8304724243</v>
      </c>
      <c r="E23" s="188">
        <f>+Complessivo!N3</f>
        <v>58426.81575757576</v>
      </c>
      <c r="F23" s="188">
        <f>+Complessivo!O3</f>
        <v>617657.6462300001</v>
      </c>
      <c r="G23" s="188">
        <f>+Complessivo!P3</f>
        <v>363500.03980707575</v>
      </c>
      <c r="H23" s="188">
        <f>+Complessivo!Q3</f>
        <v>37977.43024242425</v>
      </c>
      <c r="I23" s="188">
        <f>+Complessivo!R3</f>
        <v>401477.47004950006</v>
      </c>
      <c r="J23" s="188">
        <f>+Complessivo!S3</f>
        <v>150554.0512685625</v>
      </c>
      <c r="K23" s="188">
        <f>+Complessivo!T3</f>
        <v>250923.41878093747</v>
      </c>
    </row>
    <row r="24" spans="1:12" ht="12.75">
      <c r="A24" s="191" t="s">
        <v>161</v>
      </c>
      <c r="B24" s="191"/>
      <c r="D24" s="188">
        <f>+Complessivo!M4</f>
        <v>175302.41</v>
      </c>
      <c r="E24" s="188">
        <f>+Complessivo!N4</f>
        <v>11868</v>
      </c>
      <c r="F24" s="188">
        <f>+Complessivo!O4</f>
        <v>187170.41</v>
      </c>
      <c r="G24" s="188">
        <f>+Complessivo!P4</f>
        <v>113946.5665</v>
      </c>
      <c r="H24" s="188">
        <f>+Complessivo!Q4</f>
        <v>7714.200000000001</v>
      </c>
      <c r="I24" s="188">
        <f>+Complessivo!R4</f>
        <v>121660.7665</v>
      </c>
      <c r="J24" s="188">
        <f>+Complessivo!S4</f>
        <v>45622.78743750001</v>
      </c>
      <c r="K24" s="188">
        <f>+Complessivo!T4</f>
        <v>76037.97906249999</v>
      </c>
      <c r="L24" s="191"/>
    </row>
    <row r="25" spans="1:12" ht="12.75">
      <c r="A25" s="191" t="s">
        <v>162</v>
      </c>
      <c r="B25" s="191"/>
      <c r="D25" s="188">
        <f>+Complessivo!M5</f>
        <v>54547.34</v>
      </c>
      <c r="E25" s="188">
        <f>+Complessivo!N5</f>
        <v>204</v>
      </c>
      <c r="F25" s="188">
        <f>+Complessivo!O5</f>
        <v>54751.34</v>
      </c>
      <c r="G25" s="188">
        <f>+Complessivo!P5</f>
        <v>35455.771</v>
      </c>
      <c r="H25" s="188">
        <f>+Complessivo!Q5</f>
        <v>132.6</v>
      </c>
      <c r="I25" s="188">
        <f>+Complessivo!R5</f>
        <v>35588.371</v>
      </c>
      <c r="J25" s="188">
        <f>+Complessivo!S5</f>
        <v>13345.639125</v>
      </c>
      <c r="K25" s="188">
        <f>+Complessivo!T5</f>
        <v>22242.731874999998</v>
      </c>
      <c r="L25" s="191"/>
    </row>
    <row r="26" spans="1:12" ht="12.75">
      <c r="A26" s="191" t="s">
        <v>163</v>
      </c>
      <c r="B26" s="191"/>
      <c r="D26" s="188">
        <f>+Complessivo!M6</f>
        <v>112945.04318000001</v>
      </c>
      <c r="E26" s="188">
        <f>+Complessivo!N6</f>
        <v>16463.53</v>
      </c>
      <c r="F26" s="188">
        <f>+Complessivo!O6</f>
        <v>129408.57318</v>
      </c>
      <c r="G26" s="188">
        <f>+Complessivo!P6</f>
        <v>73414.27806699999</v>
      </c>
      <c r="H26" s="188">
        <f>+Complessivo!Q6</f>
        <v>10701.2945</v>
      </c>
      <c r="I26" s="188">
        <f>+Complessivo!R6</f>
        <v>84115.572567</v>
      </c>
      <c r="J26" s="188">
        <f>+Complessivo!S6</f>
        <v>31543.339712625</v>
      </c>
      <c r="K26" s="188">
        <f>+Complessivo!T6</f>
        <v>52572.232854375005</v>
      </c>
      <c r="L26" s="191"/>
    </row>
    <row r="27" spans="1:12" ht="12.75">
      <c r="A27" s="191" t="s">
        <v>164</v>
      </c>
      <c r="B27" s="188"/>
      <c r="D27" s="188">
        <f>+Complessivo!M7</f>
        <v>113980.59305000001</v>
      </c>
      <c r="E27" s="188">
        <f>+Complessivo!N7</f>
        <v>13145.47</v>
      </c>
      <c r="F27" s="188">
        <f>+Complessivo!O7</f>
        <v>127126.06305000001</v>
      </c>
      <c r="G27" s="188">
        <f>+Complessivo!P7</f>
        <v>74087.38548250002</v>
      </c>
      <c r="H27" s="188">
        <f>+Complessivo!Q7</f>
        <v>8544.5555</v>
      </c>
      <c r="I27" s="188">
        <f>+Complessivo!R7</f>
        <v>82631.94098250002</v>
      </c>
      <c r="J27" s="188">
        <f>+Complessivo!S7</f>
        <v>30986.977868437505</v>
      </c>
      <c r="K27" s="188">
        <f>+Complessivo!T7</f>
        <v>51644.963114062506</v>
      </c>
      <c r="L27" s="191"/>
    </row>
    <row r="28" spans="1:12" ht="12.75">
      <c r="A28" s="191" t="s">
        <v>214</v>
      </c>
      <c r="B28" s="188"/>
      <c r="D28" s="188">
        <f>+Complessivo!M8</f>
        <v>102455.44424242424</v>
      </c>
      <c r="E28" s="188">
        <f>+Complessivo!N8</f>
        <v>16745.815757575758</v>
      </c>
      <c r="F28" s="212">
        <f>+Complessivo!O8</f>
        <v>119201.26000000001</v>
      </c>
      <c r="G28" s="188">
        <f>+Complessivo!P8</f>
        <v>66596.03875757576</v>
      </c>
      <c r="H28" s="188">
        <f>+Complessivo!Q8</f>
        <v>10884.780242424244</v>
      </c>
      <c r="I28" s="212">
        <f>+Complessivo!R8</f>
        <v>77480.819</v>
      </c>
      <c r="J28" s="188">
        <f>+Complessivo!S8</f>
        <v>29055.307125</v>
      </c>
      <c r="K28" s="212">
        <f>+Complessivo!T8</f>
        <v>48425.511875000004</v>
      </c>
      <c r="L28" s="191"/>
    </row>
    <row r="29" ht="12.75">
      <c r="E29" s="192"/>
    </row>
    <row r="30" ht="12.75">
      <c r="E30" s="192"/>
    </row>
    <row r="31" spans="1:11" ht="38.25">
      <c r="A31" s="283" t="s">
        <v>146</v>
      </c>
      <c r="B31" s="284"/>
      <c r="C31" s="284"/>
      <c r="D31" s="284"/>
      <c r="E31" s="284"/>
      <c r="F31" s="284"/>
      <c r="G31" s="284"/>
      <c r="H31" s="285"/>
      <c r="I31" s="193" t="s">
        <v>147</v>
      </c>
      <c r="J31" s="193" t="s">
        <v>148</v>
      </c>
      <c r="K31" s="194" t="s">
        <v>149</v>
      </c>
    </row>
    <row r="32" spans="1:11" ht="12.75">
      <c r="A32" s="173" t="s">
        <v>165</v>
      </c>
      <c r="B32" s="173"/>
      <c r="C32" s="173"/>
      <c r="D32" s="173" t="s">
        <v>64</v>
      </c>
      <c r="E32" s="173"/>
      <c r="F32" s="173"/>
      <c r="G32" s="173"/>
      <c r="H32" s="173"/>
      <c r="I32" s="195" t="s">
        <v>150</v>
      </c>
      <c r="J32" s="287" t="s">
        <v>151</v>
      </c>
      <c r="K32" s="173"/>
    </row>
    <row r="33" spans="1:11" ht="12.75">
      <c r="A33" s="173" t="s">
        <v>124</v>
      </c>
      <c r="B33" s="173"/>
      <c r="C33" s="173"/>
      <c r="D33" s="173"/>
      <c r="E33" s="173"/>
      <c r="F33" s="173"/>
      <c r="G33" s="173"/>
      <c r="H33" s="173"/>
      <c r="I33" s="195" t="s">
        <v>150</v>
      </c>
      <c r="J33" s="288"/>
      <c r="K33" s="173"/>
    </row>
    <row r="34" spans="1:10" ht="12.75">
      <c r="A34" s="166" t="s">
        <v>167</v>
      </c>
      <c r="E34" s="192"/>
      <c r="J34" s="288"/>
    </row>
    <row r="35" spans="5:10" ht="12.75">
      <c r="E35" s="192"/>
      <c r="J35" s="204"/>
    </row>
    <row r="36" spans="1:11" ht="12.75">
      <c r="A36" s="286" t="s">
        <v>152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</row>
    <row r="39" spans="1:11" ht="26.25" customHeight="1">
      <c r="A39" s="276" t="s">
        <v>153</v>
      </c>
      <c r="B39" s="276"/>
      <c r="C39" s="276"/>
      <c r="D39" s="276"/>
      <c r="E39" s="276"/>
      <c r="F39" s="276"/>
      <c r="G39" s="277" t="s">
        <v>203</v>
      </c>
      <c r="H39" s="278"/>
      <c r="I39" s="278"/>
      <c r="J39" s="278"/>
      <c r="K39" s="279"/>
    </row>
    <row r="40" spans="1:11" ht="25.5" customHeight="1">
      <c r="A40" s="276" t="s">
        <v>154</v>
      </c>
      <c r="B40" s="276"/>
      <c r="C40" s="276"/>
      <c r="D40" s="276"/>
      <c r="E40" s="276"/>
      <c r="F40" s="276"/>
      <c r="G40" s="275"/>
      <c r="H40" s="275"/>
      <c r="I40" s="275"/>
      <c r="J40" s="275"/>
      <c r="K40" s="275"/>
    </row>
    <row r="41" spans="1:11" ht="23.25" customHeight="1">
      <c r="A41" s="196"/>
      <c r="B41" s="197"/>
      <c r="C41" s="197"/>
      <c r="D41" s="197"/>
      <c r="E41" s="197"/>
      <c r="F41" s="198"/>
      <c r="G41" s="199"/>
      <c r="H41" s="200"/>
      <c r="I41" s="200"/>
      <c r="J41" s="200"/>
      <c r="K41" s="201"/>
    </row>
    <row r="42" ht="26.25" customHeight="1">
      <c r="A42" s="166" t="s">
        <v>155</v>
      </c>
    </row>
    <row r="43" spans="1:11" ht="12.75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 ht="24.7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ht="24.7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1" ht="24.7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ht="24.7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2.7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</row>
    <row r="49" spans="1:11" ht="12.7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</row>
    <row r="50" spans="1:11" ht="12.7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</row>
    <row r="52" spans="1:9" ht="12.75">
      <c r="A52" s="275" t="s">
        <v>156</v>
      </c>
      <c r="B52" s="275"/>
      <c r="C52" s="275"/>
      <c r="D52" s="275" t="s">
        <v>157</v>
      </c>
      <c r="E52" s="275"/>
      <c r="F52" s="275"/>
      <c r="G52" s="275" t="s">
        <v>158</v>
      </c>
      <c r="H52" s="275"/>
      <c r="I52" s="275"/>
    </row>
    <row r="53" spans="1:9" ht="23.25" customHeight="1">
      <c r="A53" s="275"/>
      <c r="B53" s="275"/>
      <c r="C53" s="275"/>
      <c r="D53" s="275"/>
      <c r="E53" s="275"/>
      <c r="F53" s="275"/>
      <c r="G53" s="275"/>
      <c r="H53" s="275"/>
      <c r="I53" s="275"/>
    </row>
    <row r="54" spans="1:9" ht="23.25" customHeight="1">
      <c r="A54" s="275"/>
      <c r="B54" s="275"/>
      <c r="C54" s="275"/>
      <c r="D54" s="275"/>
      <c r="E54" s="275"/>
      <c r="F54" s="275"/>
      <c r="G54" s="275"/>
      <c r="H54" s="275"/>
      <c r="I54" s="275"/>
    </row>
    <row r="55" spans="1:9" ht="23.25" customHeight="1">
      <c r="A55" s="275"/>
      <c r="B55" s="275"/>
      <c r="C55" s="275"/>
      <c r="D55" s="275"/>
      <c r="E55" s="275"/>
      <c r="F55" s="275"/>
      <c r="G55" s="275"/>
      <c r="H55" s="275"/>
      <c r="I55" s="275"/>
    </row>
  </sheetData>
  <mergeCells count="20">
    <mergeCell ref="A2:K2"/>
    <mergeCell ref="A31:H31"/>
    <mergeCell ref="A36:K36"/>
    <mergeCell ref="J32:J34"/>
    <mergeCell ref="A39:F39"/>
    <mergeCell ref="G39:K39"/>
    <mergeCell ref="A40:F40"/>
    <mergeCell ref="G40:K40"/>
    <mergeCell ref="A52:C52"/>
    <mergeCell ref="D52:F52"/>
    <mergeCell ref="G52:I52"/>
    <mergeCell ref="A53:C53"/>
    <mergeCell ref="D53:F53"/>
    <mergeCell ref="G53:I53"/>
    <mergeCell ref="A54:C54"/>
    <mergeCell ref="D54:F54"/>
    <mergeCell ref="G54:I54"/>
    <mergeCell ref="A55:C55"/>
    <mergeCell ref="D55:F55"/>
    <mergeCell ref="G55:I55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2007-03-26T11:13:28Z</cp:lastPrinted>
  <dcterms:created xsi:type="dcterms:W3CDTF">2005-04-28T08:10:49Z</dcterms:created>
  <dcterms:modified xsi:type="dcterms:W3CDTF">2007-03-26T11:13:32Z</dcterms:modified>
  <cp:category/>
  <cp:version/>
  <cp:contentType/>
  <cp:contentStatus/>
</cp:coreProperties>
</file>