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2000" windowHeight="6270" activeTab="1"/>
  </bookViews>
  <sheets>
    <sheet name="Foglio1" sheetId="1" r:id="rId1"/>
    <sheet name="Complessivo" sheetId="2" r:id="rId2"/>
    <sheet name="Foglio2" sheetId="3" r:id="rId3"/>
  </sheets>
  <definedNames>
    <definedName name="_xlnm.Print_Area" localSheetId="1">'Complessivo'!$A$1:$T$181</definedName>
    <definedName name="_xlnm.Print_Titles" localSheetId="1">'Complessivo'!$1:$10</definedName>
  </definedNames>
  <calcPr fullCalcOnLoad="1"/>
</workbook>
</file>

<file path=xl/comments2.xml><?xml version="1.0" encoding="utf-8"?>
<comments xmlns="http://schemas.openxmlformats.org/spreadsheetml/2006/main">
  <authors>
    <author>.</author>
  </authors>
  <commentList>
    <comment ref="S22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Firmare il calcolo aliquota oraria OK 7-6-05</t>
        </r>
      </text>
    </comment>
    <comment ref="S23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Firmare il calcolo aliquota oraria OK 7-6-05
</t>
        </r>
      </text>
    </comment>
    <comment ref="S54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1) Mancano curriculum e non si può verificare la fascia tariffe
2) Relazione sulle attività svolte dai consulenti
3) Manca indicazione dell'attività cui si riferiscono le fatture
OK 7-6-05</t>
        </r>
      </text>
    </comment>
    <comment ref="S55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1) Mancano curriculum e non si può verificare la fascia tariffe
2) Relazione sulle attività svolte dai consulenti
Pagamento successivo ma accettato lo stesso
OK 7-6-05</t>
        </r>
      </text>
    </comment>
    <comment ref="S97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1) fornire liberatoria in originale
2) breve descrizione del sw
OK 7-6-05</t>
        </r>
      </text>
    </comment>
    <comment ref="S151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Trattasi di trasferta di giannoccari salvatore dioendente di ATHENA e presidente di APIMA che rimborsa la sua stessa missione. Sono pagamenti fuori perido di rendicontazione.
Necessita: Stato patrimoniale e conto economico 2003 per APIMA, ATHENA, CERSAE.
Dichiarazione sul numero di dipendenti di APIMA e posizione previdenziale.
Perizia giurata sulla regolarità urbanistica degli immobili e dimostraione della disponbilità degli immobili.</t>
        </r>
      </text>
    </comment>
    <comment ref="S154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Pagamento precedente all'autorizzazine alla missione. Valgono le considerazioni fatte prima
</t>
        </r>
      </text>
    </comment>
    <comment ref="S155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Le spese generali sono ammissibili solo se rendicontate analiticamente e non fatturate forfettariamente in sublocazione.
</t>
        </r>
      </text>
    </comment>
    <comment ref="S56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Massimo ammissibile. 26/03/06 Ricevuta integrazione timesheet</t>
        </r>
      </text>
    </comment>
    <comment ref="S59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la parte imponibile comprende quota parte della ritenuta acconto sino al raggiungimento del totale richiesto che rispetta il tetto max della fascia di competenza</t>
        </r>
      </text>
    </comment>
    <comment ref="S32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Le tabelle vanno rifatte indicando le ore totali e il costo orario. OK 22/01/08</t>
        </r>
      </text>
    </comment>
    <comment ref="S62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Manca la dimostrazione del pagamento. Ok 22/01/08
</t>
        </r>
      </text>
    </comment>
    <comment ref="S63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Manca la dimostrazione del pagamento. Ok 22/01/08
</t>
        </r>
      </text>
    </comment>
    <comment ref="S99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Manca dim. Pagamento. Ok 22/01/08
</t>
        </r>
      </text>
    </comment>
    <comment ref="S82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Manca la dimostrazione del pagamento. Ok 22/01/08
</t>
        </r>
      </text>
    </comment>
    <comment ref="S177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Manca dimostrazione di pagamento. Ok 22/01/08
</t>
        </r>
      </text>
    </comment>
    <comment ref="S178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Manca dimostrazione di pagamento. Ok 22/01/08
</t>
        </r>
      </text>
    </comment>
    <comment ref="S179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Manca dimostrazione di pagamento. Ok 22/01/08
</t>
        </r>
      </text>
    </comment>
    <comment ref="S172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Manca dimostrazione di pagamento. Ok 22/01/08
</t>
        </r>
      </text>
    </comment>
  </commentList>
</comments>
</file>

<file path=xl/sharedStrings.xml><?xml version="1.0" encoding="utf-8"?>
<sst xmlns="http://schemas.openxmlformats.org/spreadsheetml/2006/main" count="928" uniqueCount="282">
  <si>
    <t>PROGETTO</t>
  </si>
  <si>
    <t>LICENZE</t>
  </si>
  <si>
    <t>Fornitore</t>
  </si>
  <si>
    <t>Imponibile</t>
  </si>
  <si>
    <t>Iva</t>
  </si>
  <si>
    <t>Totale fattura</t>
  </si>
  <si>
    <t>PERSONALE</t>
  </si>
  <si>
    <t>CONSULENZE</t>
  </si>
  <si>
    <t>SOFTWARE</t>
  </si>
  <si>
    <t>INFRASTRUTTURE</t>
  </si>
  <si>
    <t>SPESE GENERALI</t>
  </si>
  <si>
    <t>Att.</t>
  </si>
  <si>
    <t>Previsto</t>
  </si>
  <si>
    <t>Residuo</t>
  </si>
  <si>
    <t>SAL</t>
  </si>
  <si>
    <t>I</t>
  </si>
  <si>
    <t>Modalità</t>
  </si>
  <si>
    <t>Data Pag</t>
  </si>
  <si>
    <t>Data fatt</t>
  </si>
  <si>
    <t>N. fattura</t>
  </si>
  <si>
    <t>Descr.</t>
  </si>
  <si>
    <t>Costi ammessi</t>
  </si>
  <si>
    <t>Contributo</t>
  </si>
  <si>
    <t>Partner</t>
  </si>
  <si>
    <t>Ant.</t>
  </si>
  <si>
    <t>Erogare</t>
  </si>
  <si>
    <t>Spesa</t>
  </si>
  <si>
    <t>Bonifico</t>
  </si>
  <si>
    <t>Note</t>
  </si>
  <si>
    <t>SAL 1</t>
  </si>
  <si>
    <t>SAL 2</t>
  </si>
  <si>
    <t>TOT GEN</t>
  </si>
  <si>
    <t>TOT SAL 1</t>
  </si>
  <si>
    <t>TOT SAL 2</t>
  </si>
  <si>
    <t>Avvio PR</t>
  </si>
  <si>
    <t>AGRO-NET</t>
  </si>
  <si>
    <t>PERIODO SAL 1 - 02/01/2004 - 02/01/2005 (tre quad)</t>
  </si>
  <si>
    <t>CERASAE</t>
  </si>
  <si>
    <t>ATHENA</t>
  </si>
  <si>
    <t>Colonna Giusefina - Giannaccari Salvatore x 1 anno</t>
  </si>
  <si>
    <t>Conte Maurizio, Siciliano Antonio, De Pasca Caterina</t>
  </si>
  <si>
    <t>APIMA</t>
  </si>
  <si>
    <t>Elaborazione dati e progettazione</t>
  </si>
  <si>
    <t>CIPAS</t>
  </si>
  <si>
    <t>I § T</t>
  </si>
  <si>
    <t>BONIFICO</t>
  </si>
  <si>
    <t>Analisi requisiti utente - piattaforma</t>
  </si>
  <si>
    <t>Assistenza software al prog.Silawin</t>
  </si>
  <si>
    <t>EL.SY.CO</t>
  </si>
  <si>
    <t>14/05/04-15/09/04-18/02/05</t>
  </si>
  <si>
    <t>NOLEGGIO CAMPER</t>
  </si>
  <si>
    <t>37 - B 2004</t>
  </si>
  <si>
    <t>ADVENTURE FOR LADIES S.r.l.</t>
  </si>
  <si>
    <t>Fotocamera digitale</t>
  </si>
  <si>
    <t>Photoshop</t>
  </si>
  <si>
    <t>AB</t>
  </si>
  <si>
    <t>Non ammissibile tra le attrezzature di progetto.</t>
  </si>
  <si>
    <t>Rimborsi per trasferte</t>
  </si>
  <si>
    <t>Rimborsi carburante</t>
  </si>
  <si>
    <t>fidejussione</t>
  </si>
  <si>
    <t>Rimborso trasferte</t>
  </si>
  <si>
    <t>Spese telefoniche e varie</t>
  </si>
  <si>
    <t>Canoni</t>
  </si>
  <si>
    <t>Aurora Ass.</t>
  </si>
  <si>
    <t xml:space="preserve"> </t>
  </si>
  <si>
    <t>16/11e20/12/2004</t>
  </si>
  <si>
    <t>cipas</t>
  </si>
  <si>
    <t>15</t>
  </si>
  <si>
    <t>1-4</t>
  </si>
  <si>
    <t>2</t>
  </si>
  <si>
    <t>Giannaccari Salvatore</t>
  </si>
  <si>
    <t>Verificare ammissibilità se registrazione successiva.</t>
  </si>
  <si>
    <t>CONTRIBUTO PROGETTO</t>
  </si>
  <si>
    <t>CONTRIBUTO IVA</t>
  </si>
  <si>
    <t>TOTALE CONTRIBUTO</t>
  </si>
  <si>
    <t>IVA=</t>
  </si>
  <si>
    <t>APIMA SALENTO - 39 - RIEPILOGO SPESE</t>
  </si>
  <si>
    <t>TOTALE PROGETTO PREVISTO=</t>
  </si>
  <si>
    <t>Res IVA=</t>
  </si>
  <si>
    <t>Iva ammessa</t>
  </si>
  <si>
    <t>Totale ammesso</t>
  </si>
  <si>
    <t>Contributo Iva</t>
  </si>
  <si>
    <t>Totale Contributo</t>
  </si>
  <si>
    <t>NOLO, LEASING, AMMORTAMENTI</t>
  </si>
  <si>
    <t>PERIODO SAL 2 - 02/01/2005 - 02/05/2005</t>
  </si>
  <si>
    <t>PERIODO SAL 3 - 02/05/2005 - 16/11/2005</t>
  </si>
  <si>
    <t>II</t>
  </si>
  <si>
    <t xml:space="preserve">Colonna Giusefina - Giannaccari Salvatore </t>
  </si>
  <si>
    <t>Conte Maurizio</t>
  </si>
  <si>
    <t>SAL 3</t>
  </si>
  <si>
    <t>Fortunato Tania</t>
  </si>
  <si>
    <t>Spesa ammessa su fattura I sal</t>
  </si>
  <si>
    <t>notebook, webcam, epson stylus R200</t>
  </si>
  <si>
    <t>Hitek</t>
  </si>
  <si>
    <t>sistemi GPS per cartogr. E agrimensura</t>
  </si>
  <si>
    <t>S.C.S.</t>
  </si>
  <si>
    <t>Competenze contabili amministrative</t>
  </si>
  <si>
    <t>Scardino Vito Rocco</t>
  </si>
  <si>
    <t>Indicare la percentuale di addebito</t>
  </si>
  <si>
    <t>elaborazioni grafiche portale</t>
  </si>
  <si>
    <t>Natrella</t>
  </si>
  <si>
    <t>III</t>
  </si>
  <si>
    <t>Analisi requisiti utente</t>
  </si>
  <si>
    <t>I§t</t>
  </si>
  <si>
    <t>67/2005</t>
  </si>
  <si>
    <t>Bonifico Bancario</t>
  </si>
  <si>
    <t>Consulenza uso Palmari e rilevazioni GPS</t>
  </si>
  <si>
    <t>Cipas</t>
  </si>
  <si>
    <t>20/2005</t>
  </si>
  <si>
    <t>Consulenza uso Palmari , rilevazioni GPS e rendicotazione</t>
  </si>
  <si>
    <t>Licenze d'uso e Sevizi Software</t>
  </si>
  <si>
    <t>i § t</t>
  </si>
  <si>
    <t>115/2005</t>
  </si>
  <si>
    <t>Assistenza software</t>
  </si>
  <si>
    <t>Elsyco</t>
  </si>
  <si>
    <t>243/2005</t>
  </si>
  <si>
    <t>Noleggio autocaravan</t>
  </si>
  <si>
    <t>Salento caravan</t>
  </si>
  <si>
    <t>20-B-2005</t>
  </si>
  <si>
    <t>samsung x410 e connet card UMTS</t>
  </si>
  <si>
    <t>omnipoint</t>
  </si>
  <si>
    <t>Canoni locazione 1° sem</t>
  </si>
  <si>
    <t>Canoni locazione 2° sem</t>
  </si>
  <si>
    <t>spese carburante</t>
  </si>
  <si>
    <t>Athena</t>
  </si>
  <si>
    <t>TOT SAL 3</t>
  </si>
  <si>
    <t>Provvisorio</t>
  </si>
  <si>
    <t>Conguaglio su II sal</t>
  </si>
  <si>
    <t>PERIODO SAL 4 - 17/11/2005 - 31/07/2006</t>
  </si>
  <si>
    <t>TOT SAL 4</t>
  </si>
  <si>
    <t>inizio</t>
  </si>
  <si>
    <t>TOT PROGETTO=</t>
  </si>
  <si>
    <t>fine</t>
  </si>
  <si>
    <t>CONTRIBUTO=</t>
  </si>
  <si>
    <t>CONTRIBUTO IVA=</t>
  </si>
  <si>
    <t>TOT CONTRIBUTO=</t>
  </si>
  <si>
    <t>CONTRIBUTO</t>
  </si>
  <si>
    <t>PREVISTO</t>
  </si>
  <si>
    <t>RESIDUO</t>
  </si>
  <si>
    <t>AMMESSO</t>
  </si>
  <si>
    <t>NOLO LEASING AMM</t>
  </si>
  <si>
    <t>IVA Ammessa</t>
  </si>
  <si>
    <t>IVA Contributo</t>
  </si>
  <si>
    <t>Anticip. corrisposta</t>
  </si>
  <si>
    <t>Liquidazione s.a.l.</t>
  </si>
  <si>
    <t>Totale</t>
  </si>
  <si>
    <t>ATS</t>
  </si>
  <si>
    <t>IVA ESPOSTA</t>
  </si>
  <si>
    <t>Ritenuta d'acconto 4%</t>
  </si>
  <si>
    <t>ANTIMAFIA</t>
  </si>
  <si>
    <t>si</t>
  </si>
  <si>
    <t>esente</t>
  </si>
  <si>
    <t>STATO DELLA DOCUMENTAZIONE TECNICA</t>
  </si>
  <si>
    <t>Relazione S.A.L. Quadrimestrale</t>
  </si>
  <si>
    <t>Rapporti Tecnici</t>
  </si>
  <si>
    <t>NOTE</t>
  </si>
  <si>
    <t>DATE</t>
  </si>
  <si>
    <t>ISTRUTTORI</t>
  </si>
  <si>
    <t>FIRME</t>
  </si>
  <si>
    <t>APIMA SALENTO - 39</t>
  </si>
  <si>
    <t>SAL 1 - 02/01/2004-02/01/2005</t>
  </si>
  <si>
    <t>SAL 2 - 02/01/2005-02/05/2005</t>
  </si>
  <si>
    <t>SAL 3 - 02/05/2005-16/11/2005</t>
  </si>
  <si>
    <t>SAL 4 - 17/11/2005-31/07/2006</t>
  </si>
  <si>
    <t>Ce.R.As.A.E</t>
  </si>
  <si>
    <t>SAL 4</t>
  </si>
  <si>
    <t>Apima Salento</t>
  </si>
  <si>
    <t>IV</t>
  </si>
  <si>
    <t>Fortunato Tania - Quarta Andrea</t>
  </si>
  <si>
    <t xml:space="preserve">Giannaccari Salvatore </t>
  </si>
  <si>
    <t>Incarico Professionale</t>
  </si>
  <si>
    <t>DR.Colonna</t>
  </si>
  <si>
    <t>assegno</t>
  </si>
  <si>
    <t>219/2005</t>
  </si>
  <si>
    <t>220/2005</t>
  </si>
  <si>
    <t>programma SILA</t>
  </si>
  <si>
    <t>S.Pavone</t>
  </si>
  <si>
    <t>02-B-2006</t>
  </si>
  <si>
    <t>Piattaforma Portale</t>
  </si>
  <si>
    <t>90/2006</t>
  </si>
  <si>
    <t>Competenze Tenuta contabilità</t>
  </si>
  <si>
    <t>Rag.Scardino</t>
  </si>
  <si>
    <t>Cancelleria</t>
  </si>
  <si>
    <t>De Giorgi</t>
  </si>
  <si>
    <t>Assegno Bancario</t>
  </si>
  <si>
    <t xml:space="preserve"> 31/07/2006</t>
  </si>
  <si>
    <t>I prospetti riepilogativi del personale vanno ripresentati con le firme dei legali rappresentanti.</t>
  </si>
  <si>
    <t>V</t>
  </si>
  <si>
    <t>Quarta Andrea</t>
  </si>
  <si>
    <t>190/2006</t>
  </si>
  <si>
    <t>191/2006</t>
  </si>
  <si>
    <t>91/2006</t>
  </si>
  <si>
    <t>Schede carburanti GEN-MAR</t>
  </si>
  <si>
    <t>Ce.R.As.A.E.</t>
  </si>
  <si>
    <t>Schede carburanti APR-GIU</t>
  </si>
  <si>
    <t>Schede carburanti LUG-SETT.</t>
  </si>
  <si>
    <t>Schede carburanti OTT.-DIC.</t>
  </si>
  <si>
    <t>Compartecipazione utenze</t>
  </si>
  <si>
    <t>C ipas</t>
  </si>
  <si>
    <t>Canoni sub locazione 2006</t>
  </si>
  <si>
    <t>PERIODO SAL 5 - 01/08/2006 - 31/12/2006</t>
  </si>
  <si>
    <t>TOT SAL 5</t>
  </si>
  <si>
    <t>Fotocopia documento non chiara</t>
  </si>
  <si>
    <t>Integrazione sul III sal</t>
  </si>
  <si>
    <t>Importo ammesso su I° sal</t>
  </si>
  <si>
    <t>Importo ammesso su II° sal</t>
  </si>
  <si>
    <t>Importo ammesso su sal precedente</t>
  </si>
  <si>
    <t>SAL 5</t>
  </si>
  <si>
    <t>SAL 5 - 01/08/2006-31/12/2006</t>
  </si>
  <si>
    <t>anticipazione</t>
  </si>
  <si>
    <t>VI</t>
  </si>
  <si>
    <t>Quarta Andrea
Conte Maurizio</t>
  </si>
  <si>
    <t>Non è chiaro ne l'aliquota ne il n.ro delle ore rendicontate.
Esiste un nuovo contratto per Quarta??
Cosa centra Conte con APIMA??</t>
  </si>
  <si>
    <t>Non è chiaro ne l'aliquota ne il n.ro delle ore rendicontate.
Mancano le dich. Su aliquote orarie</t>
  </si>
  <si>
    <t>53/2007</t>
  </si>
  <si>
    <t>15/05/200</t>
  </si>
  <si>
    <t>elaborazione dati consulenza</t>
  </si>
  <si>
    <t>55/2007</t>
  </si>
  <si>
    <t>PROGR. SILA E SILTI</t>
  </si>
  <si>
    <t>ing.Pavone</t>
  </si>
  <si>
    <t>149/2007</t>
  </si>
  <si>
    <t xml:space="preserve">saldo impianto sistema </t>
  </si>
  <si>
    <t>içt</t>
  </si>
  <si>
    <t>54/2007</t>
  </si>
  <si>
    <t>bonifico bancario</t>
  </si>
  <si>
    <t xml:space="preserve">server </t>
  </si>
  <si>
    <t>hitek</t>
  </si>
  <si>
    <t>fidejussione 3° rata</t>
  </si>
  <si>
    <t>Saldo consulenza</t>
  </si>
  <si>
    <t>Ok Gnoni in II fascia, ma il c.v. di Ciardo non evidenzia ne l'epoca in cui datare l'inizio dell'esperienza lavorativa, ne se è dipendente della I&amp;T.</t>
  </si>
  <si>
    <t>Canone 05/07-04/08 ??
Progr. Sila e Silti ??</t>
  </si>
  <si>
    <r>
      <t xml:space="preserve">Decurtate le tasse non ammissibili. La dimostraziore del pagamento si riferisce allo </t>
    </r>
    <r>
      <rPr>
        <b/>
        <sz val="8"/>
        <rFont val="Arial"/>
        <family val="2"/>
      </rPr>
      <t>studio Pennetta srl ??</t>
    </r>
  </si>
  <si>
    <t>PERIODO SAL 6 - 01/01/2007 - 01/07/2007</t>
  </si>
  <si>
    <t>progetto di 36 + 6 mesi</t>
  </si>
  <si>
    <t>TOT SAL 6</t>
  </si>
  <si>
    <t>SAL 6</t>
  </si>
  <si>
    <t>SAL 6 - 01/01/2007-01/07/2007</t>
  </si>
  <si>
    <t>02/01/04-02/01/05 -02/01/05-02/05/05 - 02/05/05-16/11/05 - 17/11/05-31/07/06 - 01/08/06-31/12/06 (tutti non firmati) 01/01/07-01/07/07</t>
  </si>
  <si>
    <t>Piani Dettagliati di Attuazione</t>
  </si>
  <si>
    <t>attività 1-2-3-4-5</t>
  </si>
  <si>
    <t>Michele Divella</t>
  </si>
  <si>
    <t>Ammissione su IV sal</t>
  </si>
  <si>
    <t>Ammesso col  VI sal</t>
  </si>
  <si>
    <t>Dipendente</t>
  </si>
  <si>
    <t>feb.</t>
  </si>
  <si>
    <t>mar</t>
  </si>
  <si>
    <t>apr</t>
  </si>
  <si>
    <t>mag</t>
  </si>
  <si>
    <t>giu</t>
  </si>
  <si>
    <t>lug</t>
  </si>
  <si>
    <t>ago</t>
  </si>
  <si>
    <t>set</t>
  </si>
  <si>
    <t>ott</t>
  </si>
  <si>
    <t>nov</t>
  </si>
  <si>
    <t>dic</t>
  </si>
  <si>
    <t>Aliquota</t>
  </si>
  <si>
    <t>Importo</t>
  </si>
  <si>
    <t>NOME</t>
  </si>
  <si>
    <t>n. ore</t>
  </si>
  <si>
    <t>ore</t>
  </si>
  <si>
    <t>oraria</t>
  </si>
  <si>
    <t>addeb. In euro</t>
  </si>
  <si>
    <t>COLONNA</t>
  </si>
  <si>
    <t>GIANNACCARI</t>
  </si>
  <si>
    <t>CONTE</t>
  </si>
  <si>
    <t>SICILIANO</t>
  </si>
  <si>
    <t>DE PASCA</t>
  </si>
  <si>
    <t>nov'05</t>
  </si>
  <si>
    <t>dic'05</t>
  </si>
  <si>
    <t>Gen.'06</t>
  </si>
  <si>
    <t>FORTUNATO</t>
  </si>
  <si>
    <t>QUARTA</t>
  </si>
  <si>
    <t>X</t>
  </si>
  <si>
    <t>x</t>
  </si>
  <si>
    <t>v</t>
  </si>
  <si>
    <t>ago'06</t>
  </si>
  <si>
    <t>Gen.'07</t>
  </si>
  <si>
    <t>Gen,'04</t>
  </si>
  <si>
    <t>Legale rappresentante: Salvatore Giannoccari</t>
  </si>
  <si>
    <t>Sede: Via San Pietro in Lama, 97</t>
  </si>
  <si>
    <t>73010 Lequile</t>
  </si>
  <si>
    <t>Riferimenti telefonici: 0832-263069 3471758993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</si>
</sst>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"/>
    <numFmt numFmtId="171" formatCode="_-* #,##0.00_-;\-* #,##0.00_-;_-* &quot;-&quot;_-;_-@_-"/>
    <numFmt numFmtId="172" formatCode="#,##0.00_ ;\-#,##0.00\ "/>
    <numFmt numFmtId="173" formatCode="mmm\-yyyy"/>
    <numFmt numFmtId="174" formatCode="0.0"/>
    <numFmt numFmtId="175" formatCode="&quot;Sì&quot;;&quot;Sì&quot;;&quot;No&quot;"/>
    <numFmt numFmtId="176" formatCode="&quot;Vero&quot;;&quot;Vero&quot;;&quot;Falso&quot;"/>
    <numFmt numFmtId="177" formatCode="&quot;Attivo&quot;;&quot;Attivo&quot;;&quot;Disattivo&quot;"/>
    <numFmt numFmtId="178" formatCode="[$€-2]\ #.##000_);[Red]\([$€-2]\ #.##000\)"/>
    <numFmt numFmtId="179" formatCode="[$-410]dddd\ d\ mmmm\ yyyy"/>
    <numFmt numFmtId="180" formatCode="mmmm\-yy"/>
  </numFmts>
  <fonts count="20">
    <font>
      <sz val="10"/>
      <name val="Arial"/>
      <family val="0"/>
    </font>
    <font>
      <b/>
      <sz val="8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color indexed="8"/>
      <name val="Arial"/>
      <family val="2"/>
    </font>
    <font>
      <b/>
      <sz val="8"/>
      <color indexed="20"/>
      <name val="Arial"/>
      <family val="2"/>
    </font>
    <font>
      <b/>
      <sz val="6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10"/>
      <name val="Tahoma"/>
      <family val="2"/>
    </font>
    <font>
      <sz val="8"/>
      <name val="Tahoma"/>
      <family val="2"/>
    </font>
    <font>
      <sz val="8"/>
      <color indexed="8"/>
      <name val="Tahoma"/>
      <family val="2"/>
    </font>
    <font>
      <b/>
      <sz val="10"/>
      <name val="Tahoma"/>
      <family val="2"/>
    </font>
    <font>
      <b/>
      <sz val="8"/>
      <name val="Tahoma"/>
      <family val="0"/>
    </font>
    <font>
      <sz val="10"/>
      <name val="MS Sans Serif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19" fillId="0" borderId="0" applyFont="0" applyFill="0" applyBorder="0" applyAlignment="0" applyProtection="0"/>
    <xf numFmtId="0" fontId="19" fillId="0" borderId="0">
      <alignment/>
      <protection/>
    </xf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1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4" fontId="4" fillId="0" borderId="1" xfId="0" applyNumberFormat="1" applyFont="1" applyBorder="1" applyAlignment="1">
      <alignment/>
    </xf>
    <xf numFmtId="4" fontId="5" fillId="0" borderId="2" xfId="0" applyNumberFormat="1" applyFont="1" applyBorder="1" applyAlignment="1">
      <alignment/>
    </xf>
    <xf numFmtId="4" fontId="6" fillId="0" borderId="2" xfId="0" applyNumberFormat="1" applyFont="1" applyBorder="1" applyAlignment="1">
      <alignment/>
    </xf>
    <xf numFmtId="4" fontId="7" fillId="0" borderId="2" xfId="0" applyNumberFormat="1" applyFont="1" applyBorder="1" applyAlignment="1">
      <alignment/>
    </xf>
    <xf numFmtId="0" fontId="8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/>
    </xf>
    <xf numFmtId="14" fontId="3" fillId="0" borderId="2" xfId="0" applyNumberFormat="1" applyFont="1" applyBorder="1" applyAlignment="1">
      <alignment/>
    </xf>
    <xf numFmtId="14" fontId="3" fillId="0" borderId="2" xfId="0" applyNumberFormat="1" applyFont="1" applyBorder="1" applyAlignment="1">
      <alignment/>
    </xf>
    <xf numFmtId="4" fontId="3" fillId="0" borderId="2" xfId="0" applyNumberFormat="1" applyFont="1" applyBorder="1" applyAlignment="1">
      <alignment/>
    </xf>
    <xf numFmtId="0" fontId="3" fillId="0" borderId="2" xfId="0" applyFont="1" applyBorder="1" applyAlignment="1">
      <alignment wrapText="1"/>
    </xf>
    <xf numFmtId="14" fontId="3" fillId="0" borderId="2" xfId="0" applyNumberFormat="1" applyFont="1" applyBorder="1" applyAlignment="1">
      <alignment wrapText="1"/>
    </xf>
    <xf numFmtId="14" fontId="3" fillId="0" borderId="2" xfId="0" applyNumberFormat="1" applyFont="1" applyBorder="1" applyAlignment="1">
      <alignment horizontal="center"/>
    </xf>
    <xf numFmtId="170" fontId="3" fillId="0" borderId="2" xfId="0" applyNumberFormat="1" applyFont="1" applyBorder="1" applyAlignment="1">
      <alignment/>
    </xf>
    <xf numFmtId="0" fontId="3" fillId="2" borderId="2" xfId="0" applyFont="1" applyFill="1" applyBorder="1" applyAlignment="1">
      <alignment/>
    </xf>
    <xf numFmtId="0" fontId="3" fillId="2" borderId="2" xfId="0" applyFont="1" applyFill="1" applyBorder="1" applyAlignment="1">
      <alignment wrapText="1"/>
    </xf>
    <xf numFmtId="0" fontId="3" fillId="2" borderId="2" xfId="0" applyFont="1" applyFill="1" applyBorder="1" applyAlignment="1">
      <alignment horizontal="center"/>
    </xf>
    <xf numFmtId="14" fontId="3" fillId="2" borderId="2" xfId="0" applyNumberFormat="1" applyFont="1" applyFill="1" applyBorder="1" applyAlignment="1">
      <alignment horizontal="center"/>
    </xf>
    <xf numFmtId="14" fontId="3" fillId="0" borderId="2" xfId="0" applyNumberFormat="1" applyFont="1" applyBorder="1" applyAlignment="1">
      <alignment horizontal="justify" wrapText="1"/>
    </xf>
    <xf numFmtId="171" fontId="3" fillId="2" borderId="2" xfId="18" applyNumberFormat="1" applyFont="1" applyFill="1" applyBorder="1" applyAlignment="1">
      <alignment horizontal="right"/>
    </xf>
    <xf numFmtId="171" fontId="3" fillId="0" borderId="2" xfId="18" applyNumberFormat="1" applyFont="1" applyBorder="1" applyAlignment="1">
      <alignment horizontal="right"/>
    </xf>
    <xf numFmtId="0" fontId="3" fillId="2" borderId="2" xfId="0" applyFont="1" applyFill="1" applyBorder="1" applyAlignment="1">
      <alignment/>
    </xf>
    <xf numFmtId="14" fontId="3" fillId="0" borderId="2" xfId="0" applyNumberFormat="1" applyFont="1" applyFill="1" applyBorder="1" applyAlignment="1">
      <alignment wrapText="1"/>
    </xf>
    <xf numFmtId="2" fontId="3" fillId="0" borderId="2" xfId="0" applyNumberFormat="1" applyFont="1" applyBorder="1" applyAlignment="1">
      <alignment/>
    </xf>
    <xf numFmtId="0" fontId="3" fillId="3" borderId="3" xfId="0" applyFont="1" applyFill="1" applyBorder="1" applyAlignment="1">
      <alignment horizontal="center"/>
    </xf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/>
    </xf>
    <xf numFmtId="4" fontId="3" fillId="0" borderId="2" xfId="0" applyNumberFormat="1" applyFont="1" applyFill="1" applyBorder="1" applyAlignment="1">
      <alignment/>
    </xf>
    <xf numFmtId="4" fontId="1" fillId="0" borderId="0" xfId="0" applyNumberFormat="1" applyFont="1" applyBorder="1" applyAlignment="1">
      <alignment wrapText="1"/>
    </xf>
    <xf numFmtId="14" fontId="3" fillId="0" borderId="2" xfId="0" applyNumberFormat="1" applyFont="1" applyFill="1" applyBorder="1" applyAlignment="1">
      <alignment horizontal="center" wrapText="1"/>
    </xf>
    <xf numFmtId="4" fontId="1" fillId="3" borderId="3" xfId="0" applyNumberFormat="1" applyFont="1" applyFill="1" applyBorder="1" applyAlignment="1">
      <alignment horizontal="center"/>
    </xf>
    <xf numFmtId="4" fontId="1" fillId="3" borderId="4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/>
    </xf>
    <xf numFmtId="4" fontId="9" fillId="0" borderId="5" xfId="0" applyNumberFormat="1" applyFont="1" applyBorder="1" applyAlignment="1">
      <alignment horizontal="left"/>
    </xf>
    <xf numFmtId="4" fontId="9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 horizontal="left"/>
    </xf>
    <xf numFmtId="14" fontId="9" fillId="0" borderId="0" xfId="0" applyNumberFormat="1" applyFont="1" applyBorder="1" applyAlignment="1">
      <alignment horizontal="left"/>
    </xf>
    <xf numFmtId="14" fontId="9" fillId="0" borderId="0" xfId="0" applyNumberFormat="1" applyFont="1" applyBorder="1" applyAlignment="1">
      <alignment/>
    </xf>
    <xf numFmtId="0" fontId="1" fillId="3" borderId="6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" fontId="4" fillId="0" borderId="0" xfId="0" applyNumberFormat="1" applyFont="1" applyBorder="1" applyAlignment="1" applyProtection="1">
      <alignment horizontal="right"/>
      <protection/>
    </xf>
    <xf numFmtId="4" fontId="5" fillId="0" borderId="0" xfId="0" applyNumberFormat="1" applyFont="1" applyBorder="1" applyAlignment="1" applyProtection="1">
      <alignment horizontal="right"/>
      <protection/>
    </xf>
    <xf numFmtId="4" fontId="5" fillId="0" borderId="5" xfId="0" applyNumberFormat="1" applyFont="1" applyBorder="1" applyAlignment="1" applyProtection="1">
      <alignment horizontal="right"/>
      <protection/>
    </xf>
    <xf numFmtId="4" fontId="5" fillId="0" borderId="7" xfId="0" applyNumberFormat="1" applyFont="1" applyBorder="1" applyAlignment="1" applyProtection="1">
      <alignment horizontal="right"/>
      <protection/>
    </xf>
    <xf numFmtId="4" fontId="7" fillId="0" borderId="8" xfId="0" applyNumberFormat="1" applyFont="1" applyBorder="1" applyAlignment="1" applyProtection="1">
      <alignment horizontal="right"/>
      <protection/>
    </xf>
    <xf numFmtId="4" fontId="7" fillId="0" borderId="9" xfId="0" applyNumberFormat="1" applyFont="1" applyBorder="1" applyAlignment="1" applyProtection="1">
      <alignment horizontal="right"/>
      <protection/>
    </xf>
    <xf numFmtId="4" fontId="7" fillId="0" borderId="10" xfId="0" applyNumberFormat="1" applyFont="1" applyBorder="1" applyAlignment="1" applyProtection="1">
      <alignment horizontal="right"/>
      <protection/>
    </xf>
    <xf numFmtId="4" fontId="1" fillId="3" borderId="11" xfId="0" applyNumberFormat="1" applyFont="1" applyFill="1" applyBorder="1" applyAlignment="1">
      <alignment horizontal="center"/>
    </xf>
    <xf numFmtId="4" fontId="1" fillId="3" borderId="12" xfId="0" applyNumberFormat="1" applyFont="1" applyFill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4" fontId="4" fillId="0" borderId="2" xfId="0" applyNumberFormat="1" applyFont="1" applyBorder="1" applyAlignment="1">
      <alignment/>
    </xf>
    <xf numFmtId="0" fontId="7" fillId="0" borderId="0" xfId="0" applyFont="1" applyBorder="1" applyAlignment="1">
      <alignment/>
    </xf>
    <xf numFmtId="4" fontId="1" fillId="3" borderId="2" xfId="0" applyNumberFormat="1" applyFont="1" applyFill="1" applyBorder="1" applyAlignment="1">
      <alignment horizontal="center"/>
    </xf>
    <xf numFmtId="4" fontId="4" fillId="0" borderId="5" xfId="0" applyNumberFormat="1" applyFont="1" applyBorder="1" applyAlignment="1" applyProtection="1">
      <alignment horizontal="right"/>
      <protection/>
    </xf>
    <xf numFmtId="4" fontId="4" fillId="0" borderId="7" xfId="0" applyNumberFormat="1" applyFont="1" applyBorder="1" applyAlignment="1" applyProtection="1">
      <alignment horizontal="right"/>
      <protection/>
    </xf>
    <xf numFmtId="4" fontId="1" fillId="0" borderId="2" xfId="0" applyNumberFormat="1" applyFont="1" applyBorder="1" applyAlignment="1">
      <alignment horizontal="center"/>
    </xf>
    <xf numFmtId="4" fontId="2" fillId="0" borderId="5" xfId="0" applyNumberFormat="1" applyFont="1" applyBorder="1" applyAlignment="1">
      <alignment horizontal="left"/>
    </xf>
    <xf numFmtId="4" fontId="2" fillId="0" borderId="0" xfId="0" applyNumberFormat="1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3" borderId="6" xfId="0" applyFont="1" applyFill="1" applyBorder="1" applyAlignment="1">
      <alignment/>
    </xf>
    <xf numFmtId="0" fontId="1" fillId="0" borderId="2" xfId="0" applyFont="1" applyBorder="1" applyAlignment="1">
      <alignment/>
    </xf>
    <xf numFmtId="4" fontId="9" fillId="0" borderId="2" xfId="0" applyNumberFormat="1" applyFont="1" applyBorder="1" applyAlignment="1">
      <alignment/>
    </xf>
    <xf numFmtId="0" fontId="1" fillId="3" borderId="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wrapText="1"/>
    </xf>
    <xf numFmtId="4" fontId="5" fillId="0" borderId="13" xfId="0" applyNumberFormat="1" applyFont="1" applyBorder="1" applyAlignment="1" applyProtection="1">
      <alignment horizontal="right"/>
      <protection/>
    </xf>
    <xf numFmtId="4" fontId="5" fillId="0" borderId="14" xfId="0" applyNumberFormat="1" applyFont="1" applyBorder="1" applyAlignment="1" applyProtection="1">
      <alignment horizontal="right"/>
      <protection/>
    </xf>
    <xf numFmtId="43" fontId="3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left"/>
    </xf>
    <xf numFmtId="4" fontId="4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14" fontId="2" fillId="0" borderId="0" xfId="0" applyNumberFormat="1" applyFont="1" applyBorder="1" applyAlignment="1">
      <alignment/>
    </xf>
    <xf numFmtId="16" fontId="3" fillId="0" borderId="2" xfId="0" applyNumberFormat="1" applyFont="1" applyBorder="1" applyAlignment="1" quotePrefix="1">
      <alignment horizontal="center"/>
    </xf>
    <xf numFmtId="2" fontId="3" fillId="0" borderId="0" xfId="0" applyNumberFormat="1" applyFont="1" applyBorder="1" applyAlignment="1">
      <alignment wrapText="1"/>
    </xf>
    <xf numFmtId="0" fontId="3" fillId="0" borderId="2" xfId="0" applyFont="1" applyBorder="1" applyAlignment="1" applyProtection="1">
      <alignment/>
      <protection locked="0"/>
    </xf>
    <xf numFmtId="0" fontId="1" fillId="0" borderId="2" xfId="0" applyFont="1" applyBorder="1" applyAlignment="1" applyProtection="1">
      <alignment/>
      <protection locked="0"/>
    </xf>
    <xf numFmtId="4" fontId="3" fillId="0" borderId="2" xfId="0" applyNumberFormat="1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3" fillId="0" borderId="2" xfId="0" applyFont="1" applyBorder="1" applyAlignment="1">
      <alignment/>
    </xf>
    <xf numFmtId="14" fontId="3" fillId="0" borderId="2" xfId="0" applyNumberFormat="1" applyFont="1" applyBorder="1" applyAlignment="1" applyProtection="1">
      <alignment/>
      <protection locked="0"/>
    </xf>
    <xf numFmtId="0" fontId="3" fillId="0" borderId="2" xfId="0" applyFont="1" applyBorder="1" applyAlignment="1">
      <alignment horizontal="right"/>
    </xf>
    <xf numFmtId="14" fontId="3" fillId="0" borderId="2" xfId="0" applyNumberFormat="1" applyFont="1" applyBorder="1" applyAlignment="1" quotePrefix="1">
      <alignment horizontal="right"/>
    </xf>
    <xf numFmtId="16" fontId="3" fillId="0" borderId="2" xfId="0" applyNumberFormat="1" applyFont="1" applyBorder="1" applyAlignment="1" applyProtection="1" quotePrefix="1">
      <alignment/>
      <protection locked="0"/>
    </xf>
    <xf numFmtId="4" fontId="9" fillId="0" borderId="0" xfId="0" applyNumberFormat="1" applyFont="1" applyBorder="1" applyAlignment="1">
      <alignment horizontal="right"/>
    </xf>
    <xf numFmtId="4" fontId="4" fillId="0" borderId="11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/>
    </xf>
    <xf numFmtId="4" fontId="9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5" fillId="0" borderId="4" xfId="0" applyNumberFormat="1" applyFont="1" applyBorder="1" applyAlignment="1">
      <alignment/>
    </xf>
    <xf numFmtId="4" fontId="3" fillId="0" borderId="15" xfId="0" applyNumberFormat="1" applyFont="1" applyBorder="1" applyAlignment="1">
      <alignment/>
    </xf>
    <xf numFmtId="4" fontId="3" fillId="0" borderId="8" xfId="0" applyNumberFormat="1" applyFont="1" applyBorder="1" applyAlignment="1">
      <alignment/>
    </xf>
    <xf numFmtId="0" fontId="10" fillId="0" borderId="2" xfId="0" applyFont="1" applyBorder="1" applyAlignment="1">
      <alignment horizontal="center" vertical="center" wrapText="1"/>
    </xf>
    <xf numFmtId="0" fontId="9" fillId="4" borderId="0" xfId="0" applyFont="1" applyFill="1" applyBorder="1" applyAlignment="1">
      <alignment/>
    </xf>
    <xf numFmtId="4" fontId="4" fillId="4" borderId="1" xfId="0" applyNumberFormat="1" applyFont="1" applyFill="1" applyBorder="1" applyAlignment="1" applyProtection="1">
      <alignment horizontal="right"/>
      <protection/>
    </xf>
    <xf numFmtId="4" fontId="5" fillId="4" borderId="3" xfId="0" applyNumberFormat="1" applyFont="1" applyFill="1" applyBorder="1" applyAlignment="1" applyProtection="1">
      <alignment horizontal="right"/>
      <protection/>
    </xf>
    <xf numFmtId="4" fontId="7" fillId="4" borderId="3" xfId="0" applyNumberFormat="1" applyFont="1" applyFill="1" applyBorder="1" applyAlignment="1" applyProtection="1">
      <alignment horizontal="right"/>
      <protection/>
    </xf>
    <xf numFmtId="0" fontId="8" fillId="4" borderId="2" xfId="0" applyFont="1" applyFill="1" applyBorder="1" applyAlignment="1">
      <alignment horizontal="center" vertical="center" wrapText="1"/>
    </xf>
    <xf numFmtId="4" fontId="3" fillId="4" borderId="2" xfId="0" applyNumberFormat="1" applyFont="1" applyFill="1" applyBorder="1" applyAlignment="1">
      <alignment/>
    </xf>
    <xf numFmtId="0" fontId="3" fillId="4" borderId="0" xfId="0" applyFont="1" applyFill="1" applyBorder="1" applyAlignment="1">
      <alignment/>
    </xf>
    <xf numFmtId="4" fontId="4" fillId="4" borderId="2" xfId="0" applyNumberFormat="1" applyFont="1" applyFill="1" applyBorder="1" applyAlignment="1" applyProtection="1">
      <alignment horizontal="right"/>
      <protection/>
    </xf>
    <xf numFmtId="4" fontId="5" fillId="4" borderId="2" xfId="0" applyNumberFormat="1" applyFont="1" applyFill="1" applyBorder="1" applyAlignment="1" applyProtection="1">
      <alignment horizontal="right"/>
      <protection/>
    </xf>
    <xf numFmtId="4" fontId="7" fillId="4" borderId="2" xfId="0" applyNumberFormat="1" applyFont="1" applyFill="1" applyBorder="1" applyAlignment="1" applyProtection="1">
      <alignment horizontal="right"/>
      <protection/>
    </xf>
    <xf numFmtId="4" fontId="3" fillId="4" borderId="2" xfId="0" applyNumberFormat="1" applyFont="1" applyFill="1" applyBorder="1" applyAlignment="1" applyProtection="1">
      <alignment/>
      <protection locked="0"/>
    </xf>
    <xf numFmtId="4" fontId="4" fillId="4" borderId="9" xfId="0" applyNumberFormat="1" applyFont="1" applyFill="1" applyBorder="1" applyAlignment="1" applyProtection="1">
      <alignment horizontal="right"/>
      <protection/>
    </xf>
    <xf numFmtId="171" fontId="3" fillId="4" borderId="2" xfId="18" applyNumberFormat="1" applyFont="1" applyFill="1" applyBorder="1" applyAlignment="1">
      <alignment horizontal="right"/>
    </xf>
    <xf numFmtId="4" fontId="9" fillId="4" borderId="2" xfId="0" applyNumberFormat="1" applyFont="1" applyFill="1" applyBorder="1" applyAlignment="1">
      <alignment/>
    </xf>
    <xf numFmtId="4" fontId="4" fillId="4" borderId="1" xfId="0" applyNumberFormat="1" applyFont="1" applyFill="1" applyBorder="1" applyAlignment="1">
      <alignment/>
    </xf>
    <xf numFmtId="4" fontId="5" fillId="4" borderId="2" xfId="0" applyNumberFormat="1" applyFont="1" applyFill="1" applyBorder="1" applyAlignment="1">
      <alignment/>
    </xf>
    <xf numFmtId="4" fontId="7" fillId="4" borderId="2" xfId="0" applyNumberFormat="1" applyFont="1" applyFill="1" applyBorder="1" applyAlignment="1">
      <alignment/>
    </xf>
    <xf numFmtId="4" fontId="4" fillId="4" borderId="0" xfId="0" applyNumberFormat="1" applyFont="1" applyFill="1" applyBorder="1" applyAlignment="1">
      <alignment/>
    </xf>
    <xf numFmtId="4" fontId="5" fillId="4" borderId="4" xfId="0" applyNumberFormat="1" applyFont="1" applyFill="1" applyBorder="1" applyAlignment="1">
      <alignment/>
    </xf>
    <xf numFmtId="4" fontId="3" fillId="4" borderId="15" xfId="0" applyNumberFormat="1" applyFont="1" applyFill="1" applyBorder="1" applyAlignment="1">
      <alignment/>
    </xf>
    <xf numFmtId="4" fontId="3" fillId="4" borderId="8" xfId="0" applyNumberFormat="1" applyFont="1" applyFill="1" applyBorder="1" applyAlignment="1">
      <alignment/>
    </xf>
    <xf numFmtId="4" fontId="1" fillId="0" borderId="15" xfId="0" applyNumberFormat="1" applyFont="1" applyBorder="1" applyAlignment="1" applyProtection="1">
      <alignment vertical="center" wrapText="1"/>
      <protection locked="0"/>
    </xf>
    <xf numFmtId="0" fontId="1" fillId="0" borderId="12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5" xfId="0" applyFont="1" applyBorder="1" applyAlignment="1" applyProtection="1">
      <alignment vertical="center" wrapText="1"/>
      <protection locked="0"/>
    </xf>
    <xf numFmtId="0" fontId="1" fillId="0" borderId="12" xfId="0" applyFont="1" applyBorder="1" applyAlignment="1" applyProtection="1">
      <alignment vertical="center" wrapText="1"/>
      <protection locked="0"/>
    </xf>
    <xf numFmtId="0" fontId="1" fillId="0" borderId="5" xfId="0" applyFont="1" applyBorder="1" applyAlignment="1" applyProtection="1">
      <alignment vertical="center" wrapText="1"/>
      <protection locked="0"/>
    </xf>
    <xf numFmtId="0" fontId="1" fillId="0" borderId="7" xfId="0" applyFont="1" applyBorder="1" applyAlignment="1" applyProtection="1">
      <alignment vertical="center" wrapText="1"/>
      <protection locked="0"/>
    </xf>
    <xf numFmtId="0" fontId="1" fillId="0" borderId="8" xfId="0" applyFont="1" applyBorder="1" applyAlignment="1" applyProtection="1">
      <alignment vertical="center" wrapText="1"/>
      <protection locked="0"/>
    </xf>
    <xf numFmtId="0" fontId="1" fillId="0" borderId="10" xfId="0" applyFont="1" applyBorder="1" applyAlignment="1" applyProtection="1">
      <alignment vertical="center" wrapText="1"/>
      <protection locked="0"/>
    </xf>
    <xf numFmtId="0" fontId="11" fillId="0" borderId="0" xfId="15" applyAlignment="1">
      <alignment/>
    </xf>
    <xf numFmtId="0" fontId="3" fillId="0" borderId="6" xfId="0" applyFont="1" applyBorder="1" applyAlignment="1">
      <alignment/>
    </xf>
    <xf numFmtId="3" fontId="3" fillId="0" borderId="2" xfId="0" applyNumberFormat="1" applyFont="1" applyBorder="1" applyAlignment="1">
      <alignment/>
    </xf>
    <xf numFmtId="4" fontId="3" fillId="0" borderId="2" xfId="0" applyNumberFormat="1" applyFont="1" applyBorder="1" applyAlignment="1">
      <alignment horizontal="right"/>
    </xf>
    <xf numFmtId="2" fontId="3" fillId="0" borderId="2" xfId="0" applyNumberFormat="1" applyFont="1" applyBorder="1" applyAlignment="1">
      <alignment horizontal="right"/>
    </xf>
    <xf numFmtId="4" fontId="3" fillId="4" borderId="2" xfId="0" applyNumberFormat="1" applyFont="1" applyFill="1" applyBorder="1" applyAlignment="1">
      <alignment horizontal="right"/>
    </xf>
    <xf numFmtId="4" fontId="9" fillId="0" borderId="0" xfId="0" applyNumberFormat="1" applyFont="1" applyBorder="1" applyAlignment="1">
      <alignment wrapText="1"/>
    </xf>
    <xf numFmtId="0" fontId="1" fillId="5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/>
    </xf>
    <xf numFmtId="0" fontId="3" fillId="5" borderId="2" xfId="0" applyFont="1" applyFill="1" applyBorder="1" applyAlignment="1">
      <alignment wrapText="1"/>
    </xf>
    <xf numFmtId="14" fontId="3" fillId="5" borderId="2" xfId="0" applyNumberFormat="1" applyFont="1" applyFill="1" applyBorder="1" applyAlignment="1">
      <alignment/>
    </xf>
    <xf numFmtId="14" fontId="3" fillId="5" borderId="2" xfId="0" applyNumberFormat="1" applyFont="1" applyFill="1" applyBorder="1" applyAlignment="1">
      <alignment/>
    </xf>
    <xf numFmtId="4" fontId="3" fillId="5" borderId="2" xfId="0" applyNumberFormat="1" applyFont="1" applyFill="1" applyBorder="1" applyAlignment="1">
      <alignment/>
    </xf>
    <xf numFmtId="0" fontId="3" fillId="5" borderId="15" xfId="0" applyFont="1" applyFill="1" applyBorder="1" applyAlignment="1">
      <alignment horizontal="left" wrapText="1"/>
    </xf>
    <xf numFmtId="0" fontId="3" fillId="5" borderId="12" xfId="0" applyFont="1" applyFill="1" applyBorder="1" applyAlignment="1">
      <alignment horizontal="left" wrapText="1"/>
    </xf>
    <xf numFmtId="0" fontId="3" fillId="5" borderId="0" xfId="0" applyFont="1" applyFill="1" applyBorder="1" applyAlignment="1">
      <alignment wrapText="1"/>
    </xf>
    <xf numFmtId="0" fontId="3" fillId="5" borderId="0" xfId="0" applyFont="1" applyFill="1" applyBorder="1" applyAlignment="1">
      <alignment/>
    </xf>
    <xf numFmtId="171" fontId="3" fillId="5" borderId="2" xfId="18" applyNumberFormat="1" applyFont="1" applyFill="1" applyBorder="1" applyAlignment="1">
      <alignment horizontal="right"/>
    </xf>
    <xf numFmtId="0" fontId="3" fillId="5" borderId="2" xfId="0" applyFont="1" applyFill="1" applyBorder="1" applyAlignment="1">
      <alignment/>
    </xf>
    <xf numFmtId="14" fontId="3" fillId="5" borderId="2" xfId="0" applyNumberFormat="1" applyFont="1" applyFill="1" applyBorder="1" applyAlignment="1">
      <alignment horizontal="center"/>
    </xf>
    <xf numFmtId="14" fontId="3" fillId="5" borderId="2" xfId="0" applyNumberFormat="1" applyFont="1" applyFill="1" applyBorder="1" applyAlignment="1">
      <alignment horizontal="justify" wrapText="1"/>
    </xf>
    <xf numFmtId="0" fontId="3" fillId="5" borderId="2" xfId="0" applyFont="1" applyFill="1" applyBorder="1" applyAlignment="1">
      <alignment horizontal="right"/>
    </xf>
    <xf numFmtId="2" fontId="3" fillId="5" borderId="2" xfId="0" applyNumberFormat="1" applyFont="1" applyFill="1" applyBorder="1" applyAlignment="1">
      <alignment/>
    </xf>
    <xf numFmtId="0" fontId="3" fillId="5" borderId="6" xfId="0" applyFont="1" applyFill="1" applyBorder="1" applyAlignment="1">
      <alignment horizontal="left" wrapText="1"/>
    </xf>
    <xf numFmtId="0" fontId="3" fillId="5" borderId="4" xfId="0" applyFont="1" applyFill="1" applyBorder="1" applyAlignment="1">
      <alignment horizontal="left" wrapText="1"/>
    </xf>
    <xf numFmtId="0" fontId="3" fillId="5" borderId="15" xfId="0" applyFont="1" applyFill="1" applyBorder="1" applyAlignment="1">
      <alignment horizontal="center" wrapText="1"/>
    </xf>
    <xf numFmtId="0" fontId="3" fillId="5" borderId="12" xfId="0" applyFont="1" applyFill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0" fontId="3" fillId="0" borderId="11" xfId="0" applyNumberFormat="1" applyFont="1" applyBorder="1" applyAlignment="1">
      <alignment horizontal="center"/>
    </xf>
    <xf numFmtId="10" fontId="9" fillId="0" borderId="0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/>
    </xf>
    <xf numFmtId="4" fontId="4" fillId="4" borderId="2" xfId="0" applyNumberFormat="1" applyFont="1" applyFill="1" applyBorder="1" applyAlignment="1">
      <alignment/>
    </xf>
    <xf numFmtId="171" fontId="3" fillId="0" borderId="2" xfId="18" applyNumberFormat="1" applyFont="1" applyBorder="1" applyAlignment="1">
      <alignment horizontal="left"/>
    </xf>
    <xf numFmtId="9" fontId="5" fillId="0" borderId="7" xfId="0" applyNumberFormat="1" applyFont="1" applyBorder="1" applyAlignment="1" applyProtection="1">
      <alignment horizontal="right"/>
      <protection/>
    </xf>
    <xf numFmtId="4" fontId="3" fillId="4" borderId="2" xfId="0" applyNumberFormat="1" applyFont="1" applyFill="1" applyBorder="1" applyAlignment="1">
      <alignment wrapText="1"/>
    </xf>
    <xf numFmtId="1" fontId="3" fillId="0" borderId="2" xfId="0" applyNumberFormat="1" applyFont="1" applyBorder="1" applyAlignment="1">
      <alignment wrapText="1"/>
    </xf>
    <xf numFmtId="0" fontId="3" fillId="0" borderId="6" xfId="0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 wrapText="1"/>
    </xf>
    <xf numFmtId="0" fontId="1" fillId="0" borderId="1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" fontId="1" fillId="4" borderId="3" xfId="0" applyNumberFormat="1" applyFont="1" applyFill="1" applyBorder="1" applyAlignment="1">
      <alignment horizontal="center"/>
    </xf>
    <xf numFmtId="4" fontId="1" fillId="4" borderId="4" xfId="0" applyNumberFormat="1" applyFont="1" applyFill="1" applyBorder="1" applyAlignment="1">
      <alignment horizontal="center"/>
    </xf>
    <xf numFmtId="4" fontId="3" fillId="0" borderId="6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2" fontId="3" fillId="4" borderId="2" xfId="0" applyNumberFormat="1" applyFont="1" applyFill="1" applyBorder="1" applyAlignment="1">
      <alignment/>
    </xf>
    <xf numFmtId="0" fontId="3" fillId="0" borderId="2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4" fontId="3" fillId="0" borderId="2" xfId="0" applyNumberFormat="1" applyFont="1" applyBorder="1" applyAlignment="1">
      <alignment wrapText="1"/>
    </xf>
    <xf numFmtId="0" fontId="1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center" vertical="center"/>
    </xf>
    <xf numFmtId="170" fontId="3" fillId="0" borderId="2" xfId="0" applyNumberFormat="1" applyFont="1" applyBorder="1" applyAlignment="1">
      <alignment horizontal="right"/>
    </xf>
    <xf numFmtId="4" fontId="3" fillId="6" borderId="2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4" fontId="14" fillId="0" borderId="15" xfId="0" applyNumberFormat="1" applyFont="1" applyFill="1" applyBorder="1" applyAlignment="1">
      <alignment/>
    </xf>
    <xf numFmtId="0" fontId="14" fillId="0" borderId="11" xfId="0" applyFont="1" applyFill="1" applyBorder="1" applyAlignment="1">
      <alignment/>
    </xf>
    <xf numFmtId="4" fontId="14" fillId="0" borderId="11" xfId="0" applyNumberFormat="1" applyFont="1" applyFill="1" applyBorder="1" applyAlignment="1">
      <alignment/>
    </xf>
    <xf numFmtId="0" fontId="14" fillId="0" borderId="12" xfId="0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14" fillId="0" borderId="5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4" fontId="15" fillId="0" borderId="0" xfId="0" applyNumberFormat="1" applyFont="1" applyFill="1" applyBorder="1" applyAlignment="1">
      <alignment/>
    </xf>
    <xf numFmtId="10" fontId="15" fillId="0" borderId="7" xfId="0" applyNumberFormat="1" applyFont="1" applyFill="1" applyBorder="1" applyAlignment="1">
      <alignment/>
    </xf>
    <xf numFmtId="0" fontId="15" fillId="0" borderId="0" xfId="0" applyFont="1" applyFill="1" applyAlignment="1">
      <alignment/>
    </xf>
    <xf numFmtId="0" fontId="14" fillId="0" borderId="8" xfId="0" applyFont="1" applyFill="1" applyBorder="1" applyAlignment="1">
      <alignment/>
    </xf>
    <xf numFmtId="0" fontId="14" fillId="0" borderId="9" xfId="0" applyFont="1" applyFill="1" applyBorder="1" applyAlignment="1">
      <alignment/>
    </xf>
    <xf numFmtId="4" fontId="15" fillId="0" borderId="9" xfId="0" applyNumberFormat="1" applyFont="1" applyFill="1" applyBorder="1" applyAlignment="1">
      <alignment/>
    </xf>
    <xf numFmtId="10" fontId="15" fillId="0" borderId="10" xfId="0" applyNumberFormat="1" applyFont="1" applyFill="1" applyBorder="1" applyAlignment="1">
      <alignment/>
    </xf>
    <xf numFmtId="9" fontId="14" fillId="0" borderId="0" xfId="0" applyNumberFormat="1" applyFont="1" applyFill="1" applyAlignment="1">
      <alignment/>
    </xf>
    <xf numFmtId="0" fontId="14" fillId="0" borderId="0" xfId="0" applyFont="1" applyFill="1" applyAlignment="1">
      <alignment horizontal="right"/>
    </xf>
    <xf numFmtId="0" fontId="14" fillId="0" borderId="15" xfId="0" applyFont="1" applyFill="1" applyBorder="1" applyAlignment="1">
      <alignment/>
    </xf>
    <xf numFmtId="0" fontId="1" fillId="0" borderId="9" xfId="0" applyFont="1" applyBorder="1" applyAlignment="1" applyProtection="1">
      <alignment horizontal="center" vertical="center" wrapText="1"/>
      <protection locked="0"/>
    </xf>
    <xf numFmtId="4" fontId="4" fillId="0" borderId="15" xfId="0" applyNumberFormat="1" applyFont="1" applyBorder="1" applyAlignment="1" applyProtection="1">
      <alignment horizontal="right"/>
      <protection/>
    </xf>
    <xf numFmtId="4" fontId="4" fillId="0" borderId="11" xfId="0" applyNumberFormat="1" applyFont="1" applyBorder="1" applyAlignment="1" applyProtection="1">
      <alignment horizontal="right"/>
      <protection/>
    </xf>
    <xf numFmtId="4" fontId="4" fillId="0" borderId="12" xfId="0" applyNumberFormat="1" applyFont="1" applyBorder="1" applyAlignment="1" applyProtection="1">
      <alignment horizontal="right"/>
      <protection/>
    </xf>
    <xf numFmtId="0" fontId="3" fillId="0" borderId="2" xfId="0" applyFont="1" applyBorder="1" applyAlignment="1" applyProtection="1">
      <alignment wrapText="1"/>
      <protection locked="0"/>
    </xf>
    <xf numFmtId="4" fontId="15" fillId="0" borderId="11" xfId="0" applyNumberFormat="1" applyFont="1" applyFill="1" applyBorder="1" applyAlignment="1">
      <alignment/>
    </xf>
    <xf numFmtId="4" fontId="15" fillId="0" borderId="12" xfId="0" applyNumberFormat="1" applyFont="1" applyFill="1" applyBorder="1" applyAlignment="1">
      <alignment/>
    </xf>
    <xf numFmtId="4" fontId="15" fillId="0" borderId="7" xfId="0" applyNumberFormat="1" applyFont="1" applyFill="1" applyBorder="1" applyAlignment="1">
      <alignment/>
    </xf>
    <xf numFmtId="4" fontId="15" fillId="0" borderId="10" xfId="0" applyNumberFormat="1" applyFont="1" applyFill="1" applyBorder="1" applyAlignment="1">
      <alignment/>
    </xf>
    <xf numFmtId="4" fontId="15" fillId="0" borderId="0" xfId="0" applyNumberFormat="1" applyFont="1" applyFill="1" applyAlignment="1">
      <alignment/>
    </xf>
    <xf numFmtId="4" fontId="14" fillId="0" borderId="0" xfId="0" applyNumberFormat="1" applyFont="1" applyFill="1" applyAlignment="1">
      <alignment/>
    </xf>
    <xf numFmtId="0" fontId="16" fillId="0" borderId="2" xfId="0" applyFont="1" applyFill="1" applyBorder="1" applyAlignment="1">
      <alignment horizontal="center" vertical="center" wrapText="1"/>
    </xf>
    <xf numFmtId="10" fontId="14" fillId="0" borderId="0" xfId="0" applyNumberFormat="1" applyFont="1" applyFill="1" applyAlignment="1">
      <alignment/>
    </xf>
    <xf numFmtId="0" fontId="14" fillId="0" borderId="2" xfId="0" applyFont="1" applyFill="1" applyBorder="1" applyAlignment="1">
      <alignment horizontal="center" wrapText="1"/>
    </xf>
    <xf numFmtId="0" fontId="14" fillId="0" borderId="2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3" fillId="0" borderId="12" xfId="0" applyFont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5" fillId="0" borderId="2" xfId="0" applyFont="1" applyBorder="1" applyAlignment="1">
      <alignment/>
    </xf>
    <xf numFmtId="14" fontId="14" fillId="0" borderId="2" xfId="0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4" fontId="1" fillId="3" borderId="3" xfId="0" applyNumberFormat="1" applyFont="1" applyFill="1" applyBorder="1" applyAlignment="1">
      <alignment horizontal="center"/>
    </xf>
    <xf numFmtId="4" fontId="1" fillId="3" borderId="4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left" wrapText="1"/>
    </xf>
    <xf numFmtId="0" fontId="8" fillId="0" borderId="2" xfId="0" applyFont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4" fontId="7" fillId="0" borderId="8" xfId="0" applyNumberFormat="1" applyFont="1" applyBorder="1" applyAlignment="1" applyProtection="1">
      <alignment horizontal="right"/>
      <protection/>
    </xf>
    <xf numFmtId="4" fontId="7" fillId="0" borderId="9" xfId="0" applyNumberFormat="1" applyFont="1" applyBorder="1" applyAlignment="1" applyProtection="1">
      <alignment horizontal="right"/>
      <protection/>
    </xf>
    <xf numFmtId="4" fontId="7" fillId="0" borderId="10" xfId="0" applyNumberFormat="1" applyFont="1" applyBorder="1" applyAlignment="1" applyProtection="1">
      <alignment horizontal="right"/>
      <protection/>
    </xf>
    <xf numFmtId="0" fontId="3" fillId="0" borderId="15" xfId="0" applyFont="1" applyBorder="1" applyAlignment="1">
      <alignment horizontal="left" wrapText="1"/>
    </xf>
    <xf numFmtId="0" fontId="15" fillId="0" borderId="0" xfId="0" applyFont="1" applyAlignment="1">
      <alignment/>
    </xf>
    <xf numFmtId="0" fontId="18" fillId="0" borderId="16" xfId="20" applyFont="1" applyBorder="1" applyAlignment="1">
      <alignment horizontal="left"/>
      <protection/>
    </xf>
    <xf numFmtId="0" fontId="15" fillId="0" borderId="16" xfId="20" applyFont="1" applyBorder="1" applyAlignment="1">
      <alignment horizontal="center"/>
      <protection/>
    </xf>
    <xf numFmtId="180" fontId="15" fillId="0" borderId="16" xfId="20" applyNumberFormat="1" applyFont="1" applyBorder="1" applyAlignment="1">
      <alignment horizontal="center"/>
      <protection/>
    </xf>
    <xf numFmtId="0" fontId="18" fillId="0" borderId="16" xfId="20" applyFont="1" applyBorder="1" applyAlignment="1">
      <alignment horizontal="center"/>
      <protection/>
    </xf>
    <xf numFmtId="0" fontId="18" fillId="0" borderId="1" xfId="20" applyFont="1" applyBorder="1" applyAlignment="1">
      <alignment horizontal="center"/>
      <protection/>
    </xf>
    <xf numFmtId="0" fontId="15" fillId="0" borderId="1" xfId="20" applyFont="1" applyBorder="1" applyAlignment="1">
      <alignment horizontal="center"/>
      <protection/>
    </xf>
    <xf numFmtId="38" fontId="15" fillId="0" borderId="2" xfId="19" applyFont="1" applyBorder="1" applyAlignment="1">
      <alignment horizontal="left"/>
    </xf>
    <xf numFmtId="0" fontId="15" fillId="0" borderId="2" xfId="20" applyFont="1" applyBorder="1">
      <alignment/>
      <protection/>
    </xf>
    <xf numFmtId="38" fontId="15" fillId="0" borderId="2" xfId="19" applyFont="1" applyBorder="1" applyAlignment="1">
      <alignment horizontal="center"/>
    </xf>
    <xf numFmtId="38" fontId="15" fillId="0" borderId="2" xfId="20" applyNumberFormat="1" applyFont="1" applyBorder="1" applyAlignment="1">
      <alignment horizontal="center"/>
      <protection/>
    </xf>
    <xf numFmtId="4" fontId="15" fillId="0" borderId="2" xfId="19" applyNumberFormat="1" applyFont="1" applyBorder="1" applyAlignment="1">
      <alignment/>
    </xf>
    <xf numFmtId="3" fontId="15" fillId="0" borderId="2" xfId="19" applyNumberFormat="1" applyFont="1" applyBorder="1" applyAlignment="1">
      <alignment horizontal="center"/>
    </xf>
    <xf numFmtId="3" fontId="15" fillId="0" borderId="2" xfId="20" applyNumberFormat="1" applyFont="1" applyBorder="1" applyAlignment="1">
      <alignment horizontal="center"/>
      <protection/>
    </xf>
    <xf numFmtId="0" fontId="18" fillId="0" borderId="2" xfId="0" applyFont="1" applyBorder="1" applyAlignment="1">
      <alignment vertical="center"/>
    </xf>
    <xf numFmtId="4" fontId="18" fillId="0" borderId="2" xfId="0" applyNumberFormat="1" applyFont="1" applyBorder="1" applyAlignment="1">
      <alignment vertical="center"/>
    </xf>
    <xf numFmtId="2" fontId="15" fillId="0" borderId="2" xfId="0" applyNumberFormat="1" applyFont="1" applyBorder="1" applyAlignment="1">
      <alignment/>
    </xf>
    <xf numFmtId="4" fontId="15" fillId="0" borderId="2" xfId="0" applyNumberFormat="1" applyFont="1" applyBorder="1" applyAlignment="1" applyProtection="1">
      <alignment/>
      <protection/>
    </xf>
    <xf numFmtId="0" fontId="13" fillId="0" borderId="6" xfId="0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/>
    </xf>
    <xf numFmtId="0" fontId="13" fillId="0" borderId="4" xfId="0" applyFont="1" applyFill="1" applyBorder="1" applyAlignment="1">
      <alignment horizontal="center"/>
    </xf>
    <xf numFmtId="0" fontId="14" fillId="0" borderId="6" xfId="0" applyFont="1" applyFill="1" applyBorder="1" applyAlignment="1">
      <alignment horizontal="left"/>
    </xf>
    <xf numFmtId="0" fontId="14" fillId="0" borderId="3" xfId="0" applyFont="1" applyFill="1" applyBorder="1" applyAlignment="1">
      <alignment horizontal="left"/>
    </xf>
    <xf numFmtId="0" fontId="14" fillId="0" borderId="4" xfId="0" applyFont="1" applyFill="1" applyBorder="1" applyAlignment="1">
      <alignment horizontal="left"/>
    </xf>
    <xf numFmtId="0" fontId="17" fillId="0" borderId="0" xfId="0" applyFont="1" applyFill="1" applyAlignment="1">
      <alignment horizontal="center"/>
    </xf>
    <xf numFmtId="0" fontId="17" fillId="0" borderId="11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left"/>
    </xf>
    <xf numFmtId="0" fontId="14" fillId="0" borderId="6" xfId="0" applyFont="1" applyFill="1" applyBorder="1" applyAlignment="1">
      <alignment horizontal="left" wrapText="1"/>
    </xf>
    <xf numFmtId="0" fontId="14" fillId="0" borderId="3" xfId="0" applyFont="1" applyFill="1" applyBorder="1" applyAlignment="1">
      <alignment horizontal="left" wrapText="1"/>
    </xf>
    <xf numFmtId="0" fontId="14" fillId="0" borderId="4" xfId="0" applyFont="1" applyFill="1" applyBorder="1" applyAlignment="1">
      <alignment horizontal="left" wrapText="1"/>
    </xf>
    <xf numFmtId="4" fontId="4" fillId="0" borderId="5" xfId="0" applyNumberFormat="1" applyFont="1" applyBorder="1" applyAlignment="1" applyProtection="1">
      <alignment horizontal="right"/>
      <protection/>
    </xf>
    <xf numFmtId="4" fontId="4" fillId="0" borderId="0" xfId="0" applyNumberFormat="1" applyFont="1" applyBorder="1" applyAlignment="1" applyProtection="1">
      <alignment horizontal="right"/>
      <protection/>
    </xf>
    <xf numFmtId="4" fontId="4" fillId="0" borderId="7" xfId="0" applyNumberFormat="1" applyFont="1" applyBorder="1" applyAlignment="1" applyProtection="1">
      <alignment horizontal="right"/>
      <protection/>
    </xf>
    <xf numFmtId="4" fontId="5" fillId="0" borderId="5" xfId="0" applyNumberFormat="1" applyFont="1" applyBorder="1" applyAlignment="1" applyProtection="1">
      <alignment horizontal="right"/>
      <protection/>
    </xf>
    <xf numFmtId="4" fontId="5" fillId="0" borderId="0" xfId="0" applyNumberFormat="1" applyFont="1" applyBorder="1" applyAlignment="1" applyProtection="1">
      <alignment horizontal="right"/>
      <protection/>
    </xf>
    <xf numFmtId="4" fontId="5" fillId="0" borderId="7" xfId="0" applyNumberFormat="1" applyFont="1" applyBorder="1" applyAlignment="1" applyProtection="1">
      <alignment horizontal="right"/>
      <protection/>
    </xf>
    <xf numFmtId="4" fontId="3" fillId="0" borderId="15" xfId="0" applyNumberFormat="1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left" vertical="center" wrapText="1"/>
    </xf>
    <xf numFmtId="4" fontId="3" fillId="0" borderId="4" xfId="0" applyNumberFormat="1" applyFont="1" applyBorder="1" applyAlignment="1">
      <alignment horizontal="left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" fontId="3" fillId="0" borderId="2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4" fontId="3" fillId="0" borderId="15" xfId="0" applyNumberFormat="1" applyFont="1" applyBorder="1" applyAlignment="1">
      <alignment horizontal="left" vertical="center" wrapText="1"/>
    </xf>
    <xf numFmtId="4" fontId="3" fillId="0" borderId="12" xfId="0" applyNumberFormat="1" applyFont="1" applyBorder="1" applyAlignment="1">
      <alignment horizontal="left" vertical="center" wrapText="1"/>
    </xf>
    <xf numFmtId="4" fontId="3" fillId="0" borderId="8" xfId="0" applyNumberFormat="1" applyFont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left" vertical="center" wrapText="1"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3" fillId="0" borderId="6" xfId="0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 wrapText="1"/>
    </xf>
    <xf numFmtId="0" fontId="3" fillId="5" borderId="6" xfId="0" applyFont="1" applyFill="1" applyBorder="1" applyAlignment="1">
      <alignment horizontal="center" wrapText="1"/>
    </xf>
    <xf numFmtId="0" fontId="3" fillId="5" borderId="4" xfId="0" applyFont="1" applyFill="1" applyBorder="1" applyAlignment="1">
      <alignment horizontal="center" wrapText="1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Migliaia [0]_griglia" xfId="19"/>
    <cellStyle name="Normale_griglia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59"/>
  <sheetViews>
    <sheetView workbookViewId="0" topLeftCell="A22">
      <selection activeCell="G40" sqref="G40"/>
    </sheetView>
  </sheetViews>
  <sheetFormatPr defaultColWidth="9.140625" defaultRowHeight="12.75"/>
  <cols>
    <col min="1" max="2" width="9.140625" style="194" customWidth="1"/>
    <col min="3" max="3" width="8.8515625" style="194" customWidth="1"/>
    <col min="4" max="4" width="11.140625" style="194" customWidth="1"/>
    <col min="5" max="5" width="10.8515625" style="194" customWidth="1"/>
    <col min="6" max="6" width="10.57421875" style="194" customWidth="1"/>
    <col min="7" max="7" width="10.8515625" style="194" customWidth="1"/>
    <col min="8" max="8" width="8.421875" style="194" customWidth="1"/>
    <col min="9" max="9" width="11.28125" style="194" customWidth="1"/>
    <col min="10" max="10" width="10.140625" style="194" customWidth="1"/>
    <col min="11" max="11" width="10.00390625" style="194" customWidth="1"/>
    <col min="12" max="16384" width="9.140625" style="194" customWidth="1"/>
  </cols>
  <sheetData>
    <row r="2" spans="1:20" ht="15">
      <c r="A2" s="266" t="s">
        <v>159</v>
      </c>
      <c r="B2" s="267"/>
      <c r="C2" s="267"/>
      <c r="D2" s="267"/>
      <c r="E2" s="267"/>
      <c r="F2" s="267"/>
      <c r="G2" s="267"/>
      <c r="H2" s="267"/>
      <c r="I2" s="267"/>
      <c r="J2" s="267"/>
      <c r="K2" s="268"/>
      <c r="L2" s="193"/>
      <c r="M2" s="193"/>
      <c r="N2" s="193"/>
      <c r="O2" s="193"/>
      <c r="P2" s="193"/>
      <c r="Q2" s="193"/>
      <c r="R2" s="193"/>
      <c r="S2" s="193"/>
      <c r="T2" s="193"/>
    </row>
    <row r="5" ht="12.75">
      <c r="A5" s="194" t="s">
        <v>278</v>
      </c>
    </row>
    <row r="6" ht="12.75">
      <c r="A6" s="194" t="s">
        <v>279</v>
      </c>
    </row>
    <row r="7" ht="12.75">
      <c r="A7" s="194" t="s">
        <v>280</v>
      </c>
    </row>
    <row r="8" ht="12.75">
      <c r="A8" s="194" t="s">
        <v>281</v>
      </c>
    </row>
    <row r="11" spans="1:10" ht="12.75">
      <c r="A11" s="195" t="s">
        <v>0</v>
      </c>
      <c r="B11" s="196"/>
      <c r="C11" s="196"/>
      <c r="D11" s="197" t="s">
        <v>35</v>
      </c>
      <c r="E11" s="198"/>
      <c r="I11" s="194" t="s">
        <v>130</v>
      </c>
      <c r="J11" s="199">
        <v>37987</v>
      </c>
    </row>
    <row r="12" spans="1:10" ht="12.75">
      <c r="A12" s="200" t="s">
        <v>131</v>
      </c>
      <c r="B12" s="201"/>
      <c r="C12" s="201"/>
      <c r="D12" s="202">
        <f>+Complessivo!G3</f>
        <v>659925</v>
      </c>
      <c r="E12" s="203">
        <f>+Complessivo!H3</f>
        <v>0.9575120664809247</v>
      </c>
      <c r="I12" s="194" t="s">
        <v>132</v>
      </c>
      <c r="J12" s="199">
        <v>39264</v>
      </c>
    </row>
    <row r="13" spans="1:9" ht="12.75">
      <c r="A13" s="200" t="s">
        <v>133</v>
      </c>
      <c r="B13" s="201"/>
      <c r="C13" s="201"/>
      <c r="D13" s="202">
        <f>+Complessivo!G4</f>
        <v>428951.25</v>
      </c>
      <c r="E13" s="203">
        <f>+Complessivo!H4</f>
        <v>0.9575120664809247</v>
      </c>
      <c r="I13" s="204" t="s">
        <v>233</v>
      </c>
    </row>
    <row r="14" spans="1:5" ht="12.75">
      <c r="A14" s="200" t="s">
        <v>134</v>
      </c>
      <c r="B14" s="201"/>
      <c r="C14" s="201"/>
      <c r="D14" s="202">
        <f>+Complessivo!G5</f>
        <v>56995.25</v>
      </c>
      <c r="E14" s="203">
        <f>+Complessivo!H5</f>
        <v>0.7390881651089213</v>
      </c>
    </row>
    <row r="15" spans="1:10" ht="12.75">
      <c r="A15" s="205" t="s">
        <v>135</v>
      </c>
      <c r="B15" s="206"/>
      <c r="C15" s="206"/>
      <c r="D15" s="207">
        <f>+Complessivo!G6</f>
        <v>485946.5</v>
      </c>
      <c r="E15" s="208">
        <f>+Complessivo!H6</f>
        <v>0.931893763098407</v>
      </c>
      <c r="I15" s="204" t="s">
        <v>136</v>
      </c>
      <c r="J15" s="209">
        <v>0.65</v>
      </c>
    </row>
    <row r="17" spans="4:6" ht="12.75">
      <c r="D17" s="210" t="s">
        <v>137</v>
      </c>
      <c r="E17" s="210" t="s">
        <v>138</v>
      </c>
      <c r="F17" s="210" t="s">
        <v>139</v>
      </c>
    </row>
    <row r="18" spans="1:6" ht="12.75">
      <c r="A18" s="211" t="s">
        <v>6</v>
      </c>
      <c r="B18" s="196"/>
      <c r="C18" s="196"/>
      <c r="D18" s="217">
        <f>+Complessivo!M13</f>
        <v>221500</v>
      </c>
      <c r="E18" s="218">
        <f>+Complessivo!M20</f>
        <v>-76422.01623</v>
      </c>
      <c r="F18" s="202">
        <f>+D18-E18</f>
        <v>297922.01623</v>
      </c>
    </row>
    <row r="19" spans="1:6" ht="12.75">
      <c r="A19" s="200" t="s">
        <v>7</v>
      </c>
      <c r="B19" s="201"/>
      <c r="C19" s="201"/>
      <c r="D19" s="202">
        <f>+Complessivo!M45</f>
        <v>187000</v>
      </c>
      <c r="E19" s="219">
        <f>+Complessivo!M52</f>
        <v>89990</v>
      </c>
      <c r="F19" s="202">
        <f aca="true" t="shared" si="0" ref="F19:F24">+D19-E19</f>
        <v>97010</v>
      </c>
    </row>
    <row r="20" spans="1:6" ht="12.75">
      <c r="A20" s="200" t="s">
        <v>1</v>
      </c>
      <c r="B20" s="201"/>
      <c r="C20" s="201"/>
      <c r="D20" s="202">
        <f>+Complessivo!M69</f>
        <v>75000</v>
      </c>
      <c r="E20" s="219">
        <f>+Complessivo!M76</f>
        <v>8362</v>
      </c>
      <c r="F20" s="202">
        <f t="shared" si="0"/>
        <v>66638</v>
      </c>
    </row>
    <row r="21" spans="1:6" ht="12.75">
      <c r="A21" s="200" t="s">
        <v>8</v>
      </c>
      <c r="B21" s="201"/>
      <c r="C21" s="201"/>
      <c r="D21" s="202">
        <f>+Complessivo!M88</f>
        <v>25000</v>
      </c>
      <c r="E21" s="219">
        <f>+Complessivo!M95</f>
        <v>14628.67</v>
      </c>
      <c r="F21" s="202">
        <f t="shared" si="0"/>
        <v>10371.33</v>
      </c>
    </row>
    <row r="22" spans="1:6" ht="12.75">
      <c r="A22" s="200" t="s">
        <v>140</v>
      </c>
      <c r="B22" s="201"/>
      <c r="C22" s="201"/>
      <c r="D22" s="202">
        <f>+Complessivo!M105</f>
        <v>65000</v>
      </c>
      <c r="E22" s="219">
        <f>+Complessivo!M112</f>
        <v>-4738</v>
      </c>
      <c r="F22" s="202">
        <f t="shared" si="0"/>
        <v>69738</v>
      </c>
    </row>
    <row r="23" spans="1:6" ht="12.75">
      <c r="A23" s="200" t="s">
        <v>9</v>
      </c>
      <c r="B23" s="201"/>
      <c r="C23" s="201"/>
      <c r="D23" s="202">
        <f>+Complessivo!M120</f>
        <v>55000</v>
      </c>
      <c r="E23" s="219">
        <f>+Complessivo!M127</f>
        <v>1908.3699999999935</v>
      </c>
      <c r="F23" s="202">
        <f t="shared" si="0"/>
        <v>53091.630000000005</v>
      </c>
    </row>
    <row r="24" spans="1:6" ht="12.75">
      <c r="A24" s="205" t="s">
        <v>10</v>
      </c>
      <c r="B24" s="206"/>
      <c r="C24" s="206"/>
      <c r="D24" s="207">
        <f>+Complessivo!M142</f>
        <v>31425</v>
      </c>
      <c r="E24" s="220">
        <f>+Complessivo!M149</f>
        <v>-5690.174242424244</v>
      </c>
      <c r="F24" s="202">
        <f t="shared" si="0"/>
        <v>37115.17424242424</v>
      </c>
    </row>
    <row r="25" spans="4:7" ht="12.75">
      <c r="D25" s="221">
        <f>SUM(D18:D24)</f>
        <v>659925</v>
      </c>
      <c r="E25" s="221">
        <f>SUM(E18:E24)</f>
        <v>28038.849527575756</v>
      </c>
      <c r="F25" s="221">
        <f>SUM(F18:F24)</f>
        <v>631886.1504724242</v>
      </c>
      <c r="G25" s="222"/>
    </row>
    <row r="27" spans="4:11" ht="21">
      <c r="D27" s="223" t="s">
        <v>21</v>
      </c>
      <c r="E27" s="223" t="s">
        <v>141</v>
      </c>
      <c r="F27" s="223" t="s">
        <v>80</v>
      </c>
      <c r="G27" s="223" t="s">
        <v>22</v>
      </c>
      <c r="H27" s="223" t="s">
        <v>142</v>
      </c>
      <c r="I27" s="223" t="s">
        <v>82</v>
      </c>
      <c r="J27" s="223" t="s">
        <v>143</v>
      </c>
      <c r="K27" s="223" t="s">
        <v>144</v>
      </c>
    </row>
    <row r="28" spans="1:11" ht="12.75">
      <c r="A28" s="194" t="s">
        <v>145</v>
      </c>
      <c r="D28" s="221">
        <f>+Complessivo!M3</f>
        <v>631886.1504724242</v>
      </c>
      <c r="E28" s="221">
        <f>+Complessivo!N3</f>
        <v>64806.945757575755</v>
      </c>
      <c r="F28" s="221">
        <f>+Complessivo!O3</f>
        <v>696693.09623</v>
      </c>
      <c r="G28" s="221">
        <f>+Complessivo!P3</f>
        <v>410725.99780707574</v>
      </c>
      <c r="H28" s="221">
        <f>+Complessivo!Q3</f>
        <v>42124.514742424246</v>
      </c>
      <c r="I28" s="221">
        <f>+Complessivo!R3</f>
        <v>452850.51254950004</v>
      </c>
      <c r="J28" s="221">
        <f>+Complessivo!S3</f>
        <v>145783.95126856252</v>
      </c>
      <c r="K28" s="221">
        <f>+Complessivo!T3</f>
        <v>307066.56128093746</v>
      </c>
    </row>
    <row r="29" spans="1:12" ht="12.75">
      <c r="A29" s="222" t="s">
        <v>160</v>
      </c>
      <c r="B29" s="222"/>
      <c r="D29" s="221">
        <f>+Complessivo!M4</f>
        <v>175302.41</v>
      </c>
      <c r="E29" s="221">
        <f>+Complessivo!N4</f>
        <v>11868</v>
      </c>
      <c r="F29" s="221">
        <f>+Complessivo!O4</f>
        <v>187170.41</v>
      </c>
      <c r="G29" s="221">
        <f>+Complessivo!P4</f>
        <v>113946.5665</v>
      </c>
      <c r="H29" s="221">
        <f>+Complessivo!Q4</f>
        <v>7714.200000000001</v>
      </c>
      <c r="I29" s="221">
        <f>+Complessivo!R4</f>
        <v>121660.7665</v>
      </c>
      <c r="J29" s="221">
        <f>+Complessivo!S4</f>
        <v>45622.78743750001</v>
      </c>
      <c r="K29" s="221">
        <f>+Complessivo!T4</f>
        <v>76037.97906249999</v>
      </c>
      <c r="L29" s="222"/>
    </row>
    <row r="30" spans="1:12" ht="12.75">
      <c r="A30" s="222" t="s">
        <v>161</v>
      </c>
      <c r="B30" s="222"/>
      <c r="D30" s="221">
        <f>+Complessivo!M5</f>
        <v>54547.34</v>
      </c>
      <c r="E30" s="221">
        <f>+Complessivo!N5</f>
        <v>204</v>
      </c>
      <c r="F30" s="221">
        <f>+Complessivo!O5</f>
        <v>54751.34</v>
      </c>
      <c r="G30" s="221">
        <f>+Complessivo!P5</f>
        <v>35455.771</v>
      </c>
      <c r="H30" s="221">
        <f>+Complessivo!Q5</f>
        <v>132.6</v>
      </c>
      <c r="I30" s="221">
        <f>+Complessivo!R5</f>
        <v>35588.371</v>
      </c>
      <c r="J30" s="221">
        <f>+Complessivo!S5</f>
        <v>13345.639125</v>
      </c>
      <c r="K30" s="221">
        <f>+Complessivo!T5</f>
        <v>22242.731874999998</v>
      </c>
      <c r="L30" s="222"/>
    </row>
    <row r="31" spans="1:12" ht="12.75">
      <c r="A31" s="222" t="s">
        <v>162</v>
      </c>
      <c r="B31" s="222"/>
      <c r="D31" s="221">
        <f>+Complessivo!M6</f>
        <v>112945.04318000001</v>
      </c>
      <c r="E31" s="221">
        <f>+Complessivo!N6</f>
        <v>16463.53</v>
      </c>
      <c r="F31" s="221">
        <f>+Complessivo!O6</f>
        <v>129408.57318</v>
      </c>
      <c r="G31" s="221">
        <f>+Complessivo!P6</f>
        <v>73414.27806699999</v>
      </c>
      <c r="H31" s="221">
        <f>+Complessivo!Q6</f>
        <v>10701.2945</v>
      </c>
      <c r="I31" s="221">
        <f>+Complessivo!R6</f>
        <v>84115.572567</v>
      </c>
      <c r="J31" s="221">
        <f>+Complessivo!S6</f>
        <v>31543.339712625</v>
      </c>
      <c r="K31" s="221">
        <f>+Complessivo!T6</f>
        <v>52572.232854375005</v>
      </c>
      <c r="L31" s="222"/>
    </row>
    <row r="32" spans="1:12" ht="12.75">
      <c r="A32" s="222" t="s">
        <v>163</v>
      </c>
      <c r="B32" s="221"/>
      <c r="D32" s="221">
        <f>+Complessivo!M7</f>
        <v>113980.59305000001</v>
      </c>
      <c r="E32" s="221">
        <f>+Complessivo!N7</f>
        <v>13145.47</v>
      </c>
      <c r="F32" s="221">
        <f>+Complessivo!O7</f>
        <v>127126.06305000001</v>
      </c>
      <c r="G32" s="221">
        <f>+Complessivo!P7</f>
        <v>74087.38548250002</v>
      </c>
      <c r="H32" s="221">
        <f>+Complessivo!Q7</f>
        <v>8544.5555</v>
      </c>
      <c r="I32" s="221">
        <f>+Complessivo!R7</f>
        <v>82631.94098250002</v>
      </c>
      <c r="J32" s="221">
        <f>+Complessivo!S7</f>
        <v>30986.977868437505</v>
      </c>
      <c r="K32" s="221">
        <f>+Complessivo!T7</f>
        <v>51644.963114062506</v>
      </c>
      <c r="L32" s="222"/>
    </row>
    <row r="33" spans="1:12" ht="12.75">
      <c r="A33" s="222" t="s">
        <v>208</v>
      </c>
      <c r="B33" s="221"/>
      <c r="D33" s="221">
        <f>+Complessivo!M8</f>
        <v>102455.44424242424</v>
      </c>
      <c r="E33" s="221">
        <f>+Complessivo!N8</f>
        <v>16745.815757575758</v>
      </c>
      <c r="F33" s="221">
        <f>+Complessivo!O8</f>
        <v>119201.26000000001</v>
      </c>
      <c r="G33" s="221">
        <f>+Complessivo!P8</f>
        <v>66596.03875757576</v>
      </c>
      <c r="H33" s="221">
        <f>+Complessivo!Q8</f>
        <v>10884.780242424244</v>
      </c>
      <c r="I33" s="221">
        <f>+Complessivo!R8</f>
        <v>77480.819</v>
      </c>
      <c r="J33" s="221">
        <f>+Complessivo!S8</f>
        <v>29055.307125</v>
      </c>
      <c r="K33" s="221">
        <f>+Complessivo!T8</f>
        <v>48425.511875000004</v>
      </c>
      <c r="L33" s="222"/>
    </row>
    <row r="34" spans="1:11" ht="12.75">
      <c r="A34" s="194" t="s">
        <v>236</v>
      </c>
      <c r="D34" s="221">
        <f>+Complessivo!M9</f>
        <v>72655.32</v>
      </c>
      <c r="E34" s="221">
        <f>+Complessivo!N9</f>
        <v>6380.13</v>
      </c>
      <c r="F34" s="221">
        <f>+Complessivo!O9</f>
        <v>79035.45000000001</v>
      </c>
      <c r="G34" s="221">
        <f>+Complessivo!P9</f>
        <v>47225.958</v>
      </c>
      <c r="H34" s="221">
        <f>+Complessivo!Q9</f>
        <v>4147.0845</v>
      </c>
      <c r="I34" s="221">
        <f>+Complessivo!R9</f>
        <v>51373.042499999996</v>
      </c>
      <c r="J34" s="221">
        <f>+Complessivo!S9</f>
        <v>-4770.099999999977</v>
      </c>
      <c r="K34" s="221">
        <f>+Complessivo!T9</f>
        <v>56143.14249999998</v>
      </c>
    </row>
    <row r="35" ht="12.75">
      <c r="E35" s="224"/>
    </row>
    <row r="36" spans="1:11" ht="38.25">
      <c r="A36" s="269" t="s">
        <v>146</v>
      </c>
      <c r="B36" s="270"/>
      <c r="C36" s="270"/>
      <c r="D36" s="270"/>
      <c r="E36" s="270"/>
      <c r="F36" s="270"/>
      <c r="G36" s="270"/>
      <c r="H36" s="271"/>
      <c r="I36" s="225" t="s">
        <v>147</v>
      </c>
      <c r="J36" s="225" t="s">
        <v>148</v>
      </c>
      <c r="K36" s="226" t="s">
        <v>149</v>
      </c>
    </row>
    <row r="37" spans="1:11" ht="12.75">
      <c r="A37" s="201" t="s">
        <v>164</v>
      </c>
      <c r="B37" s="201"/>
      <c r="C37" s="201"/>
      <c r="D37" s="201" t="s">
        <v>64</v>
      </c>
      <c r="E37" s="201"/>
      <c r="F37" s="201"/>
      <c r="G37" s="201"/>
      <c r="H37" s="201"/>
      <c r="I37" s="227" t="s">
        <v>150</v>
      </c>
      <c r="J37" s="273" t="s">
        <v>151</v>
      </c>
      <c r="K37" s="201"/>
    </row>
    <row r="38" spans="1:11" ht="12.75">
      <c r="A38" s="201" t="s">
        <v>124</v>
      </c>
      <c r="B38" s="201"/>
      <c r="C38" s="201"/>
      <c r="D38" s="201"/>
      <c r="E38" s="201"/>
      <c r="F38" s="201"/>
      <c r="G38" s="201"/>
      <c r="H38" s="201"/>
      <c r="I38" s="227" t="s">
        <v>150</v>
      </c>
      <c r="J38" s="274"/>
      <c r="K38" s="201"/>
    </row>
    <row r="39" spans="1:10" ht="12.75">
      <c r="A39" s="194" t="s">
        <v>166</v>
      </c>
      <c r="E39" s="224"/>
      <c r="I39" s="227" t="s">
        <v>150</v>
      </c>
      <c r="J39" s="274"/>
    </row>
    <row r="40" spans="5:10" ht="12.75">
      <c r="E40" s="224"/>
      <c r="J40" s="190"/>
    </row>
    <row r="41" spans="1:11" ht="12.75">
      <c r="A41" s="272" t="s">
        <v>152</v>
      </c>
      <c r="B41" s="272"/>
      <c r="C41" s="272"/>
      <c r="D41" s="272"/>
      <c r="E41" s="272"/>
      <c r="F41" s="272"/>
      <c r="G41" s="272"/>
      <c r="H41" s="272"/>
      <c r="I41" s="272"/>
      <c r="J41" s="272"/>
      <c r="K41" s="272"/>
    </row>
    <row r="44" spans="1:11" ht="42.75" customHeight="1">
      <c r="A44" s="276" t="s">
        <v>153</v>
      </c>
      <c r="B44" s="276"/>
      <c r="C44" s="276"/>
      <c r="D44" s="276"/>
      <c r="E44" s="276"/>
      <c r="F44" s="276"/>
      <c r="G44" s="277" t="s">
        <v>237</v>
      </c>
      <c r="H44" s="278"/>
      <c r="I44" s="278"/>
      <c r="J44" s="278"/>
      <c r="K44" s="279"/>
    </row>
    <row r="45" spans="1:11" ht="25.5" customHeight="1">
      <c r="A45" s="276" t="s">
        <v>154</v>
      </c>
      <c r="B45" s="276"/>
      <c r="C45" s="276"/>
      <c r="D45" s="276"/>
      <c r="E45" s="276"/>
      <c r="F45" s="276"/>
      <c r="G45" s="275" t="s">
        <v>239</v>
      </c>
      <c r="H45" s="275"/>
      <c r="I45" s="275"/>
      <c r="J45" s="275"/>
      <c r="K45" s="275"/>
    </row>
    <row r="46" spans="1:11" ht="23.25" customHeight="1">
      <c r="A46" s="276" t="s">
        <v>238</v>
      </c>
      <c r="B46" s="276"/>
      <c r="C46" s="276"/>
      <c r="D46" s="276"/>
      <c r="E46" s="276"/>
      <c r="F46" s="276"/>
      <c r="G46" s="275" t="s">
        <v>239</v>
      </c>
      <c r="H46" s="275"/>
      <c r="I46" s="275"/>
      <c r="J46" s="275"/>
      <c r="K46" s="275"/>
    </row>
    <row r="47" ht="26.25" customHeight="1">
      <c r="A47" s="194" t="s">
        <v>155</v>
      </c>
    </row>
    <row r="48" spans="1:11" ht="12.75">
      <c r="A48" s="206"/>
      <c r="B48" s="206"/>
      <c r="C48" s="206"/>
      <c r="D48" s="206"/>
      <c r="E48" s="206"/>
      <c r="F48" s="206"/>
      <c r="G48" s="206"/>
      <c r="H48" s="206"/>
      <c r="I48" s="206"/>
      <c r="J48" s="206"/>
      <c r="K48" s="206"/>
    </row>
    <row r="49" spans="1:11" ht="24.75" customHeight="1">
      <c r="A49" s="206"/>
      <c r="B49" s="206"/>
      <c r="C49" s="206"/>
      <c r="D49" s="206"/>
      <c r="E49" s="206"/>
      <c r="F49" s="206"/>
      <c r="G49" s="206"/>
      <c r="H49" s="206"/>
      <c r="I49" s="206"/>
      <c r="J49" s="206"/>
      <c r="K49" s="206"/>
    </row>
    <row r="50" spans="1:11" ht="24.75" customHeight="1">
      <c r="A50" s="206"/>
      <c r="B50" s="206"/>
      <c r="C50" s="206"/>
      <c r="D50" s="206"/>
      <c r="E50" s="206"/>
      <c r="F50" s="206"/>
      <c r="G50" s="206"/>
      <c r="H50" s="206"/>
      <c r="I50" s="206"/>
      <c r="J50" s="206"/>
      <c r="K50" s="206"/>
    </row>
    <row r="51" spans="1:11" ht="24.75" customHeight="1">
      <c r="A51" s="206"/>
      <c r="B51" s="206"/>
      <c r="C51" s="206"/>
      <c r="D51" s="206"/>
      <c r="E51" s="206"/>
      <c r="F51" s="206"/>
      <c r="G51" s="206"/>
      <c r="H51" s="206"/>
      <c r="I51" s="206"/>
      <c r="J51" s="206"/>
      <c r="K51" s="206"/>
    </row>
    <row r="52" spans="1:11" ht="24.75" customHeight="1">
      <c r="A52" s="206"/>
      <c r="B52" s="206"/>
      <c r="C52" s="206"/>
      <c r="D52" s="206"/>
      <c r="E52" s="206"/>
      <c r="F52" s="206"/>
      <c r="G52" s="206"/>
      <c r="H52" s="206"/>
      <c r="I52" s="206"/>
      <c r="J52" s="206"/>
      <c r="K52" s="206"/>
    </row>
    <row r="53" spans="1:11" ht="12.75">
      <c r="A53" s="201"/>
      <c r="B53" s="201"/>
      <c r="C53" s="201"/>
      <c r="D53" s="201"/>
      <c r="E53" s="201"/>
      <c r="F53" s="201"/>
      <c r="G53" s="201"/>
      <c r="H53" s="201"/>
      <c r="I53" s="201"/>
      <c r="J53" s="201"/>
      <c r="K53" s="201"/>
    </row>
    <row r="54" spans="1:11" ht="12.75">
      <c r="A54" s="201"/>
      <c r="B54" s="201"/>
      <c r="C54" s="201"/>
      <c r="D54" s="201"/>
      <c r="E54" s="201"/>
      <c r="F54" s="201"/>
      <c r="G54" s="201"/>
      <c r="H54" s="201"/>
      <c r="I54" s="201"/>
      <c r="J54" s="201"/>
      <c r="K54" s="201"/>
    </row>
    <row r="55" spans="1:11" ht="12.75">
      <c r="A55" s="201"/>
      <c r="B55" s="201"/>
      <c r="C55" s="201"/>
      <c r="D55" s="201"/>
      <c r="E55" s="201"/>
      <c r="F55" s="201"/>
      <c r="G55" s="201"/>
      <c r="H55" s="201"/>
      <c r="I55" s="201"/>
      <c r="J55" s="201"/>
      <c r="K55" s="201"/>
    </row>
    <row r="57" spans="1:9" ht="12.75">
      <c r="A57" s="275" t="s">
        <v>156</v>
      </c>
      <c r="B57" s="275"/>
      <c r="C57" s="275"/>
      <c r="D57" s="275" t="s">
        <v>157</v>
      </c>
      <c r="E57" s="275"/>
      <c r="F57" s="275"/>
      <c r="G57" s="275" t="s">
        <v>158</v>
      </c>
      <c r="H57" s="275"/>
      <c r="I57" s="275"/>
    </row>
    <row r="58" spans="1:9" ht="23.25" customHeight="1">
      <c r="A58" s="235">
        <f ca="1">TODAY()</f>
        <v>39644</v>
      </c>
      <c r="B58" s="275"/>
      <c r="C58" s="275"/>
      <c r="D58" s="275" t="s">
        <v>240</v>
      </c>
      <c r="E58" s="275"/>
      <c r="F58" s="275"/>
      <c r="G58" s="275"/>
      <c r="H58" s="275"/>
      <c r="I58" s="275"/>
    </row>
    <row r="59" spans="1:9" ht="23.25" customHeight="1">
      <c r="A59" s="275"/>
      <c r="B59" s="275"/>
      <c r="C59" s="275"/>
      <c r="D59" s="275"/>
      <c r="E59" s="275"/>
      <c r="F59" s="275"/>
      <c r="G59" s="275"/>
      <c r="H59" s="275"/>
      <c r="I59" s="275"/>
    </row>
  </sheetData>
  <mergeCells count="19">
    <mergeCell ref="A59:C59"/>
    <mergeCell ref="D59:F59"/>
    <mergeCell ref="G59:I59"/>
    <mergeCell ref="A57:C57"/>
    <mergeCell ref="D57:F57"/>
    <mergeCell ref="G57:I57"/>
    <mergeCell ref="A58:C58"/>
    <mergeCell ref="D58:F58"/>
    <mergeCell ref="G58:I58"/>
    <mergeCell ref="A44:F44"/>
    <mergeCell ref="G44:K44"/>
    <mergeCell ref="A45:F45"/>
    <mergeCell ref="G45:K45"/>
    <mergeCell ref="A46:F46"/>
    <mergeCell ref="G46:K46"/>
    <mergeCell ref="A2:K2"/>
    <mergeCell ref="A36:H36"/>
    <mergeCell ref="A41:K41"/>
    <mergeCell ref="J37:J39"/>
  </mergeCells>
  <printOptions/>
  <pageMargins left="0.75" right="0.75" top="1" bottom="1" header="0.5" footer="0.5"/>
  <pageSetup fitToHeight="1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82"/>
  <sheetViews>
    <sheetView showGridLines="0" showZeros="0" tabSelected="1" zoomScale="85" zoomScaleNormal="85" workbookViewId="0" topLeftCell="A1">
      <pane xSplit="4" ySplit="10" topLeftCell="F59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F62" sqref="F62"/>
    </sheetView>
  </sheetViews>
  <sheetFormatPr defaultColWidth="9.140625" defaultRowHeight="12.75"/>
  <cols>
    <col min="1" max="1" width="2.421875" style="1" customWidth="1"/>
    <col min="2" max="2" width="3.140625" style="71" customWidth="1"/>
    <col min="3" max="3" width="9.421875" style="2" customWidth="1"/>
    <col min="4" max="4" width="35.421875" style="2" customWidth="1"/>
    <col min="5" max="5" width="16.7109375" style="2" customWidth="1"/>
    <col min="6" max="6" width="8.140625" style="2" customWidth="1"/>
    <col min="7" max="7" width="10.421875" style="2" customWidth="1"/>
    <col min="8" max="8" width="10.28125" style="2" customWidth="1"/>
    <col min="9" max="9" width="9.421875" style="2" customWidth="1"/>
    <col min="10" max="10" width="10.140625" style="2" customWidth="1"/>
    <col min="11" max="11" width="9.00390625" style="2" customWidth="1"/>
    <col min="12" max="12" width="11.421875" style="106" customWidth="1"/>
    <col min="13" max="14" width="11.140625" style="2" customWidth="1"/>
    <col min="15" max="15" width="11.140625" style="106" customWidth="1"/>
    <col min="16" max="17" width="11.140625" style="2" customWidth="1"/>
    <col min="18" max="18" width="11.140625" style="106" customWidth="1"/>
    <col min="19" max="19" width="11.140625" style="2" bestFit="1" customWidth="1"/>
    <col min="20" max="20" width="10.28125" style="29" customWidth="1"/>
    <col min="21" max="21" width="14.140625" style="2" customWidth="1"/>
    <col min="22" max="16384" width="9.140625" style="2" customWidth="1"/>
  </cols>
  <sheetData>
    <row r="1" spans="1:20" s="1" customFormat="1" ht="11.25">
      <c r="A1" s="296" t="s">
        <v>76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8"/>
    </row>
    <row r="2" spans="1:20" s="1" customFormat="1" ht="22.5">
      <c r="A2" s="173"/>
      <c r="B2" s="174"/>
      <c r="C2" s="175"/>
      <c r="D2" s="175"/>
      <c r="E2" s="175"/>
      <c r="F2" s="175"/>
      <c r="G2" s="174"/>
      <c r="H2" s="174"/>
      <c r="I2" s="175"/>
      <c r="J2" s="175"/>
      <c r="K2" s="175"/>
      <c r="L2" s="175"/>
      <c r="M2" s="7" t="s">
        <v>21</v>
      </c>
      <c r="N2" s="7" t="s">
        <v>79</v>
      </c>
      <c r="O2" s="104" t="s">
        <v>80</v>
      </c>
      <c r="P2" s="7" t="s">
        <v>22</v>
      </c>
      <c r="Q2" s="7" t="s">
        <v>81</v>
      </c>
      <c r="R2" s="104" t="s">
        <v>82</v>
      </c>
      <c r="S2" s="176" t="s">
        <v>24</v>
      </c>
      <c r="T2" s="177" t="s">
        <v>25</v>
      </c>
    </row>
    <row r="3" spans="1:22" ht="11.25">
      <c r="A3" s="121"/>
      <c r="B3" s="122"/>
      <c r="C3" s="63" t="s">
        <v>0</v>
      </c>
      <c r="D3" s="64" t="s">
        <v>35</v>
      </c>
      <c r="E3" s="76" t="s">
        <v>77</v>
      </c>
      <c r="F3" s="77"/>
      <c r="G3" s="92">
        <f>+M13+M45+M69+M88+M105+M120+M142</f>
        <v>659925</v>
      </c>
      <c r="H3" s="163">
        <f>+M3/G3</f>
        <v>0.9575120664809247</v>
      </c>
      <c r="I3" s="78" t="s">
        <v>34</v>
      </c>
      <c r="J3" s="79">
        <v>37988</v>
      </c>
      <c r="K3" s="93"/>
      <c r="L3" s="100" t="s">
        <v>31</v>
      </c>
      <c r="M3" s="69">
        <f aca="true" t="shared" si="0" ref="M3:T3">SUM(M4:M11)</f>
        <v>631886.1504724242</v>
      </c>
      <c r="N3" s="69">
        <f t="shared" si="0"/>
        <v>64806.945757575755</v>
      </c>
      <c r="O3" s="113">
        <f t="shared" si="0"/>
        <v>696693.09623</v>
      </c>
      <c r="P3" s="69">
        <f t="shared" si="0"/>
        <v>410725.99780707574</v>
      </c>
      <c r="Q3" s="69">
        <f t="shared" si="0"/>
        <v>42124.514742424246</v>
      </c>
      <c r="R3" s="113">
        <f t="shared" si="0"/>
        <v>452850.51254950004</v>
      </c>
      <c r="S3" s="69">
        <f t="shared" si="0"/>
        <v>145783.95126856252</v>
      </c>
      <c r="T3" s="69">
        <f t="shared" si="0"/>
        <v>307066.56128093746</v>
      </c>
      <c r="U3" s="95">
        <v>145783.95</v>
      </c>
      <c r="V3" s="2" t="s">
        <v>209</v>
      </c>
    </row>
    <row r="4" spans="1:21" s="32" customFormat="1" ht="11.25">
      <c r="A4" s="123"/>
      <c r="B4" s="124"/>
      <c r="C4" s="40" t="s">
        <v>36</v>
      </c>
      <c r="D4" s="41"/>
      <c r="E4" s="42" t="s">
        <v>72</v>
      </c>
      <c r="F4" s="43"/>
      <c r="G4" s="91">
        <v>428951.25</v>
      </c>
      <c r="H4" s="164">
        <f>+P3/G4</f>
        <v>0.9575120664809247</v>
      </c>
      <c r="J4" s="91" t="s">
        <v>75</v>
      </c>
      <c r="K4" s="69"/>
      <c r="L4" s="100" t="s">
        <v>32</v>
      </c>
      <c r="M4" s="69">
        <f aca="true" t="shared" si="1" ref="M4:T6">M14+M46+M70+M89+M106+M121+M143</f>
        <v>175302.41</v>
      </c>
      <c r="N4" s="69">
        <f t="shared" si="1"/>
        <v>11868</v>
      </c>
      <c r="O4" s="113">
        <f t="shared" si="1"/>
        <v>187170.41</v>
      </c>
      <c r="P4" s="69">
        <f t="shared" si="1"/>
        <v>113946.5665</v>
      </c>
      <c r="Q4" s="69">
        <f t="shared" si="1"/>
        <v>7714.200000000001</v>
      </c>
      <c r="R4" s="113">
        <f t="shared" si="1"/>
        <v>121660.7665</v>
      </c>
      <c r="S4" s="69">
        <f t="shared" si="1"/>
        <v>45622.78743750001</v>
      </c>
      <c r="T4" s="69">
        <f t="shared" si="1"/>
        <v>76037.97906249999</v>
      </c>
      <c r="U4" s="39">
        <v>76037.98</v>
      </c>
    </row>
    <row r="5" spans="1:21" s="32" customFormat="1" ht="11.25">
      <c r="A5" s="300"/>
      <c r="B5" s="301"/>
      <c r="C5" s="40" t="s">
        <v>84</v>
      </c>
      <c r="D5" s="41"/>
      <c r="E5" s="42" t="s">
        <v>73</v>
      </c>
      <c r="F5" s="43"/>
      <c r="G5" s="91">
        <v>56995.25</v>
      </c>
      <c r="H5" s="164">
        <f>+Q3/G5</f>
        <v>0.7390881651089213</v>
      </c>
      <c r="J5" s="32" t="s">
        <v>78</v>
      </c>
      <c r="K5" s="94"/>
      <c r="L5" s="100" t="s">
        <v>33</v>
      </c>
      <c r="M5" s="69">
        <f t="shared" si="1"/>
        <v>54547.34</v>
      </c>
      <c r="N5" s="69">
        <f t="shared" si="1"/>
        <v>204</v>
      </c>
      <c r="O5" s="113">
        <f t="shared" si="1"/>
        <v>54751.34</v>
      </c>
      <c r="P5" s="69">
        <f t="shared" si="1"/>
        <v>35455.771</v>
      </c>
      <c r="Q5" s="69">
        <f t="shared" si="1"/>
        <v>132.6</v>
      </c>
      <c r="R5" s="113">
        <f t="shared" si="1"/>
        <v>35588.371</v>
      </c>
      <c r="S5" s="69">
        <f t="shared" si="1"/>
        <v>13345.639125</v>
      </c>
      <c r="T5" s="69">
        <f t="shared" si="1"/>
        <v>22242.731874999998</v>
      </c>
      <c r="U5" s="39">
        <v>22242.73</v>
      </c>
    </row>
    <row r="6" spans="1:21" s="32" customFormat="1" ht="11.25">
      <c r="A6" s="300"/>
      <c r="B6" s="301"/>
      <c r="C6" s="40" t="s">
        <v>85</v>
      </c>
      <c r="D6" s="41"/>
      <c r="E6" s="42" t="s">
        <v>74</v>
      </c>
      <c r="F6" s="43"/>
      <c r="G6" s="91">
        <f>SUM(G4:G5)</f>
        <v>485946.5</v>
      </c>
      <c r="H6" s="164">
        <f>+R3/G6</f>
        <v>0.931893763098407</v>
      </c>
      <c r="L6" s="100" t="s">
        <v>125</v>
      </c>
      <c r="M6" s="69">
        <f t="shared" si="1"/>
        <v>112945.04318000001</v>
      </c>
      <c r="N6" s="69">
        <f t="shared" si="1"/>
        <v>16463.53</v>
      </c>
      <c r="O6" s="113">
        <f t="shared" si="1"/>
        <v>129408.57318</v>
      </c>
      <c r="P6" s="69">
        <f t="shared" si="1"/>
        <v>73414.27806699999</v>
      </c>
      <c r="Q6" s="69">
        <f t="shared" si="1"/>
        <v>10701.2945</v>
      </c>
      <c r="R6" s="113">
        <f t="shared" si="1"/>
        <v>84115.572567</v>
      </c>
      <c r="S6" s="69">
        <f t="shared" si="1"/>
        <v>31543.339712625</v>
      </c>
      <c r="T6" s="69">
        <f t="shared" si="1"/>
        <v>52572.232854375005</v>
      </c>
      <c r="U6" s="139">
        <v>52572.232854375</v>
      </c>
    </row>
    <row r="7" spans="1:21" s="32" customFormat="1" ht="11.25">
      <c r="A7" s="161"/>
      <c r="B7" s="162"/>
      <c r="C7" s="40" t="s">
        <v>128</v>
      </c>
      <c r="D7" s="41"/>
      <c r="E7" s="42"/>
      <c r="F7" s="43"/>
      <c r="G7" s="91"/>
      <c r="H7" s="164"/>
      <c r="L7" s="100" t="s">
        <v>129</v>
      </c>
      <c r="M7" s="69">
        <f aca="true" t="shared" si="2" ref="M7:N9">M17+M49+M73+M92+M109+M124+M146</f>
        <v>113980.59305000001</v>
      </c>
      <c r="N7" s="69">
        <f t="shared" si="2"/>
        <v>13145.47</v>
      </c>
      <c r="O7" s="113">
        <f>+N7+M7</f>
        <v>127126.06305000001</v>
      </c>
      <c r="P7" s="69">
        <f aca="true" t="shared" si="3" ref="P7:Q9">P17+P49+P73+P92+P109+P124+P146</f>
        <v>74087.38548250002</v>
      </c>
      <c r="Q7" s="69">
        <f t="shared" si="3"/>
        <v>8544.5555</v>
      </c>
      <c r="R7" s="113">
        <f>+Q7+P7</f>
        <v>82631.94098250002</v>
      </c>
      <c r="S7" s="69">
        <f>S17+S49+S73+S92+S109+S124+S146</f>
        <v>30986.977868437505</v>
      </c>
      <c r="T7" s="69">
        <f>T17+T49+T73+T92+T109+T124+T146</f>
        <v>51644.963114062506</v>
      </c>
      <c r="U7" s="139">
        <v>51644.96</v>
      </c>
    </row>
    <row r="8" spans="1:21" s="32" customFormat="1" ht="11.25">
      <c r="A8" s="161"/>
      <c r="B8" s="162"/>
      <c r="C8" s="40" t="s">
        <v>200</v>
      </c>
      <c r="D8" s="41"/>
      <c r="E8" s="42"/>
      <c r="F8" s="43"/>
      <c r="G8" s="91"/>
      <c r="H8" s="164"/>
      <c r="L8" s="100" t="s">
        <v>201</v>
      </c>
      <c r="M8" s="69">
        <f t="shared" si="2"/>
        <v>102455.44424242424</v>
      </c>
      <c r="N8" s="69">
        <f t="shared" si="2"/>
        <v>16745.815757575758</v>
      </c>
      <c r="O8" s="113">
        <f>+N8+M8</f>
        <v>119201.26000000001</v>
      </c>
      <c r="P8" s="69">
        <f t="shared" si="3"/>
        <v>66596.03875757576</v>
      </c>
      <c r="Q8" s="69">
        <f t="shared" si="3"/>
        <v>10884.780242424244</v>
      </c>
      <c r="R8" s="113">
        <f>+Q8+P8</f>
        <v>77480.819</v>
      </c>
      <c r="S8" s="69">
        <f>S18+S50+S74+S93+S110+S125+S147</f>
        <v>29055.307125</v>
      </c>
      <c r="T8" s="69">
        <f>T18+T50+T74+T93+T110+T125+T147</f>
        <v>48425.511875000004</v>
      </c>
      <c r="U8" s="139">
        <v>48425.511875</v>
      </c>
    </row>
    <row r="9" spans="1:21" s="32" customFormat="1" ht="11.25">
      <c r="A9" s="161"/>
      <c r="B9" s="162"/>
      <c r="C9" s="40" t="s">
        <v>232</v>
      </c>
      <c r="D9" s="41"/>
      <c r="E9" s="42"/>
      <c r="F9" s="43"/>
      <c r="G9" s="91"/>
      <c r="H9" s="164"/>
      <c r="L9" s="100" t="s">
        <v>234</v>
      </c>
      <c r="M9" s="69">
        <f t="shared" si="2"/>
        <v>72655.32</v>
      </c>
      <c r="N9" s="69">
        <f t="shared" si="2"/>
        <v>6380.13</v>
      </c>
      <c r="O9" s="113">
        <f>+N9+M9</f>
        <v>79035.45000000001</v>
      </c>
      <c r="P9" s="69">
        <f t="shared" si="3"/>
        <v>47225.958</v>
      </c>
      <c r="Q9" s="69">
        <f t="shared" si="3"/>
        <v>4147.0845</v>
      </c>
      <c r="R9" s="113">
        <f>+Q9+P9</f>
        <v>51373.042499999996</v>
      </c>
      <c r="S9" s="69">
        <f>+U3-150554.05</f>
        <v>-4770.099999999977</v>
      </c>
      <c r="T9" s="69">
        <f>T19+T51+T75+T94+T111+T126+T148-S9</f>
        <v>56143.14249999998</v>
      </c>
      <c r="U9" s="139"/>
    </row>
    <row r="10" spans="1:21" s="32" customFormat="1" ht="11.25">
      <c r="A10" s="300"/>
      <c r="B10" s="301"/>
      <c r="C10" s="40"/>
      <c r="D10" s="41"/>
      <c r="E10" s="42"/>
      <c r="F10" s="43"/>
      <c r="G10" s="43"/>
      <c r="H10" s="44"/>
      <c r="L10" s="100"/>
      <c r="M10" s="69"/>
      <c r="N10" s="69"/>
      <c r="O10" s="113"/>
      <c r="P10" s="69"/>
      <c r="Q10" s="69"/>
      <c r="R10" s="113"/>
      <c r="S10" s="69"/>
      <c r="T10" s="69"/>
      <c r="U10" s="31"/>
    </row>
    <row r="11" spans="1:21" s="32" customFormat="1" ht="11.25">
      <c r="A11" s="125"/>
      <c r="B11" s="126"/>
      <c r="D11" s="41"/>
      <c r="E11" s="42"/>
      <c r="F11" s="43"/>
      <c r="G11" s="43"/>
      <c r="H11" s="44"/>
      <c r="L11" s="100"/>
      <c r="M11" s="69"/>
      <c r="N11" s="69"/>
      <c r="O11" s="113"/>
      <c r="P11" s="69"/>
      <c r="Q11" s="69"/>
      <c r="R11" s="113"/>
      <c r="S11" s="69"/>
      <c r="T11" s="69"/>
      <c r="U11" s="31"/>
    </row>
    <row r="12" spans="1:21" ht="11.25">
      <c r="A12" s="45"/>
      <c r="B12" s="70"/>
      <c r="C12" s="238" t="s">
        <v>6</v>
      </c>
      <c r="D12" s="238"/>
      <c r="E12" s="238"/>
      <c r="F12" s="238"/>
      <c r="G12" s="238"/>
      <c r="H12" s="238"/>
      <c r="I12" s="238"/>
      <c r="J12" s="238"/>
      <c r="K12" s="238"/>
      <c r="L12" s="239"/>
      <c r="M12" s="242" t="s">
        <v>26</v>
      </c>
      <c r="N12" s="243"/>
      <c r="O12" s="243"/>
      <c r="P12" s="243" t="s">
        <v>22</v>
      </c>
      <c r="Q12" s="243"/>
      <c r="R12" s="243"/>
      <c r="S12" s="36" t="s">
        <v>24</v>
      </c>
      <c r="T12" s="37" t="s">
        <v>25</v>
      </c>
      <c r="U12" s="30"/>
    </row>
    <row r="13" spans="1:21" s="1" customFormat="1" ht="11.25">
      <c r="A13" s="127"/>
      <c r="B13" s="128"/>
      <c r="C13" s="60"/>
      <c r="D13" s="47"/>
      <c r="E13" s="47"/>
      <c r="F13" s="47"/>
      <c r="G13" s="47"/>
      <c r="H13" s="47"/>
      <c r="I13" s="47"/>
      <c r="J13" s="47"/>
      <c r="K13" s="61"/>
      <c r="L13" s="101" t="s">
        <v>12</v>
      </c>
      <c r="M13" s="3">
        <v>221500</v>
      </c>
      <c r="N13" s="3"/>
      <c r="O13" s="114"/>
      <c r="P13" s="3"/>
      <c r="Q13" s="95"/>
      <c r="R13" s="114"/>
      <c r="U13" s="28"/>
    </row>
    <row r="14" spans="1:21" s="1" customFormat="1" ht="11.25">
      <c r="A14" s="129"/>
      <c r="B14" s="130"/>
      <c r="C14" s="49"/>
      <c r="D14" s="48"/>
      <c r="E14" s="48"/>
      <c r="F14" s="48"/>
      <c r="G14" s="48"/>
      <c r="H14" s="48"/>
      <c r="I14" s="48"/>
      <c r="J14" s="48"/>
      <c r="K14" s="4">
        <f>SUM(K22:K23)</f>
        <v>0</v>
      </c>
      <c r="L14" s="102" t="s">
        <v>29</v>
      </c>
      <c r="M14" s="4">
        <f aca="true" t="shared" si="4" ref="M14:R14">SUM(M22:M23)</f>
        <v>112790.06</v>
      </c>
      <c r="N14" s="4">
        <f t="shared" si="4"/>
        <v>0</v>
      </c>
      <c r="O14" s="115">
        <f t="shared" si="4"/>
        <v>112790.06</v>
      </c>
      <c r="P14" s="4">
        <f t="shared" si="4"/>
        <v>73313.539</v>
      </c>
      <c r="Q14" s="4">
        <f t="shared" si="4"/>
        <v>0</v>
      </c>
      <c r="R14" s="115">
        <f t="shared" si="4"/>
        <v>73313.539</v>
      </c>
      <c r="S14" s="5">
        <f>R14*0.375</f>
        <v>27492.577125000003</v>
      </c>
      <c r="T14" s="5">
        <f aca="true" t="shared" si="5" ref="T14:T19">R14-S14</f>
        <v>45820.961875</v>
      </c>
      <c r="U14" s="34"/>
    </row>
    <row r="15" spans="1:21" s="1" customFormat="1" ht="11.25">
      <c r="A15" s="129"/>
      <c r="B15" s="130"/>
      <c r="C15" s="49"/>
      <c r="D15" s="48"/>
      <c r="E15" s="48"/>
      <c r="F15" s="48"/>
      <c r="G15" s="48"/>
      <c r="H15" s="48"/>
      <c r="I15" s="48"/>
      <c r="J15" s="48"/>
      <c r="K15" s="50"/>
      <c r="L15" s="102" t="s">
        <v>30</v>
      </c>
      <c r="M15" s="4">
        <f>+M24</f>
        <v>29573.18</v>
      </c>
      <c r="N15" s="4">
        <f>SUM(N25:N27)</f>
        <v>0</v>
      </c>
      <c r="O15" s="115">
        <f>+N15+M15</f>
        <v>29573.18</v>
      </c>
      <c r="P15" s="4">
        <f>+P24</f>
        <v>19222.567</v>
      </c>
      <c r="Q15" s="4">
        <f>SUM(Q25:Q27)</f>
        <v>0</v>
      </c>
      <c r="R15" s="115">
        <f>+Q15+P15</f>
        <v>19222.567</v>
      </c>
      <c r="S15" s="5">
        <f>R15*0.375</f>
        <v>7208.462625</v>
      </c>
      <c r="T15" s="5">
        <f t="shared" si="5"/>
        <v>12014.104374999999</v>
      </c>
      <c r="U15" s="34"/>
    </row>
    <row r="16" spans="1:21" s="1" customFormat="1" ht="11.25">
      <c r="A16" s="129"/>
      <c r="B16" s="130"/>
      <c r="C16" s="49"/>
      <c r="D16" s="48"/>
      <c r="E16" s="48"/>
      <c r="F16" s="48"/>
      <c r="G16" s="48"/>
      <c r="H16" s="48"/>
      <c r="I16" s="48"/>
      <c r="J16" s="48"/>
      <c r="K16" s="50"/>
      <c r="L16" s="102" t="s">
        <v>89</v>
      </c>
      <c r="M16" s="4">
        <f>SUM(M28:M31)</f>
        <v>36781.57318</v>
      </c>
      <c r="N16" s="4">
        <f>SUM(N29:N31)</f>
        <v>0</v>
      </c>
      <c r="O16" s="115">
        <f>+N16+M16</f>
        <v>36781.57318</v>
      </c>
      <c r="P16" s="4">
        <f>SUM(P28:P31)</f>
        <v>23908.022567</v>
      </c>
      <c r="Q16" s="4">
        <f>SUM(Q29:Q31)</f>
        <v>0</v>
      </c>
      <c r="R16" s="115">
        <f>+Q16+P16</f>
        <v>23908.022567</v>
      </c>
      <c r="S16" s="5">
        <f>R16*0.375</f>
        <v>8965.508462624999</v>
      </c>
      <c r="T16" s="5">
        <f t="shared" si="5"/>
        <v>14942.514104375</v>
      </c>
      <c r="U16" s="34"/>
    </row>
    <row r="17" spans="1:21" s="1" customFormat="1" ht="11.25">
      <c r="A17" s="129"/>
      <c r="B17" s="130"/>
      <c r="C17" s="49"/>
      <c r="D17" s="48"/>
      <c r="E17" s="48"/>
      <c r="F17" s="48"/>
      <c r="G17" s="48"/>
      <c r="H17" s="48"/>
      <c r="I17" s="48"/>
      <c r="J17" s="48"/>
      <c r="K17" s="50"/>
      <c r="L17" s="102" t="s">
        <v>165</v>
      </c>
      <c r="M17" s="4">
        <f>SUM(M32:M34)</f>
        <v>48253.26305</v>
      </c>
      <c r="N17" s="4">
        <f>SUM(N32:N34)</f>
        <v>0</v>
      </c>
      <c r="O17" s="115">
        <f>+N17+M17</f>
        <v>48253.26305</v>
      </c>
      <c r="P17" s="4">
        <f>SUM(P32:P34)</f>
        <v>31364.620982500004</v>
      </c>
      <c r="Q17" s="4">
        <f>SUM(Q32:Q34)</f>
        <v>0</v>
      </c>
      <c r="R17" s="115">
        <f>+Q17+P17</f>
        <v>31364.620982500004</v>
      </c>
      <c r="S17" s="5">
        <f>R17*0.375</f>
        <v>11761.732868437502</v>
      </c>
      <c r="T17" s="5">
        <f t="shared" si="5"/>
        <v>19602.8881140625</v>
      </c>
      <c r="U17" s="34"/>
    </row>
    <row r="18" spans="1:21" s="1" customFormat="1" ht="11.25">
      <c r="A18" s="129"/>
      <c r="B18" s="130"/>
      <c r="C18" s="49"/>
      <c r="D18" s="48"/>
      <c r="E18" s="48"/>
      <c r="F18" s="48"/>
      <c r="G18" s="48"/>
      <c r="H18" s="48"/>
      <c r="I18" s="48"/>
      <c r="J18" s="48"/>
      <c r="K18" s="50"/>
      <c r="L18" s="102" t="s">
        <v>207</v>
      </c>
      <c r="M18" s="4">
        <f>SUM(M35:M37)</f>
        <v>31195.059999999998</v>
      </c>
      <c r="N18" s="4"/>
      <c r="O18" s="115">
        <f>+N18+M18</f>
        <v>31195.059999999998</v>
      </c>
      <c r="P18" s="4">
        <f>SUM(P35:P37)</f>
        <v>20276.789</v>
      </c>
      <c r="Q18" s="4"/>
      <c r="R18" s="115">
        <f>+Q18+P18</f>
        <v>20276.789</v>
      </c>
      <c r="S18" s="5">
        <f>R18*0.375</f>
        <v>7603.795875</v>
      </c>
      <c r="T18" s="5">
        <f t="shared" si="5"/>
        <v>12672.993125</v>
      </c>
      <c r="U18" s="34"/>
    </row>
    <row r="19" spans="1:21" s="1" customFormat="1" ht="11.25">
      <c r="A19" s="129"/>
      <c r="B19" s="130"/>
      <c r="C19" s="49"/>
      <c r="D19" s="48"/>
      <c r="E19" s="48"/>
      <c r="F19" s="48"/>
      <c r="G19" s="48"/>
      <c r="H19" s="48"/>
      <c r="I19" s="48"/>
      <c r="J19" s="48"/>
      <c r="K19" s="50"/>
      <c r="L19" s="102" t="s">
        <v>235</v>
      </c>
      <c r="M19" s="4">
        <f>SUM(M38:M41)</f>
        <v>39328.880000000005</v>
      </c>
      <c r="N19" s="4">
        <f>SUM(N38:N41)</f>
        <v>0</v>
      </c>
      <c r="O19" s="115">
        <f>+N19+M19</f>
        <v>39328.880000000005</v>
      </c>
      <c r="P19" s="4">
        <f>SUM(P38:P41)</f>
        <v>25563.771999999997</v>
      </c>
      <c r="Q19" s="4">
        <f>SUM(Q38:Q41)</f>
        <v>0</v>
      </c>
      <c r="R19" s="115">
        <f>+Q19+P19</f>
        <v>25563.771999999997</v>
      </c>
      <c r="S19" s="5"/>
      <c r="T19" s="5">
        <f t="shared" si="5"/>
        <v>25563.771999999997</v>
      </c>
      <c r="U19" s="34"/>
    </row>
    <row r="20" spans="1:21" s="1" customFormat="1" ht="12.75">
      <c r="A20" s="131"/>
      <c r="B20" s="132"/>
      <c r="C20" s="51"/>
      <c r="D20" s="52"/>
      <c r="E20" s="52"/>
      <c r="F20" s="52"/>
      <c r="G20" s="52"/>
      <c r="H20" s="52"/>
      <c r="I20" s="52"/>
      <c r="J20" s="52"/>
      <c r="K20" s="53"/>
      <c r="L20" s="103" t="s">
        <v>13</v>
      </c>
      <c r="M20" s="6">
        <f>M13-M14-M15-M16-M17-M18-M19</f>
        <v>-76422.01623</v>
      </c>
      <c r="N20" s="6"/>
      <c r="O20" s="116"/>
      <c r="P20" s="6"/>
      <c r="Q20" s="6"/>
      <c r="R20" s="116"/>
      <c r="S20" s="133"/>
      <c r="T20" s="39"/>
      <c r="U20" s="28"/>
    </row>
    <row r="21" spans="1:21" ht="22.5">
      <c r="A21" s="99" t="s">
        <v>14</v>
      </c>
      <c r="B21" s="7" t="s">
        <v>11</v>
      </c>
      <c r="C21" s="38" t="s">
        <v>23</v>
      </c>
      <c r="D21" s="38" t="s">
        <v>20</v>
      </c>
      <c r="E21" s="46" t="s">
        <v>2</v>
      </c>
      <c r="F21" s="38" t="s">
        <v>19</v>
      </c>
      <c r="G21" s="38" t="s">
        <v>18</v>
      </c>
      <c r="H21" s="46" t="s">
        <v>17</v>
      </c>
      <c r="I21" s="46" t="s">
        <v>16</v>
      </c>
      <c r="J21" s="38" t="s">
        <v>3</v>
      </c>
      <c r="K21" s="38" t="s">
        <v>4</v>
      </c>
      <c r="L21" s="104" t="s">
        <v>5</v>
      </c>
      <c r="M21" s="7" t="s">
        <v>21</v>
      </c>
      <c r="N21" s="7" t="s">
        <v>79</v>
      </c>
      <c r="O21" s="104" t="s">
        <v>80</v>
      </c>
      <c r="P21" s="7" t="s">
        <v>22</v>
      </c>
      <c r="Q21" s="7" t="s">
        <v>81</v>
      </c>
      <c r="R21" s="104" t="s">
        <v>82</v>
      </c>
      <c r="S21" s="241" t="s">
        <v>28</v>
      </c>
      <c r="T21" s="241"/>
      <c r="U21" s="29"/>
    </row>
    <row r="22" spans="1:20" ht="22.5">
      <c r="A22" s="65" t="s">
        <v>15</v>
      </c>
      <c r="B22" s="8"/>
      <c r="C22" s="9" t="s">
        <v>37</v>
      </c>
      <c r="D22" s="13" t="s">
        <v>40</v>
      </c>
      <c r="E22" s="9"/>
      <c r="F22" s="9"/>
      <c r="G22" s="10"/>
      <c r="H22" s="11"/>
      <c r="I22" s="11"/>
      <c r="J22" s="12">
        <v>54527.08</v>
      </c>
      <c r="K22" s="12">
        <v>0</v>
      </c>
      <c r="L22" s="105">
        <f>SUM(J22:K22)</f>
        <v>54527.08</v>
      </c>
      <c r="M22" s="12">
        <f>L22</f>
        <v>54527.08</v>
      </c>
      <c r="N22" s="12"/>
      <c r="O22" s="105">
        <f>+N22+M22</f>
        <v>54527.08</v>
      </c>
      <c r="P22" s="12">
        <f>M22*0.65</f>
        <v>35442.602</v>
      </c>
      <c r="Q22" s="12"/>
      <c r="R22" s="105">
        <f>+Q22+P22</f>
        <v>35442.602</v>
      </c>
      <c r="S22" s="240"/>
      <c r="T22" s="240"/>
    </row>
    <row r="23" spans="1:21" ht="22.5">
      <c r="A23" s="65" t="s">
        <v>15</v>
      </c>
      <c r="B23" s="8"/>
      <c r="C23" s="9" t="s">
        <v>38</v>
      </c>
      <c r="D23" s="13" t="s">
        <v>39</v>
      </c>
      <c r="E23" s="9"/>
      <c r="F23" s="9"/>
      <c r="G23" s="10"/>
      <c r="H23" s="11"/>
      <c r="I23" s="11"/>
      <c r="J23" s="12">
        <v>58262.98</v>
      </c>
      <c r="K23" s="12">
        <v>0</v>
      </c>
      <c r="L23" s="105">
        <f>SUM(J23:K23)</f>
        <v>58262.98</v>
      </c>
      <c r="M23" s="12">
        <f>L23</f>
        <v>58262.98</v>
      </c>
      <c r="N23" s="12"/>
      <c r="O23" s="105">
        <f>+N23+M23</f>
        <v>58262.98</v>
      </c>
      <c r="P23" s="12">
        <f>M23*0.65</f>
        <v>37870.937000000005</v>
      </c>
      <c r="Q23" s="12"/>
      <c r="R23" s="105">
        <f>+Q23+P23</f>
        <v>37870.937000000005</v>
      </c>
      <c r="S23" s="240"/>
      <c r="T23" s="240"/>
      <c r="U23" s="29"/>
    </row>
    <row r="24" spans="1:21" s="150" customFormat="1" ht="22.5" customHeight="1">
      <c r="A24" s="140" t="s">
        <v>86</v>
      </c>
      <c r="B24" s="141"/>
      <c r="C24" s="142"/>
      <c r="D24" s="143" t="s">
        <v>126</v>
      </c>
      <c r="E24" s="142"/>
      <c r="F24" s="142"/>
      <c r="G24" s="144"/>
      <c r="H24" s="145"/>
      <c r="I24" s="145"/>
      <c r="J24" s="146">
        <f>SUM(J25:J27)</f>
        <v>29573.180220000002</v>
      </c>
      <c r="K24" s="146"/>
      <c r="L24" s="146">
        <f>+K24+J24</f>
        <v>29573.180220000002</v>
      </c>
      <c r="M24" s="146">
        <v>29573.18</v>
      </c>
      <c r="N24" s="146"/>
      <c r="O24" s="105">
        <f>+N24+M24</f>
        <v>29573.18</v>
      </c>
      <c r="P24" s="146">
        <f>+M24*0.65</f>
        <v>19222.567</v>
      </c>
      <c r="Q24" s="146"/>
      <c r="R24" s="105">
        <f>+Q24+P24</f>
        <v>19222.567</v>
      </c>
      <c r="S24" s="147"/>
      <c r="T24" s="148"/>
      <c r="U24" s="149"/>
    </row>
    <row r="25" spans="1:21" ht="23.25" customHeight="1">
      <c r="A25" s="65" t="s">
        <v>86</v>
      </c>
      <c r="B25" s="8"/>
      <c r="C25" s="9" t="s">
        <v>38</v>
      </c>
      <c r="D25" s="13" t="s">
        <v>87</v>
      </c>
      <c r="E25" s="9"/>
      <c r="F25" s="9"/>
      <c r="G25" s="10"/>
      <c r="H25" s="11"/>
      <c r="I25" s="11"/>
      <c r="J25" s="12">
        <f>14.1325*638+16.30579*638</f>
        <v>19419.62902</v>
      </c>
      <c r="K25" s="12"/>
      <c r="L25" s="105">
        <f aca="true" t="shared" si="6" ref="L25:L41">+K25+J25</f>
        <v>19419.62902</v>
      </c>
      <c r="M25" s="12">
        <v>19419.63</v>
      </c>
      <c r="N25" s="12"/>
      <c r="O25" s="105">
        <f>+N25+M25</f>
        <v>19419.63</v>
      </c>
      <c r="P25" s="12">
        <f>M25*0.65</f>
        <v>12622.759500000002</v>
      </c>
      <c r="Q25" s="12"/>
      <c r="R25" s="105">
        <f>+Q25+P25</f>
        <v>12622.759500000002</v>
      </c>
      <c r="S25" s="286" t="s">
        <v>186</v>
      </c>
      <c r="T25" s="287"/>
      <c r="U25" s="29"/>
    </row>
    <row r="26" spans="1:21" ht="23.25" customHeight="1">
      <c r="A26" s="65" t="s">
        <v>86</v>
      </c>
      <c r="B26" s="8"/>
      <c r="C26" s="9" t="s">
        <v>41</v>
      </c>
      <c r="D26" s="13" t="s">
        <v>90</v>
      </c>
      <c r="E26" s="9"/>
      <c r="F26" s="9"/>
      <c r="G26" s="10"/>
      <c r="H26" s="11"/>
      <c r="I26" s="11"/>
      <c r="J26" s="12">
        <v>2400.32</v>
      </c>
      <c r="K26" s="12"/>
      <c r="L26" s="105">
        <f t="shared" si="6"/>
        <v>2400.32</v>
      </c>
      <c r="M26" s="12"/>
      <c r="N26" s="12"/>
      <c r="O26" s="105"/>
      <c r="P26" s="12"/>
      <c r="Q26" s="12"/>
      <c r="R26" s="105"/>
      <c r="S26" s="288"/>
      <c r="T26" s="289"/>
      <c r="U26" s="29"/>
    </row>
    <row r="27" spans="1:21" ht="11.25">
      <c r="A27" s="65" t="s">
        <v>86</v>
      </c>
      <c r="B27" s="8"/>
      <c r="C27" s="9" t="s">
        <v>37</v>
      </c>
      <c r="D27" s="13" t="s">
        <v>88</v>
      </c>
      <c r="E27" s="9"/>
      <c r="F27" s="9"/>
      <c r="G27" s="10"/>
      <c r="H27" s="11"/>
      <c r="I27" s="11"/>
      <c r="J27" s="12">
        <f>12.1524*638</f>
        <v>7753.2312</v>
      </c>
      <c r="K27" s="12"/>
      <c r="L27" s="105">
        <f t="shared" si="6"/>
        <v>7753.2312</v>
      </c>
      <c r="M27" s="12">
        <v>7753.22</v>
      </c>
      <c r="N27" s="12"/>
      <c r="O27" s="105">
        <f>+N27+M27</f>
        <v>7753.22</v>
      </c>
      <c r="P27" s="12">
        <f>M27*0.65</f>
        <v>5039.593000000001</v>
      </c>
      <c r="Q27" s="12"/>
      <c r="R27" s="105">
        <f>+Q27+P27</f>
        <v>5039.593000000001</v>
      </c>
      <c r="S27" s="288"/>
      <c r="T27" s="289"/>
      <c r="U27" s="29"/>
    </row>
    <row r="28" spans="1:21" s="150" customFormat="1" ht="11.25">
      <c r="A28" s="140" t="s">
        <v>101</v>
      </c>
      <c r="B28" s="141"/>
      <c r="C28" s="142"/>
      <c r="D28" s="143" t="s">
        <v>127</v>
      </c>
      <c r="E28" s="142"/>
      <c r="F28" s="142"/>
      <c r="G28" s="144"/>
      <c r="H28" s="145"/>
      <c r="I28" s="145"/>
      <c r="J28" s="146">
        <f>+J27+J26+J25-J24</f>
        <v>0</v>
      </c>
      <c r="K28" s="146"/>
      <c r="L28" s="146"/>
      <c r="M28" s="146">
        <f aca="true" t="shared" si="7" ref="M28:R28">+M27+M26+M25-M24</f>
        <v>-2400.329999999998</v>
      </c>
      <c r="N28" s="146">
        <f t="shared" si="7"/>
        <v>0</v>
      </c>
      <c r="O28" s="105">
        <f t="shared" si="7"/>
        <v>-2400.329999999998</v>
      </c>
      <c r="P28" s="146">
        <f t="shared" si="7"/>
        <v>-1560.2144999999982</v>
      </c>
      <c r="Q28" s="146">
        <f t="shared" si="7"/>
        <v>0</v>
      </c>
      <c r="R28" s="105">
        <f t="shared" si="7"/>
        <v>-1560.2144999999982</v>
      </c>
      <c r="S28" s="288"/>
      <c r="T28" s="289"/>
      <c r="U28" s="149"/>
    </row>
    <row r="29" spans="1:21" ht="11.25" customHeight="1">
      <c r="A29" s="66" t="s">
        <v>101</v>
      </c>
      <c r="B29" s="8"/>
      <c r="C29" s="9" t="s">
        <v>41</v>
      </c>
      <c r="D29" s="13" t="s">
        <v>90</v>
      </c>
      <c r="E29" s="9"/>
      <c r="F29" s="9"/>
      <c r="G29" s="10"/>
      <c r="H29" s="11"/>
      <c r="I29" s="11"/>
      <c r="J29" s="12">
        <v>3600.94</v>
      </c>
      <c r="K29" s="12"/>
      <c r="L29" s="105">
        <f t="shared" si="6"/>
        <v>3600.94</v>
      </c>
      <c r="M29" s="12"/>
      <c r="N29" s="12"/>
      <c r="O29" s="105"/>
      <c r="P29" s="12"/>
      <c r="Q29" s="12"/>
      <c r="R29" s="105"/>
      <c r="S29" s="288"/>
      <c r="T29" s="289"/>
      <c r="U29" s="29"/>
    </row>
    <row r="30" spans="1:21" ht="22.5">
      <c r="A30" s="66" t="s">
        <v>101</v>
      </c>
      <c r="B30" s="8"/>
      <c r="C30" s="9" t="s">
        <v>38</v>
      </c>
      <c r="D30" s="13" t="s">
        <v>87</v>
      </c>
      <c r="E30" s="9"/>
      <c r="F30" s="9"/>
      <c r="G30" s="10"/>
      <c r="H30" s="11"/>
      <c r="I30" s="11"/>
      <c r="J30" s="12">
        <v>25935.28</v>
      </c>
      <c r="K30" s="12"/>
      <c r="L30" s="105">
        <f t="shared" si="6"/>
        <v>25935.28</v>
      </c>
      <c r="M30" s="12">
        <f>14.1325*632+16.30579*1042</f>
        <v>25922.373179999995</v>
      </c>
      <c r="N30" s="12"/>
      <c r="O30" s="105">
        <f>+N30+M30</f>
        <v>25922.373179999995</v>
      </c>
      <c r="P30" s="12">
        <f>M30*0.65</f>
        <v>16849.542566999997</v>
      </c>
      <c r="Q30" s="12"/>
      <c r="R30" s="105">
        <f>+Q30+P30</f>
        <v>16849.542566999997</v>
      </c>
      <c r="S30" s="288"/>
      <c r="T30" s="289"/>
      <c r="U30" s="29"/>
    </row>
    <row r="31" spans="1:21" ht="11.25">
      <c r="A31" s="66" t="s">
        <v>101</v>
      </c>
      <c r="B31" s="8"/>
      <c r="C31" s="9" t="s">
        <v>37</v>
      </c>
      <c r="D31" s="13" t="s">
        <v>88</v>
      </c>
      <c r="E31" s="9"/>
      <c r="F31" s="9"/>
      <c r="G31" s="10"/>
      <c r="H31" s="11"/>
      <c r="I31" s="11"/>
      <c r="J31" s="12">
        <v>13259.53</v>
      </c>
      <c r="K31" s="12"/>
      <c r="L31" s="105">
        <f t="shared" si="6"/>
        <v>13259.53</v>
      </c>
      <c r="M31" s="12">
        <v>13259.53</v>
      </c>
      <c r="N31" s="12"/>
      <c r="O31" s="105">
        <f>+N31+M31</f>
        <v>13259.53</v>
      </c>
      <c r="P31" s="12">
        <f>M31*0.65</f>
        <v>8618.694500000001</v>
      </c>
      <c r="Q31" s="12"/>
      <c r="R31" s="105">
        <f>+Q31+P31</f>
        <v>8618.694500000001</v>
      </c>
      <c r="S31" s="290"/>
      <c r="T31" s="291"/>
      <c r="U31" s="29"/>
    </row>
    <row r="32" spans="1:21" ht="32.25" customHeight="1">
      <c r="A32" s="66" t="s">
        <v>167</v>
      </c>
      <c r="B32" s="8"/>
      <c r="C32" s="9" t="s">
        <v>41</v>
      </c>
      <c r="D32" s="13" t="s">
        <v>168</v>
      </c>
      <c r="E32" s="9"/>
      <c r="F32" s="9"/>
      <c r="G32" s="10"/>
      <c r="H32" s="11"/>
      <c r="I32" s="11"/>
      <c r="J32" s="12">
        <f>1440+5993.1</f>
        <v>7433.1</v>
      </c>
      <c r="K32" s="12"/>
      <c r="L32" s="105">
        <f t="shared" si="6"/>
        <v>7433.1</v>
      </c>
      <c r="M32" s="12"/>
      <c r="N32" s="12"/>
      <c r="O32" s="105"/>
      <c r="P32" s="12"/>
      <c r="Q32" s="12"/>
      <c r="R32" s="105"/>
      <c r="S32" s="292" t="s">
        <v>242</v>
      </c>
      <c r="T32" s="293"/>
      <c r="U32" s="29"/>
    </row>
    <row r="33" spans="1:21" ht="33.75" customHeight="1">
      <c r="A33" s="66" t="s">
        <v>167</v>
      </c>
      <c r="B33" s="8"/>
      <c r="C33" s="9" t="s">
        <v>38</v>
      </c>
      <c r="D33" s="13" t="s">
        <v>169</v>
      </c>
      <c r="E33" s="9"/>
      <c r="F33" s="9"/>
      <c r="G33" s="10"/>
      <c r="H33" s="11"/>
      <c r="I33" s="11"/>
      <c r="J33" s="12">
        <v>26249.53</v>
      </c>
      <c r="K33" s="12"/>
      <c r="L33" s="105">
        <f t="shared" si="6"/>
        <v>26249.53</v>
      </c>
      <c r="M33" s="12">
        <f>17.91777*1465</f>
        <v>26249.533050000002</v>
      </c>
      <c r="N33" s="12"/>
      <c r="O33" s="105">
        <f aca="true" t="shared" si="8" ref="O33:O40">+N33+M33</f>
        <v>26249.533050000002</v>
      </c>
      <c r="P33" s="12">
        <f aca="true" t="shared" si="9" ref="P33:P40">M33*0.65</f>
        <v>17062.196482500003</v>
      </c>
      <c r="Q33" s="12"/>
      <c r="R33" s="105">
        <f aca="true" t="shared" si="10" ref="R33:R40">+Q33+P33</f>
        <v>17062.196482500003</v>
      </c>
      <c r="S33" s="294"/>
      <c r="T33" s="295"/>
      <c r="U33" s="29"/>
    </row>
    <row r="34" spans="1:21" ht="27" customHeight="1">
      <c r="A34" s="66" t="s">
        <v>167</v>
      </c>
      <c r="B34" s="8"/>
      <c r="C34" s="9" t="s">
        <v>37</v>
      </c>
      <c r="D34" s="13" t="s">
        <v>88</v>
      </c>
      <c r="E34" s="9"/>
      <c r="F34" s="9"/>
      <c r="G34" s="10"/>
      <c r="H34" s="11"/>
      <c r="I34" s="11"/>
      <c r="J34" s="12">
        <v>22003.73</v>
      </c>
      <c r="K34" s="12"/>
      <c r="L34" s="105">
        <f t="shared" si="6"/>
        <v>22003.73</v>
      </c>
      <c r="M34" s="12">
        <v>22003.73</v>
      </c>
      <c r="N34" s="12"/>
      <c r="O34" s="105">
        <f t="shared" si="8"/>
        <v>22003.73</v>
      </c>
      <c r="P34" s="12">
        <f t="shared" si="9"/>
        <v>14302.424500000001</v>
      </c>
      <c r="Q34" s="12"/>
      <c r="R34" s="105">
        <f t="shared" si="10"/>
        <v>14302.424500000001</v>
      </c>
      <c r="S34" s="294"/>
      <c r="T34" s="295"/>
      <c r="U34" s="29"/>
    </row>
    <row r="35" spans="1:21" ht="27" customHeight="1">
      <c r="A35" s="66" t="s">
        <v>187</v>
      </c>
      <c r="B35" s="8"/>
      <c r="C35" s="9" t="s">
        <v>38</v>
      </c>
      <c r="D35" s="13" t="s">
        <v>169</v>
      </c>
      <c r="E35" s="9"/>
      <c r="F35" s="9"/>
      <c r="G35" s="10"/>
      <c r="H35" s="11"/>
      <c r="I35" s="11"/>
      <c r="J35" s="12">
        <v>15270.96</v>
      </c>
      <c r="K35" s="12"/>
      <c r="L35" s="105">
        <f t="shared" si="6"/>
        <v>15270.96</v>
      </c>
      <c r="M35" s="12">
        <f>20.3*752</f>
        <v>15265.6</v>
      </c>
      <c r="N35" s="12"/>
      <c r="O35" s="105">
        <f t="shared" si="8"/>
        <v>15265.6</v>
      </c>
      <c r="P35" s="12">
        <f t="shared" si="9"/>
        <v>9922.640000000001</v>
      </c>
      <c r="Q35" s="12"/>
      <c r="R35" s="105">
        <f t="shared" si="10"/>
        <v>9922.640000000001</v>
      </c>
      <c r="S35" s="178"/>
      <c r="T35" s="179"/>
      <c r="U35" s="29"/>
    </row>
    <row r="36" spans="1:21" ht="27" customHeight="1">
      <c r="A36" s="66" t="s">
        <v>187</v>
      </c>
      <c r="B36" s="8"/>
      <c r="C36" s="9" t="s">
        <v>37</v>
      </c>
      <c r="D36" s="13" t="s">
        <v>88</v>
      </c>
      <c r="E36" s="9"/>
      <c r="F36" s="9"/>
      <c r="G36" s="10"/>
      <c r="H36" s="11"/>
      <c r="I36" s="11"/>
      <c r="J36" s="12">
        <v>12285.7</v>
      </c>
      <c r="K36" s="12"/>
      <c r="L36" s="105">
        <f t="shared" si="6"/>
        <v>12285.7</v>
      </c>
      <c r="M36" s="12">
        <f>16.64*738</f>
        <v>12280.32</v>
      </c>
      <c r="N36" s="12"/>
      <c r="O36" s="105">
        <f t="shared" si="8"/>
        <v>12280.32</v>
      </c>
      <c r="P36" s="12">
        <f t="shared" si="9"/>
        <v>7982.2080000000005</v>
      </c>
      <c r="Q36" s="12"/>
      <c r="R36" s="105">
        <f t="shared" si="10"/>
        <v>7982.2080000000005</v>
      </c>
      <c r="S36" s="178"/>
      <c r="T36" s="179"/>
      <c r="U36" s="29"/>
    </row>
    <row r="37" spans="1:21" ht="27" customHeight="1">
      <c r="A37" s="66" t="s">
        <v>187</v>
      </c>
      <c r="B37" s="8"/>
      <c r="C37" s="9" t="s">
        <v>41</v>
      </c>
      <c r="D37" s="13" t="s">
        <v>188</v>
      </c>
      <c r="E37" s="9"/>
      <c r="F37" s="9"/>
      <c r="G37" s="10"/>
      <c r="H37" s="11"/>
      <c r="I37" s="11"/>
      <c r="J37" s="12">
        <v>3649.14</v>
      </c>
      <c r="K37" s="12"/>
      <c r="L37" s="105">
        <f t="shared" si="6"/>
        <v>3649.14</v>
      </c>
      <c r="M37" s="12">
        <v>3649.14</v>
      </c>
      <c r="N37" s="12"/>
      <c r="O37" s="105">
        <f t="shared" si="8"/>
        <v>3649.14</v>
      </c>
      <c r="P37" s="12">
        <f t="shared" si="9"/>
        <v>2371.941</v>
      </c>
      <c r="Q37" s="12"/>
      <c r="R37" s="105">
        <f t="shared" si="10"/>
        <v>2371.941</v>
      </c>
      <c r="S37" s="178"/>
      <c r="T37" s="179"/>
      <c r="U37" s="29"/>
    </row>
    <row r="38" spans="1:21" ht="27" customHeight="1">
      <c r="A38" s="66" t="s">
        <v>210</v>
      </c>
      <c r="B38" s="8"/>
      <c r="C38" s="9" t="s">
        <v>41</v>
      </c>
      <c r="D38" s="13" t="s">
        <v>168</v>
      </c>
      <c r="E38" s="9"/>
      <c r="F38" s="9"/>
      <c r="G38" s="10"/>
      <c r="H38" s="11"/>
      <c r="I38" s="11"/>
      <c r="J38" s="12"/>
      <c r="K38" s="12"/>
      <c r="L38" s="105"/>
      <c r="M38" s="12">
        <f>200*7.2+800*7.49</f>
        <v>7432</v>
      </c>
      <c r="N38" s="12"/>
      <c r="O38" s="105">
        <f t="shared" si="8"/>
        <v>7432</v>
      </c>
      <c r="P38" s="12">
        <f t="shared" si="9"/>
        <v>4830.8</v>
      </c>
      <c r="Q38" s="12"/>
      <c r="R38" s="105">
        <f t="shared" si="10"/>
        <v>4830.8</v>
      </c>
      <c r="S38" s="294" t="s">
        <v>241</v>
      </c>
      <c r="T38" s="295"/>
      <c r="U38" s="29"/>
    </row>
    <row r="39" spans="1:21" ht="45" customHeight="1">
      <c r="A39" s="66" t="s">
        <v>210</v>
      </c>
      <c r="B39" s="8"/>
      <c r="C39" s="9" t="s">
        <v>38</v>
      </c>
      <c r="D39" s="13" t="s">
        <v>169</v>
      </c>
      <c r="E39" s="9"/>
      <c r="F39" s="9"/>
      <c r="G39" s="10"/>
      <c r="H39" s="11"/>
      <c r="I39" s="11"/>
      <c r="J39" s="12">
        <v>15543.87</v>
      </c>
      <c r="K39" s="12"/>
      <c r="L39" s="105">
        <f t="shared" si="6"/>
        <v>15543.87</v>
      </c>
      <c r="M39" s="12">
        <v>15543.87</v>
      </c>
      <c r="N39" s="12"/>
      <c r="O39" s="105">
        <f t="shared" si="8"/>
        <v>15543.87</v>
      </c>
      <c r="P39" s="12">
        <f t="shared" si="9"/>
        <v>10103.515500000001</v>
      </c>
      <c r="Q39" s="12"/>
      <c r="R39" s="105">
        <f t="shared" si="10"/>
        <v>10103.515500000001</v>
      </c>
      <c r="S39" s="292" t="s">
        <v>213</v>
      </c>
      <c r="T39" s="293"/>
      <c r="U39" s="29"/>
    </row>
    <row r="40" spans="1:21" ht="27" customHeight="1">
      <c r="A40" s="66" t="s">
        <v>210</v>
      </c>
      <c r="B40" s="8"/>
      <c r="C40" s="9" t="s">
        <v>37</v>
      </c>
      <c r="D40" s="13" t="s">
        <v>88</v>
      </c>
      <c r="E40" s="9"/>
      <c r="F40" s="9"/>
      <c r="G40" s="10"/>
      <c r="H40" s="11"/>
      <c r="I40" s="11"/>
      <c r="J40" s="12">
        <v>2850.1</v>
      </c>
      <c r="K40" s="12"/>
      <c r="L40" s="105">
        <f t="shared" si="6"/>
        <v>2850.1</v>
      </c>
      <c r="M40" s="12">
        <v>2850.1</v>
      </c>
      <c r="N40" s="12"/>
      <c r="O40" s="105">
        <f t="shared" si="8"/>
        <v>2850.1</v>
      </c>
      <c r="P40" s="12">
        <f t="shared" si="9"/>
        <v>1852.565</v>
      </c>
      <c r="Q40" s="12"/>
      <c r="R40" s="105">
        <f t="shared" si="10"/>
        <v>1852.565</v>
      </c>
      <c r="S40" s="302" t="s">
        <v>212</v>
      </c>
      <c r="T40" s="303"/>
      <c r="U40" s="29"/>
    </row>
    <row r="41" spans="1:21" ht="43.5" customHeight="1">
      <c r="A41" s="66" t="s">
        <v>210</v>
      </c>
      <c r="B41" s="8"/>
      <c r="C41" s="9" t="s">
        <v>41</v>
      </c>
      <c r="D41" s="13" t="s">
        <v>211</v>
      </c>
      <c r="E41" s="9"/>
      <c r="F41" s="9"/>
      <c r="G41" s="10"/>
      <c r="H41" s="11"/>
      <c r="I41" s="11"/>
      <c r="J41" s="12">
        <v>13502.91</v>
      </c>
      <c r="K41" s="12"/>
      <c r="L41" s="105">
        <f t="shared" si="6"/>
        <v>13502.91</v>
      </c>
      <c r="M41" s="12">
        <v>13502.91</v>
      </c>
      <c r="N41" s="12"/>
      <c r="O41" s="105">
        <f>+N41+M41</f>
        <v>13502.91</v>
      </c>
      <c r="P41" s="12">
        <f>M41*0.65</f>
        <v>8776.8915</v>
      </c>
      <c r="Q41" s="12"/>
      <c r="R41" s="105">
        <f>+Q41+P41</f>
        <v>8776.8915</v>
      </c>
      <c r="S41" s="304"/>
      <c r="T41" s="305"/>
      <c r="U41" s="29"/>
    </row>
    <row r="42" spans="1:21" ht="11.25">
      <c r="A42" s="66"/>
      <c r="B42" s="8"/>
      <c r="C42" s="9"/>
      <c r="D42" s="9"/>
      <c r="E42" s="9"/>
      <c r="F42" s="9"/>
      <c r="G42" s="10"/>
      <c r="H42" s="11"/>
      <c r="I42" s="11"/>
      <c r="J42" s="12"/>
      <c r="K42" s="12"/>
      <c r="L42" s="105"/>
      <c r="M42" s="12"/>
      <c r="N42" s="12"/>
      <c r="O42" s="105"/>
      <c r="P42" s="12"/>
      <c r="Q42" s="12"/>
      <c r="R42" s="105"/>
      <c r="S42" s="299"/>
      <c r="T42" s="299"/>
      <c r="U42" s="29"/>
    </row>
    <row r="43" ht="11.25">
      <c r="U43" s="29"/>
    </row>
    <row r="44" spans="1:21" ht="11.25">
      <c r="A44" s="67"/>
      <c r="B44" s="27"/>
      <c r="C44" s="238" t="s">
        <v>7</v>
      </c>
      <c r="D44" s="238"/>
      <c r="E44" s="238"/>
      <c r="F44" s="238"/>
      <c r="G44" s="238"/>
      <c r="H44" s="238"/>
      <c r="I44" s="238"/>
      <c r="J44" s="238"/>
      <c r="K44" s="238"/>
      <c r="L44" s="239"/>
      <c r="M44" s="242" t="s">
        <v>26</v>
      </c>
      <c r="N44" s="243"/>
      <c r="O44" s="243"/>
      <c r="P44" s="243" t="s">
        <v>22</v>
      </c>
      <c r="Q44" s="243"/>
      <c r="R44" s="243"/>
      <c r="S44" s="36" t="s">
        <v>24</v>
      </c>
      <c r="T44" s="37" t="s">
        <v>25</v>
      </c>
      <c r="U44" s="29"/>
    </row>
    <row r="45" spans="1:22" ht="11.25">
      <c r="A45" s="306"/>
      <c r="B45" s="307"/>
      <c r="C45" s="213"/>
      <c r="D45" s="214"/>
      <c r="E45" s="214"/>
      <c r="F45" s="214"/>
      <c r="G45" s="214"/>
      <c r="H45" s="214"/>
      <c r="I45" s="214"/>
      <c r="J45" s="214"/>
      <c r="K45" s="215"/>
      <c r="L45" s="107" t="s">
        <v>12</v>
      </c>
      <c r="M45" s="3">
        <v>187000</v>
      </c>
      <c r="N45" s="3"/>
      <c r="O45" s="114"/>
      <c r="P45" s="3"/>
      <c r="Q45" s="95"/>
      <c r="R45" s="117"/>
      <c r="S45" s="56"/>
      <c r="T45" s="56"/>
      <c r="U45" s="29"/>
      <c r="V45" s="29"/>
    </row>
    <row r="46" spans="1:22" ht="11.25">
      <c r="A46" s="231"/>
      <c r="B46" s="232"/>
      <c r="C46" s="49"/>
      <c r="D46" s="48"/>
      <c r="E46" s="48"/>
      <c r="F46" s="48"/>
      <c r="G46" s="48"/>
      <c r="H46" s="48"/>
      <c r="I46" s="48"/>
      <c r="J46" s="48"/>
      <c r="K46" s="4"/>
      <c r="L46" s="108" t="s">
        <v>29</v>
      </c>
      <c r="M46" s="4">
        <f aca="true" t="shared" si="11" ref="M46:R46">SUM(M54:M55)</f>
        <v>34990</v>
      </c>
      <c r="N46" s="4">
        <f t="shared" si="11"/>
        <v>6998</v>
      </c>
      <c r="O46" s="115">
        <f t="shared" si="11"/>
        <v>41988</v>
      </c>
      <c r="P46" s="4">
        <f t="shared" si="11"/>
        <v>22743.5</v>
      </c>
      <c r="Q46" s="4">
        <f t="shared" si="11"/>
        <v>4548.700000000001</v>
      </c>
      <c r="R46" s="115">
        <f t="shared" si="11"/>
        <v>27292.2</v>
      </c>
      <c r="S46" s="5">
        <f>R46*0.375</f>
        <v>10234.575</v>
      </c>
      <c r="T46" s="5">
        <f aca="true" t="shared" si="12" ref="T46:T51">R46-S46</f>
        <v>17057.625</v>
      </c>
      <c r="U46" s="29"/>
      <c r="V46" s="29"/>
    </row>
    <row r="47" spans="1:22" ht="11.25">
      <c r="A47" s="231"/>
      <c r="B47" s="232"/>
      <c r="C47" s="49"/>
      <c r="D47" s="48"/>
      <c r="E47" s="48"/>
      <c r="F47" s="73"/>
      <c r="G47" s="74"/>
      <c r="H47" s="48"/>
      <c r="I47" s="48"/>
      <c r="J47" s="48"/>
      <c r="K47" s="50"/>
      <c r="L47" s="108" t="s">
        <v>30</v>
      </c>
      <c r="M47" s="4">
        <v>0</v>
      </c>
      <c r="N47" s="4"/>
      <c r="O47" s="115"/>
      <c r="P47" s="4">
        <v>0</v>
      </c>
      <c r="Q47" s="96"/>
      <c r="R47" s="118"/>
      <c r="S47" s="5">
        <f>R47*0.375</f>
        <v>0</v>
      </c>
      <c r="T47" s="5">
        <f t="shared" si="12"/>
        <v>0</v>
      </c>
      <c r="U47" s="29"/>
      <c r="V47" s="29"/>
    </row>
    <row r="48" spans="1:22" ht="11.25">
      <c r="A48" s="231"/>
      <c r="B48" s="232"/>
      <c r="C48" s="49"/>
      <c r="D48" s="48"/>
      <c r="E48" s="48"/>
      <c r="F48" s="48"/>
      <c r="G48" s="48"/>
      <c r="H48" s="48"/>
      <c r="I48" s="48"/>
      <c r="J48" s="48"/>
      <c r="K48" s="50"/>
      <c r="L48" s="108" t="s">
        <v>89</v>
      </c>
      <c r="M48" s="4">
        <f>SUM(M56:M58)</f>
        <v>35800</v>
      </c>
      <c r="N48" s="4">
        <f>SUM(N56:N58)</f>
        <v>3600</v>
      </c>
      <c r="O48" s="115">
        <f>+N48+M48</f>
        <v>39400</v>
      </c>
      <c r="P48" s="4">
        <f>SUM(P56:P58)</f>
        <v>23270</v>
      </c>
      <c r="Q48" s="4">
        <f>SUM(Q56:Q58)</f>
        <v>2340</v>
      </c>
      <c r="R48" s="115">
        <f>+Q48+P48</f>
        <v>25610</v>
      </c>
      <c r="S48" s="5">
        <f>R48*0.375</f>
        <v>9603.75</v>
      </c>
      <c r="T48" s="5">
        <f t="shared" si="12"/>
        <v>16006.25</v>
      </c>
      <c r="U48" s="29"/>
      <c r="V48" s="29"/>
    </row>
    <row r="49" spans="1:22" ht="11.25">
      <c r="A49" s="231"/>
      <c r="B49" s="232"/>
      <c r="C49" s="49"/>
      <c r="D49" s="48"/>
      <c r="E49" s="48"/>
      <c r="F49" s="48"/>
      <c r="G49" s="48"/>
      <c r="H49" s="48"/>
      <c r="I49" s="48"/>
      <c r="J49" s="48"/>
      <c r="K49" s="50"/>
      <c r="L49" s="108" t="s">
        <v>165</v>
      </c>
      <c r="M49" s="4">
        <f>SUM(M59:M60)</f>
        <v>5610</v>
      </c>
      <c r="N49" s="4">
        <f>SUM(N59:N60)</f>
        <v>1122</v>
      </c>
      <c r="O49" s="115">
        <f>+N49+M49</f>
        <v>6732</v>
      </c>
      <c r="P49" s="4">
        <f>SUM(P59:P60)</f>
        <v>3646.5</v>
      </c>
      <c r="Q49" s="4">
        <f>SUM(Q59:Q60)</f>
        <v>729.3000000000001</v>
      </c>
      <c r="R49" s="115">
        <f>+Q49+P49</f>
        <v>4375.8</v>
      </c>
      <c r="S49" s="5">
        <f>R49*0.375</f>
        <v>1640.9250000000002</v>
      </c>
      <c r="T49" s="5">
        <f t="shared" si="12"/>
        <v>2734.875</v>
      </c>
      <c r="U49" s="29"/>
      <c r="V49" s="29"/>
    </row>
    <row r="50" spans="1:22" ht="11.25">
      <c r="A50" s="231"/>
      <c r="B50" s="232"/>
      <c r="C50" s="49"/>
      <c r="D50" s="48"/>
      <c r="E50" s="48"/>
      <c r="F50" s="48"/>
      <c r="G50" s="48"/>
      <c r="H50" s="48"/>
      <c r="I50" s="48"/>
      <c r="J50" s="48"/>
      <c r="K50" s="50"/>
      <c r="L50" s="108" t="s">
        <v>207</v>
      </c>
      <c r="M50" s="4">
        <f>SUM(M61:M63)</f>
        <v>5610</v>
      </c>
      <c r="N50" s="4">
        <f>SUM(N61:N63)</f>
        <v>4682</v>
      </c>
      <c r="O50" s="115">
        <f>+N50+M50</f>
        <v>10292</v>
      </c>
      <c r="P50" s="4">
        <f>SUM(P61:P63)</f>
        <v>3646.5</v>
      </c>
      <c r="Q50" s="4">
        <f>SUM(Q61:Q63)</f>
        <v>3043.3</v>
      </c>
      <c r="R50" s="115">
        <f>+Q50+P50</f>
        <v>6689.8</v>
      </c>
      <c r="S50" s="5">
        <f>R50*0.375</f>
        <v>2508.675</v>
      </c>
      <c r="T50" s="5">
        <f t="shared" si="12"/>
        <v>4181.125</v>
      </c>
      <c r="U50" s="29"/>
      <c r="V50" s="29"/>
    </row>
    <row r="51" spans="1:22" ht="11.25">
      <c r="A51" s="231"/>
      <c r="B51" s="232"/>
      <c r="C51" s="49"/>
      <c r="D51" s="48"/>
      <c r="E51" s="48"/>
      <c r="F51" s="48"/>
      <c r="G51" s="48"/>
      <c r="H51" s="48"/>
      <c r="I51" s="48"/>
      <c r="J51" s="48"/>
      <c r="K51" s="50"/>
      <c r="L51" s="108" t="s">
        <v>235</v>
      </c>
      <c r="M51" s="4">
        <f>SUM(M64:M65)</f>
        <v>15000</v>
      </c>
      <c r="N51" s="4">
        <f>SUM(N64:N65)</f>
        <v>3000</v>
      </c>
      <c r="O51" s="115">
        <f>+N51+M51</f>
        <v>18000</v>
      </c>
      <c r="P51" s="4">
        <f>SUM(P64:P65)</f>
        <v>9750</v>
      </c>
      <c r="Q51" s="4">
        <f>SUM(Q64:Q65)</f>
        <v>1950</v>
      </c>
      <c r="R51" s="115">
        <f>+Q51+P51</f>
        <v>11700</v>
      </c>
      <c r="S51" s="5"/>
      <c r="T51" s="5">
        <f t="shared" si="12"/>
        <v>11700</v>
      </c>
      <c r="U51" s="29"/>
      <c r="V51" s="29"/>
    </row>
    <row r="52" spans="1:22" ht="11.25">
      <c r="A52" s="233"/>
      <c r="B52" s="212"/>
      <c r="C52" s="244"/>
      <c r="D52" s="245"/>
      <c r="E52" s="245"/>
      <c r="F52" s="245"/>
      <c r="G52" s="245"/>
      <c r="H52" s="245"/>
      <c r="I52" s="245"/>
      <c r="J52" s="245"/>
      <c r="K52" s="246"/>
      <c r="L52" s="109" t="s">
        <v>13</v>
      </c>
      <c r="M52" s="6">
        <f>M45-M46-M47-M48-M49-M50-M51</f>
        <v>89990</v>
      </c>
      <c r="N52" s="6"/>
      <c r="O52" s="116"/>
      <c r="P52" s="6"/>
      <c r="Q52" s="6"/>
      <c r="R52" s="116"/>
      <c r="S52" s="39"/>
      <c r="T52" s="1"/>
      <c r="U52" s="29"/>
      <c r="V52" s="29"/>
    </row>
    <row r="53" spans="1:21" ht="22.5">
      <c r="A53" s="99" t="s">
        <v>14</v>
      </c>
      <c r="B53" s="7" t="s">
        <v>11</v>
      </c>
      <c r="C53" s="38" t="s">
        <v>23</v>
      </c>
      <c r="D53" s="38" t="s">
        <v>20</v>
      </c>
      <c r="E53" s="46" t="s">
        <v>2</v>
      </c>
      <c r="F53" s="38" t="s">
        <v>19</v>
      </c>
      <c r="G53" s="38" t="s">
        <v>18</v>
      </c>
      <c r="H53" s="46" t="s">
        <v>17</v>
      </c>
      <c r="I53" s="46" t="s">
        <v>16</v>
      </c>
      <c r="J53" s="38" t="s">
        <v>3</v>
      </c>
      <c r="K53" s="38" t="s">
        <v>4</v>
      </c>
      <c r="L53" s="104" t="s">
        <v>5</v>
      </c>
      <c r="M53" s="7" t="s">
        <v>21</v>
      </c>
      <c r="N53" s="7" t="s">
        <v>79</v>
      </c>
      <c r="O53" s="104" t="s">
        <v>80</v>
      </c>
      <c r="P53" s="7" t="s">
        <v>22</v>
      </c>
      <c r="Q53" s="7" t="s">
        <v>81</v>
      </c>
      <c r="R53" s="104" t="s">
        <v>82</v>
      </c>
      <c r="S53" s="241" t="s">
        <v>28</v>
      </c>
      <c r="T53" s="241"/>
      <c r="U53" s="29"/>
    </row>
    <row r="54" spans="1:21" s="85" customFormat="1" ht="11.25">
      <c r="A54" s="83" t="s">
        <v>15</v>
      </c>
      <c r="B54" s="90" t="s">
        <v>68</v>
      </c>
      <c r="C54" s="82" t="s">
        <v>41</v>
      </c>
      <c r="D54" s="82" t="s">
        <v>42</v>
      </c>
      <c r="E54" s="82" t="s">
        <v>43</v>
      </c>
      <c r="F54" s="82">
        <v>16</v>
      </c>
      <c r="G54" s="87">
        <v>38349</v>
      </c>
      <c r="H54" s="87">
        <v>38349</v>
      </c>
      <c r="I54" s="87" t="s">
        <v>45</v>
      </c>
      <c r="J54" s="84">
        <v>15000</v>
      </c>
      <c r="K54" s="84">
        <f>+J54*0.2</f>
        <v>3000</v>
      </c>
      <c r="L54" s="110">
        <f>SUM(J54:K54)</f>
        <v>18000</v>
      </c>
      <c r="M54" s="84">
        <v>15000</v>
      </c>
      <c r="N54" s="84">
        <f>+M54*0.2</f>
        <v>3000</v>
      </c>
      <c r="O54" s="110">
        <f>SUM(M54:N54)</f>
        <v>18000</v>
      </c>
      <c r="P54" s="84">
        <f>M54*0.65</f>
        <v>9750</v>
      </c>
      <c r="Q54" s="84">
        <f>N54*0.65</f>
        <v>1950</v>
      </c>
      <c r="R54" s="110">
        <f aca="true" t="shared" si="13" ref="R54:R60">+Q54+P54</f>
        <v>11700</v>
      </c>
      <c r="S54" s="216"/>
      <c r="T54" s="216"/>
      <c r="U54" s="85">
        <f>30*180+32*300</f>
        <v>15000</v>
      </c>
    </row>
    <row r="55" spans="1:21" ht="11.25">
      <c r="A55" s="65" t="s">
        <v>15</v>
      </c>
      <c r="B55" s="80" t="s">
        <v>69</v>
      </c>
      <c r="C55" s="9" t="s">
        <v>41</v>
      </c>
      <c r="D55" s="9" t="s">
        <v>46</v>
      </c>
      <c r="E55" s="9" t="s">
        <v>44</v>
      </c>
      <c r="F55" s="9">
        <v>248</v>
      </c>
      <c r="G55" s="10">
        <v>38294</v>
      </c>
      <c r="H55" s="11">
        <v>38390</v>
      </c>
      <c r="I55" s="11" t="s">
        <v>45</v>
      </c>
      <c r="J55" s="12">
        <v>20000</v>
      </c>
      <c r="K55" s="12">
        <f>+J55*0.2</f>
        <v>4000</v>
      </c>
      <c r="L55" s="105">
        <f>SUM(J55:K55)</f>
        <v>24000</v>
      </c>
      <c r="M55" s="33">
        <v>19990</v>
      </c>
      <c r="N55" s="33">
        <f>+M55*0.2</f>
        <v>3998</v>
      </c>
      <c r="O55" s="105">
        <f>+M55+N55</f>
        <v>23988</v>
      </c>
      <c r="P55" s="12">
        <f>M55*0.65</f>
        <v>12993.5</v>
      </c>
      <c r="Q55" s="12">
        <f>N55*0.65</f>
        <v>2598.7000000000003</v>
      </c>
      <c r="R55" s="110">
        <f t="shared" si="13"/>
        <v>15592.2</v>
      </c>
      <c r="S55" s="240"/>
      <c r="T55" s="240"/>
      <c r="U55" s="2">
        <f>35*350+43*180</f>
        <v>19990</v>
      </c>
    </row>
    <row r="56" spans="1:20" ht="11.25">
      <c r="A56" s="65" t="s">
        <v>101</v>
      </c>
      <c r="B56" s="8"/>
      <c r="C56" s="9" t="s">
        <v>41</v>
      </c>
      <c r="D56" s="134" t="s">
        <v>102</v>
      </c>
      <c r="E56" s="9" t="s">
        <v>103</v>
      </c>
      <c r="F56" s="9" t="s">
        <v>104</v>
      </c>
      <c r="G56" s="10">
        <v>38474</v>
      </c>
      <c r="H56" s="11">
        <v>38573</v>
      </c>
      <c r="I56" s="11" t="s">
        <v>45</v>
      </c>
      <c r="J56" s="12">
        <v>17800</v>
      </c>
      <c r="K56" s="12">
        <v>3560</v>
      </c>
      <c r="L56" s="105">
        <v>21360</v>
      </c>
      <c r="M56" s="33">
        <v>17800</v>
      </c>
      <c r="N56" s="33"/>
      <c r="O56" s="105">
        <f>+M56+N56</f>
        <v>17800</v>
      </c>
      <c r="P56" s="12">
        <f aca="true" t="shared" si="14" ref="P56:Q58">M56*0.65</f>
        <v>11570</v>
      </c>
      <c r="Q56" s="12"/>
      <c r="R56" s="110">
        <f t="shared" si="13"/>
        <v>11570</v>
      </c>
      <c r="S56" s="240"/>
      <c r="T56" s="240"/>
    </row>
    <row r="57" spans="1:20" ht="11.25">
      <c r="A57" s="65" t="s">
        <v>101</v>
      </c>
      <c r="B57" s="8"/>
      <c r="C57" s="9" t="s">
        <v>41</v>
      </c>
      <c r="D57" s="134" t="s">
        <v>106</v>
      </c>
      <c r="E57" s="9" t="s">
        <v>107</v>
      </c>
      <c r="F57" s="9" t="s">
        <v>108</v>
      </c>
      <c r="G57" s="10">
        <v>38565</v>
      </c>
      <c r="H57" s="11">
        <v>38568</v>
      </c>
      <c r="I57" s="11" t="s">
        <v>45</v>
      </c>
      <c r="J57" s="12">
        <v>10000</v>
      </c>
      <c r="K57" s="12">
        <v>2000</v>
      </c>
      <c r="L57" s="105">
        <v>12000</v>
      </c>
      <c r="M57" s="33">
        <v>10000</v>
      </c>
      <c r="N57" s="33">
        <v>2000</v>
      </c>
      <c r="O57" s="105">
        <f>+N57+M57</f>
        <v>12000</v>
      </c>
      <c r="P57" s="12">
        <f t="shared" si="14"/>
        <v>6500</v>
      </c>
      <c r="Q57" s="12">
        <f t="shared" si="14"/>
        <v>1300</v>
      </c>
      <c r="R57" s="110">
        <f t="shared" si="13"/>
        <v>7800</v>
      </c>
      <c r="S57" s="240"/>
      <c r="T57" s="240"/>
    </row>
    <row r="58" spans="1:20" ht="11.25">
      <c r="A58" s="65" t="s">
        <v>101</v>
      </c>
      <c r="B58" s="8"/>
      <c r="C58" s="9" t="s">
        <v>41</v>
      </c>
      <c r="D58" s="134" t="s">
        <v>109</v>
      </c>
      <c r="E58" s="9" t="s">
        <v>107</v>
      </c>
      <c r="F58" s="9">
        <v>27</v>
      </c>
      <c r="G58" s="10">
        <v>38652</v>
      </c>
      <c r="H58" s="11">
        <v>38672</v>
      </c>
      <c r="I58" s="11" t="s">
        <v>45</v>
      </c>
      <c r="J58" s="16">
        <v>8000</v>
      </c>
      <c r="K58" s="12">
        <v>1600</v>
      </c>
      <c r="L58" s="105">
        <v>9600</v>
      </c>
      <c r="M58" s="33">
        <v>8000</v>
      </c>
      <c r="N58" s="33">
        <v>1600</v>
      </c>
      <c r="O58" s="105">
        <f>+N58+M58</f>
        <v>9600</v>
      </c>
      <c r="P58" s="12">
        <f t="shared" si="14"/>
        <v>5200</v>
      </c>
      <c r="Q58" s="12">
        <f t="shared" si="14"/>
        <v>1040</v>
      </c>
      <c r="R58" s="110">
        <f t="shared" si="13"/>
        <v>6240</v>
      </c>
      <c r="S58" s="240"/>
      <c r="T58" s="240"/>
    </row>
    <row r="59" spans="1:20" ht="40.5" customHeight="1">
      <c r="A59" s="65" t="s">
        <v>167</v>
      </c>
      <c r="B59" s="8"/>
      <c r="C59" s="9" t="s">
        <v>41</v>
      </c>
      <c r="D59" s="134" t="s">
        <v>170</v>
      </c>
      <c r="E59" s="9" t="s">
        <v>171</v>
      </c>
      <c r="F59" s="9">
        <v>2</v>
      </c>
      <c r="G59" s="10">
        <v>38821</v>
      </c>
      <c r="H59" s="11">
        <v>38821</v>
      </c>
      <c r="I59" s="11" t="s">
        <v>172</v>
      </c>
      <c r="J59" s="16">
        <v>2805</v>
      </c>
      <c r="K59" s="12">
        <v>561</v>
      </c>
      <c r="L59" s="105">
        <v>3366</v>
      </c>
      <c r="M59" s="12">
        <f>+O59-N59</f>
        <v>2805</v>
      </c>
      <c r="N59" s="12">
        <v>561</v>
      </c>
      <c r="O59" s="105">
        <v>3366</v>
      </c>
      <c r="P59" s="12">
        <f aca="true" t="shared" si="15" ref="P59:Q63">M59*0.65</f>
        <v>1823.25</v>
      </c>
      <c r="Q59" s="12">
        <f t="shared" si="15"/>
        <v>364.65000000000003</v>
      </c>
      <c r="R59" s="110">
        <f t="shared" si="13"/>
        <v>2187.9</v>
      </c>
      <c r="S59" s="247"/>
      <c r="T59" s="228"/>
    </row>
    <row r="60" spans="1:20" ht="41.25" customHeight="1">
      <c r="A60" s="65" t="s">
        <v>167</v>
      </c>
      <c r="B60" s="8"/>
      <c r="C60" s="9" t="s">
        <v>41</v>
      </c>
      <c r="D60" s="134" t="s">
        <v>170</v>
      </c>
      <c r="E60" s="9" t="s">
        <v>171</v>
      </c>
      <c r="F60" s="9">
        <v>4</v>
      </c>
      <c r="G60" s="10">
        <v>38905</v>
      </c>
      <c r="H60" s="11">
        <v>38929</v>
      </c>
      <c r="I60" s="11" t="s">
        <v>172</v>
      </c>
      <c r="J60" s="16">
        <v>2805</v>
      </c>
      <c r="K60" s="12">
        <v>561</v>
      </c>
      <c r="L60" s="105">
        <v>3366</v>
      </c>
      <c r="M60" s="12">
        <f>+O60-N60</f>
        <v>2805</v>
      </c>
      <c r="N60" s="12">
        <v>561</v>
      </c>
      <c r="O60" s="105">
        <v>3366</v>
      </c>
      <c r="P60" s="12">
        <f t="shared" si="15"/>
        <v>1823.25</v>
      </c>
      <c r="Q60" s="12">
        <f t="shared" si="15"/>
        <v>364.65000000000003</v>
      </c>
      <c r="R60" s="110">
        <f t="shared" si="13"/>
        <v>2187.9</v>
      </c>
      <c r="S60" s="229"/>
      <c r="T60" s="230"/>
    </row>
    <row r="61" spans="1:20" ht="41.25" customHeight="1">
      <c r="A61" s="65" t="s">
        <v>187</v>
      </c>
      <c r="B61" s="8"/>
      <c r="C61" s="9" t="s">
        <v>41</v>
      </c>
      <c r="D61" s="134" t="s">
        <v>102</v>
      </c>
      <c r="E61" s="9" t="s">
        <v>103</v>
      </c>
      <c r="F61" s="9" t="s">
        <v>104</v>
      </c>
      <c r="G61" s="10">
        <v>38474</v>
      </c>
      <c r="H61" s="11">
        <v>38573</v>
      </c>
      <c r="I61" s="11" t="s">
        <v>45</v>
      </c>
      <c r="J61" s="12">
        <v>17800</v>
      </c>
      <c r="K61" s="12">
        <v>3560</v>
      </c>
      <c r="L61" s="105">
        <v>21360</v>
      </c>
      <c r="M61" s="33"/>
      <c r="N61" s="12">
        <v>3560</v>
      </c>
      <c r="O61" s="105">
        <f>+M61+N61</f>
        <v>3560</v>
      </c>
      <c r="P61" s="12">
        <f>M61*0.65</f>
        <v>0</v>
      </c>
      <c r="Q61" s="12">
        <f>N61*0.65</f>
        <v>2314</v>
      </c>
      <c r="R61" s="110">
        <f>+Q61+P61</f>
        <v>2314</v>
      </c>
      <c r="S61" s="309" t="s">
        <v>203</v>
      </c>
      <c r="T61" s="310"/>
    </row>
    <row r="62" spans="1:20" ht="41.25" customHeight="1">
      <c r="A62" s="65" t="s">
        <v>187</v>
      </c>
      <c r="B62" s="8"/>
      <c r="C62" s="9" t="s">
        <v>41</v>
      </c>
      <c r="D62" s="134" t="s">
        <v>170</v>
      </c>
      <c r="E62" s="9" t="s">
        <v>171</v>
      </c>
      <c r="F62" s="9">
        <v>6</v>
      </c>
      <c r="G62" s="10">
        <v>39014</v>
      </c>
      <c r="H62" s="11">
        <v>39049</v>
      </c>
      <c r="I62" s="11" t="s">
        <v>172</v>
      </c>
      <c r="J62" s="16">
        <v>2805</v>
      </c>
      <c r="K62" s="12">
        <v>561</v>
      </c>
      <c r="L62" s="105">
        <v>3366</v>
      </c>
      <c r="M62" s="16">
        <v>2805</v>
      </c>
      <c r="N62" s="12">
        <v>561</v>
      </c>
      <c r="O62" s="105">
        <v>3366</v>
      </c>
      <c r="P62" s="12">
        <f t="shared" si="15"/>
        <v>1823.25</v>
      </c>
      <c r="Q62" s="12">
        <f t="shared" si="15"/>
        <v>364.65000000000003</v>
      </c>
      <c r="R62" s="110">
        <f>+Q62+P62</f>
        <v>2187.9</v>
      </c>
      <c r="S62" s="309"/>
      <c r="T62" s="310"/>
    </row>
    <row r="63" spans="1:20" ht="41.25" customHeight="1">
      <c r="A63" s="65" t="s">
        <v>187</v>
      </c>
      <c r="B63" s="8"/>
      <c r="C63" s="9" t="s">
        <v>41</v>
      </c>
      <c r="D63" s="134" t="s">
        <v>170</v>
      </c>
      <c r="E63" s="9" t="s">
        <v>171</v>
      </c>
      <c r="F63" s="9">
        <v>7</v>
      </c>
      <c r="G63" s="10">
        <v>39064</v>
      </c>
      <c r="H63" s="11">
        <v>39074</v>
      </c>
      <c r="I63" s="11" t="s">
        <v>172</v>
      </c>
      <c r="J63" s="16">
        <v>2805</v>
      </c>
      <c r="K63" s="12">
        <v>561</v>
      </c>
      <c r="L63" s="105">
        <v>3366</v>
      </c>
      <c r="M63" s="16">
        <v>2805</v>
      </c>
      <c r="N63" s="12">
        <v>561</v>
      </c>
      <c r="O63" s="105">
        <v>3366</v>
      </c>
      <c r="P63" s="12">
        <f t="shared" si="15"/>
        <v>1823.25</v>
      </c>
      <c r="Q63" s="12">
        <f t="shared" si="15"/>
        <v>364.65000000000003</v>
      </c>
      <c r="R63" s="110">
        <f>+Q63+P63</f>
        <v>2187.9</v>
      </c>
      <c r="S63" s="309"/>
      <c r="T63" s="310"/>
    </row>
    <row r="64" spans="1:20" ht="63" customHeight="1">
      <c r="A64" s="65" t="s">
        <v>210</v>
      </c>
      <c r="B64" s="8"/>
      <c r="C64" s="9" t="s">
        <v>41</v>
      </c>
      <c r="D64" s="9" t="s">
        <v>228</v>
      </c>
      <c r="E64" s="9" t="s">
        <v>111</v>
      </c>
      <c r="F64" s="9" t="s">
        <v>214</v>
      </c>
      <c r="G64" s="10" t="s">
        <v>215</v>
      </c>
      <c r="H64" s="11">
        <v>39224</v>
      </c>
      <c r="I64" s="14" t="s">
        <v>105</v>
      </c>
      <c r="J64" s="16">
        <v>12190</v>
      </c>
      <c r="K64" s="12">
        <v>2438</v>
      </c>
      <c r="L64" s="105">
        <v>14628</v>
      </c>
      <c r="M64" s="16">
        <f>34*300/1.2</f>
        <v>8500</v>
      </c>
      <c r="N64" s="12">
        <f>+M64*0.2</f>
        <v>1700</v>
      </c>
      <c r="O64" s="105">
        <f>+N64+M64</f>
        <v>10200</v>
      </c>
      <c r="P64" s="12">
        <f>M64*0.65</f>
        <v>5525</v>
      </c>
      <c r="Q64" s="12">
        <f>N64*0.65</f>
        <v>1105</v>
      </c>
      <c r="R64" s="110">
        <f>+Q64+P64</f>
        <v>6630</v>
      </c>
      <c r="S64" s="309" t="s">
        <v>229</v>
      </c>
      <c r="T64" s="310"/>
    </row>
    <row r="65" spans="1:20" ht="22.5">
      <c r="A65" s="65" t="s">
        <v>210</v>
      </c>
      <c r="B65" s="8"/>
      <c r="C65" s="9" t="s">
        <v>41</v>
      </c>
      <c r="D65" s="134" t="s">
        <v>216</v>
      </c>
      <c r="E65" s="9" t="s">
        <v>66</v>
      </c>
      <c r="F65" s="9">
        <v>4</v>
      </c>
      <c r="G65" s="10">
        <v>39202</v>
      </c>
      <c r="H65" s="11">
        <v>39202</v>
      </c>
      <c r="I65" s="14" t="s">
        <v>105</v>
      </c>
      <c r="J65" s="191">
        <v>6500</v>
      </c>
      <c r="K65" s="136">
        <v>1300</v>
      </c>
      <c r="L65" s="138">
        <f>+K65+J65</f>
        <v>7800</v>
      </c>
      <c r="M65" s="191">
        <v>6500</v>
      </c>
      <c r="N65" s="136">
        <v>1300</v>
      </c>
      <c r="O65" s="138">
        <f>+N65+M65</f>
        <v>7800</v>
      </c>
      <c r="P65" s="12">
        <f>M65*0.65</f>
        <v>4225</v>
      </c>
      <c r="Q65" s="12">
        <f>N65*0.65</f>
        <v>845</v>
      </c>
      <c r="R65" s="110">
        <f>+Q65+P65</f>
        <v>5070</v>
      </c>
      <c r="S65" s="184"/>
      <c r="T65" s="185"/>
    </row>
    <row r="66" spans="1:20" ht="11.25">
      <c r="A66" s="65"/>
      <c r="B66" s="8"/>
      <c r="C66" s="9"/>
      <c r="D66" s="13"/>
      <c r="E66" s="13"/>
      <c r="F66" s="13"/>
      <c r="G66" s="10"/>
      <c r="H66" s="14"/>
      <c r="I66" s="14"/>
      <c r="J66" s="12"/>
      <c r="K66" s="12"/>
      <c r="L66" s="105"/>
      <c r="M66" s="33">
        <f>+J66</f>
        <v>0</v>
      </c>
      <c r="N66" s="33"/>
      <c r="O66" s="105"/>
      <c r="P66" s="12">
        <f>M66*0.65</f>
        <v>0</v>
      </c>
      <c r="Q66" s="12"/>
      <c r="R66" s="105"/>
      <c r="S66" s="240"/>
      <c r="T66" s="240"/>
    </row>
    <row r="67" ht="11.25">
      <c r="U67" s="29"/>
    </row>
    <row r="68" spans="1:21" ht="11.25">
      <c r="A68" s="45"/>
      <c r="B68" s="70"/>
      <c r="C68" s="238" t="s">
        <v>1</v>
      </c>
      <c r="D68" s="238"/>
      <c r="E68" s="238"/>
      <c r="F68" s="238"/>
      <c r="G68" s="238"/>
      <c r="H68" s="238"/>
      <c r="I68" s="238"/>
      <c r="J68" s="238"/>
      <c r="K68" s="238"/>
      <c r="L68" s="239"/>
      <c r="M68" s="242" t="s">
        <v>26</v>
      </c>
      <c r="N68" s="243"/>
      <c r="O68" s="243"/>
      <c r="P68" s="243" t="s">
        <v>22</v>
      </c>
      <c r="Q68" s="243"/>
      <c r="R68" s="243"/>
      <c r="S68" s="36" t="s">
        <v>24</v>
      </c>
      <c r="T68" s="37" t="s">
        <v>25</v>
      </c>
      <c r="U68" s="29"/>
    </row>
    <row r="69" spans="1:22" ht="11.25">
      <c r="A69" s="231"/>
      <c r="B69" s="232"/>
      <c r="C69" s="280"/>
      <c r="D69" s="281"/>
      <c r="E69" s="281"/>
      <c r="F69" s="281"/>
      <c r="G69" s="281"/>
      <c r="H69" s="281"/>
      <c r="I69" s="281"/>
      <c r="J69" s="281"/>
      <c r="K69" s="282"/>
      <c r="L69" s="101" t="s">
        <v>12</v>
      </c>
      <c r="M69" s="3">
        <v>75000</v>
      </c>
      <c r="N69" s="3"/>
      <c r="O69" s="114"/>
      <c r="P69" s="57"/>
      <c r="Q69" s="95"/>
      <c r="R69" s="117"/>
      <c r="S69" s="56"/>
      <c r="T69" s="56"/>
      <c r="U69" s="29"/>
      <c r="V69" s="29"/>
    </row>
    <row r="70" spans="1:22" ht="11.25">
      <c r="A70" s="231"/>
      <c r="B70" s="232"/>
      <c r="C70" s="283"/>
      <c r="D70" s="284"/>
      <c r="E70" s="284"/>
      <c r="F70" s="284"/>
      <c r="G70" s="284"/>
      <c r="H70" s="284"/>
      <c r="I70" s="284"/>
      <c r="J70" s="284"/>
      <c r="K70" s="285"/>
      <c r="L70" s="102" t="s">
        <v>29</v>
      </c>
      <c r="M70" s="4"/>
      <c r="N70" s="4"/>
      <c r="O70" s="115">
        <f>+N70+M70</f>
        <v>0</v>
      </c>
      <c r="P70" s="4"/>
      <c r="Q70" s="4"/>
      <c r="R70" s="118">
        <f>+Q70+P70</f>
        <v>0</v>
      </c>
      <c r="S70" s="5">
        <f>R70*0.375</f>
        <v>0</v>
      </c>
      <c r="T70" s="5">
        <f aca="true" t="shared" si="16" ref="T70:T75">R70-S70</f>
        <v>0</v>
      </c>
      <c r="U70" s="29"/>
      <c r="V70" s="29"/>
    </row>
    <row r="71" spans="1:22" ht="11.25">
      <c r="A71" s="231"/>
      <c r="B71" s="232"/>
      <c r="C71" s="49"/>
      <c r="D71" s="48"/>
      <c r="E71" s="48"/>
      <c r="F71" s="48"/>
      <c r="G71" s="48"/>
      <c r="H71" s="48"/>
      <c r="I71" s="48"/>
      <c r="J71" s="48"/>
      <c r="K71" s="50"/>
      <c r="L71" s="108" t="s">
        <v>30</v>
      </c>
      <c r="M71" s="4">
        <v>0</v>
      </c>
      <c r="N71" s="4"/>
      <c r="O71" s="115"/>
      <c r="P71" s="4">
        <v>0</v>
      </c>
      <c r="Q71" s="96"/>
      <c r="R71" s="118"/>
      <c r="S71" s="5">
        <f>R71*0.375</f>
        <v>0</v>
      </c>
      <c r="T71" s="5">
        <f t="shared" si="16"/>
        <v>0</v>
      </c>
      <c r="U71" s="29"/>
      <c r="V71" s="29"/>
    </row>
    <row r="72" spans="1:22" ht="11.25">
      <c r="A72" s="231"/>
      <c r="B72" s="232"/>
      <c r="C72" s="49"/>
      <c r="D72" s="48"/>
      <c r="E72" s="48"/>
      <c r="F72" s="48"/>
      <c r="G72" s="48"/>
      <c r="H72" s="48"/>
      <c r="I72" s="48"/>
      <c r="J72" s="48"/>
      <c r="K72" s="50"/>
      <c r="L72" s="108" t="s">
        <v>89</v>
      </c>
      <c r="M72" s="4">
        <f>+M78</f>
        <v>20000</v>
      </c>
      <c r="N72" s="4">
        <f>+N78</f>
        <v>4000</v>
      </c>
      <c r="O72" s="115">
        <f>+N72+M72</f>
        <v>24000</v>
      </c>
      <c r="P72" s="4">
        <f>+P78</f>
        <v>13000</v>
      </c>
      <c r="Q72" s="4">
        <f>+Q78</f>
        <v>2600</v>
      </c>
      <c r="R72" s="115">
        <f>+Q72+P72</f>
        <v>15600</v>
      </c>
      <c r="S72" s="5">
        <f>R72*0.375</f>
        <v>5850</v>
      </c>
      <c r="T72" s="5">
        <f t="shared" si="16"/>
        <v>9750</v>
      </c>
      <c r="U72" s="29"/>
      <c r="V72" s="29"/>
    </row>
    <row r="73" spans="1:22" ht="11.25">
      <c r="A73" s="231"/>
      <c r="B73" s="232"/>
      <c r="C73" s="49"/>
      <c r="D73" s="48"/>
      <c r="E73" s="48"/>
      <c r="F73" s="48"/>
      <c r="G73" s="48"/>
      <c r="H73" s="48"/>
      <c r="I73" s="48"/>
      <c r="J73" s="48"/>
      <c r="K73" s="50"/>
      <c r="L73" s="108" t="s">
        <v>165</v>
      </c>
      <c r="M73" s="4">
        <f>SUM(M79:M81)</f>
        <v>15838</v>
      </c>
      <c r="N73" s="4">
        <f>SUM(N79:N81)</f>
        <v>3167.6</v>
      </c>
      <c r="O73" s="115">
        <f>+N73+M73</f>
        <v>19005.6</v>
      </c>
      <c r="P73" s="4">
        <f>SUM(P79:P81)</f>
        <v>10294.7</v>
      </c>
      <c r="Q73" s="4">
        <f>SUM(Q79:Q81)</f>
        <v>2058.94</v>
      </c>
      <c r="R73" s="115">
        <f>+Q73+P73</f>
        <v>12353.640000000001</v>
      </c>
      <c r="S73" s="5">
        <f>R73*0.375</f>
        <v>4632.615000000001</v>
      </c>
      <c r="T73" s="5">
        <f t="shared" si="16"/>
        <v>7721.025000000001</v>
      </c>
      <c r="U73" s="29"/>
      <c r="V73" s="29"/>
    </row>
    <row r="74" spans="1:22" ht="11.25">
      <c r="A74" s="231"/>
      <c r="B74" s="232"/>
      <c r="C74" s="49"/>
      <c r="D74" s="48"/>
      <c r="E74" s="48"/>
      <c r="F74" s="48"/>
      <c r="G74" s="48"/>
      <c r="H74" s="48"/>
      <c r="I74" s="48"/>
      <c r="J74" s="48"/>
      <c r="K74" s="50"/>
      <c r="L74" s="108" t="s">
        <v>207</v>
      </c>
      <c r="M74" s="4">
        <f>SUM(M82:M83)</f>
        <v>25000</v>
      </c>
      <c r="N74" s="4">
        <f>SUM(N82:N83)</f>
        <v>5000</v>
      </c>
      <c r="O74" s="115">
        <f>+N74+M74</f>
        <v>30000</v>
      </c>
      <c r="P74" s="4">
        <f>SUM(P82:P83)</f>
        <v>16250</v>
      </c>
      <c r="Q74" s="4">
        <f>SUM(Q82:Q83)</f>
        <v>3250</v>
      </c>
      <c r="R74" s="115">
        <f>+Q74+P74</f>
        <v>19500</v>
      </c>
      <c r="S74" s="5">
        <f>R74*0.375</f>
        <v>7312.5</v>
      </c>
      <c r="T74" s="5">
        <f t="shared" si="16"/>
        <v>12187.5</v>
      </c>
      <c r="U74" s="29"/>
      <c r="V74" s="29"/>
    </row>
    <row r="75" spans="1:22" ht="11.25">
      <c r="A75" s="231"/>
      <c r="B75" s="232"/>
      <c r="C75" s="49"/>
      <c r="D75" s="48"/>
      <c r="E75" s="48"/>
      <c r="F75" s="48"/>
      <c r="G75" s="48"/>
      <c r="H75" s="48"/>
      <c r="I75" s="48"/>
      <c r="J75" s="48"/>
      <c r="K75" s="50"/>
      <c r="L75" s="108" t="s">
        <v>235</v>
      </c>
      <c r="M75" s="4">
        <f>+M84</f>
        <v>5800</v>
      </c>
      <c r="N75" s="4">
        <f>+N84</f>
        <v>1160</v>
      </c>
      <c r="O75" s="115">
        <f>+N75+M75</f>
        <v>6960</v>
      </c>
      <c r="P75" s="4">
        <f>+P84</f>
        <v>3770</v>
      </c>
      <c r="Q75" s="4">
        <f>+Q84</f>
        <v>754</v>
      </c>
      <c r="R75" s="115">
        <f>+Q75+P75</f>
        <v>4524</v>
      </c>
      <c r="S75" s="5"/>
      <c r="T75" s="5">
        <f t="shared" si="16"/>
        <v>4524</v>
      </c>
      <c r="U75" s="29"/>
      <c r="V75" s="29"/>
    </row>
    <row r="76" spans="1:22" ht="11.25">
      <c r="A76" s="233"/>
      <c r="B76" s="212"/>
      <c r="C76" s="244"/>
      <c r="D76" s="245"/>
      <c r="E76" s="245"/>
      <c r="F76" s="245"/>
      <c r="G76" s="245"/>
      <c r="H76" s="245"/>
      <c r="I76" s="245"/>
      <c r="J76" s="245"/>
      <c r="K76" s="246"/>
      <c r="L76" s="103" t="s">
        <v>13</v>
      </c>
      <c r="M76" s="6">
        <f>M69-M70-M71-M72-M73-M74-M75</f>
        <v>8362</v>
      </c>
      <c r="N76" s="6"/>
      <c r="O76" s="116"/>
      <c r="P76" s="6"/>
      <c r="Q76" s="6"/>
      <c r="R76" s="116"/>
      <c r="S76" s="58"/>
      <c r="T76" s="1"/>
      <c r="U76" s="29"/>
      <c r="V76" s="29"/>
    </row>
    <row r="77" spans="1:21" ht="22.5">
      <c r="A77" s="99" t="s">
        <v>14</v>
      </c>
      <c r="B77" s="7" t="s">
        <v>11</v>
      </c>
      <c r="C77" s="38" t="s">
        <v>23</v>
      </c>
      <c r="D77" s="38" t="s">
        <v>20</v>
      </c>
      <c r="E77" s="46" t="s">
        <v>2</v>
      </c>
      <c r="F77" s="38" t="s">
        <v>19</v>
      </c>
      <c r="G77" s="38" t="s">
        <v>18</v>
      </c>
      <c r="H77" s="46" t="s">
        <v>17</v>
      </c>
      <c r="I77" s="46" t="s">
        <v>16</v>
      </c>
      <c r="J77" s="38" t="s">
        <v>3</v>
      </c>
      <c r="K77" s="38" t="s">
        <v>4</v>
      </c>
      <c r="L77" s="104" t="s">
        <v>5</v>
      </c>
      <c r="M77" s="7" t="s">
        <v>21</v>
      </c>
      <c r="N77" s="7" t="s">
        <v>79</v>
      </c>
      <c r="O77" s="104" t="s">
        <v>80</v>
      </c>
      <c r="P77" s="7" t="s">
        <v>22</v>
      </c>
      <c r="Q77" s="7" t="s">
        <v>81</v>
      </c>
      <c r="R77" s="104" t="s">
        <v>82</v>
      </c>
      <c r="S77" s="241" t="s">
        <v>28</v>
      </c>
      <c r="T77" s="241"/>
      <c r="U77" s="29"/>
    </row>
    <row r="78" spans="1:20" ht="11.25">
      <c r="A78" s="65" t="s">
        <v>101</v>
      </c>
      <c r="B78" s="8"/>
      <c r="C78" s="9" t="s">
        <v>41</v>
      </c>
      <c r="D78" s="9" t="s">
        <v>110</v>
      </c>
      <c r="E78" s="9" t="s">
        <v>111</v>
      </c>
      <c r="F78" s="9" t="s">
        <v>112</v>
      </c>
      <c r="G78" s="10">
        <v>38562</v>
      </c>
      <c r="H78" s="11">
        <v>38568</v>
      </c>
      <c r="I78" s="11" t="s">
        <v>45</v>
      </c>
      <c r="J78" s="16">
        <v>20000</v>
      </c>
      <c r="K78" s="135">
        <v>4000</v>
      </c>
      <c r="L78" s="105">
        <v>24000</v>
      </c>
      <c r="M78" s="12">
        <v>20000</v>
      </c>
      <c r="N78" s="12">
        <v>4000</v>
      </c>
      <c r="O78" s="105">
        <f>+N78+M78</f>
        <v>24000</v>
      </c>
      <c r="P78" s="12">
        <f aca="true" t="shared" si="17" ref="P78:Q81">M78*0.65</f>
        <v>13000</v>
      </c>
      <c r="Q78" s="12">
        <f t="shared" si="17"/>
        <v>2600</v>
      </c>
      <c r="R78" s="105">
        <f aca="true" t="shared" si="18" ref="R78:R83">+Q78+P78</f>
        <v>15600</v>
      </c>
      <c r="S78" s="240"/>
      <c r="T78" s="240"/>
    </row>
    <row r="79" spans="1:20" ht="11.25">
      <c r="A79" s="65" t="s">
        <v>167</v>
      </c>
      <c r="B79" s="8"/>
      <c r="C79" s="9" t="s">
        <v>41</v>
      </c>
      <c r="D79" s="9" t="s">
        <v>110</v>
      </c>
      <c r="E79" s="9" t="s">
        <v>111</v>
      </c>
      <c r="F79" s="9" t="s">
        <v>173</v>
      </c>
      <c r="G79" s="10">
        <v>38692</v>
      </c>
      <c r="H79" s="11">
        <v>38716</v>
      </c>
      <c r="I79" s="11" t="s">
        <v>45</v>
      </c>
      <c r="J79" s="16">
        <v>9166.67</v>
      </c>
      <c r="K79" s="135">
        <v>1833.33</v>
      </c>
      <c r="L79" s="105">
        <v>11000</v>
      </c>
      <c r="M79" s="12">
        <v>9166.67</v>
      </c>
      <c r="N79" s="12">
        <v>1833.33</v>
      </c>
      <c r="O79" s="105">
        <f>+N79+M79</f>
        <v>11000</v>
      </c>
      <c r="P79" s="12">
        <f t="shared" si="17"/>
        <v>5958.3355</v>
      </c>
      <c r="Q79" s="12">
        <f t="shared" si="17"/>
        <v>1191.6645</v>
      </c>
      <c r="R79" s="105">
        <f t="shared" si="18"/>
        <v>7150</v>
      </c>
      <c r="S79" s="240"/>
      <c r="T79" s="240"/>
    </row>
    <row r="80" spans="1:20" ht="11.25">
      <c r="A80" s="65" t="s">
        <v>167</v>
      </c>
      <c r="B80" s="8"/>
      <c r="C80" s="9" t="s">
        <v>41</v>
      </c>
      <c r="D80" s="9" t="s">
        <v>110</v>
      </c>
      <c r="E80" s="9" t="s">
        <v>111</v>
      </c>
      <c r="F80" s="9" t="s">
        <v>174</v>
      </c>
      <c r="G80" s="10">
        <v>38692</v>
      </c>
      <c r="H80" s="11">
        <v>38898</v>
      </c>
      <c r="I80" s="11" t="s">
        <v>45</v>
      </c>
      <c r="J80" s="16">
        <v>5833.33</v>
      </c>
      <c r="K80" s="135">
        <v>1166.67</v>
      </c>
      <c r="L80" s="105">
        <v>7000</v>
      </c>
      <c r="M80" s="12">
        <v>5833.33</v>
      </c>
      <c r="N80" s="12">
        <v>1166.67</v>
      </c>
      <c r="O80" s="105">
        <f>+N80+M80</f>
        <v>7000</v>
      </c>
      <c r="P80" s="12">
        <f t="shared" si="17"/>
        <v>3791.6645</v>
      </c>
      <c r="Q80" s="12">
        <f t="shared" si="17"/>
        <v>758.3355</v>
      </c>
      <c r="R80" s="105">
        <f t="shared" si="18"/>
        <v>4550</v>
      </c>
      <c r="S80" s="240"/>
      <c r="T80" s="240"/>
    </row>
    <row r="81" spans="1:20" ht="11.25">
      <c r="A81" s="65" t="s">
        <v>167</v>
      </c>
      <c r="B81" s="8"/>
      <c r="C81" s="9" t="s">
        <v>41</v>
      </c>
      <c r="D81" s="9" t="s">
        <v>175</v>
      </c>
      <c r="E81" s="9" t="s">
        <v>176</v>
      </c>
      <c r="F81" s="9">
        <v>128</v>
      </c>
      <c r="G81" s="10">
        <v>38852</v>
      </c>
      <c r="H81" s="11">
        <v>38897</v>
      </c>
      <c r="I81" s="11" t="s">
        <v>45</v>
      </c>
      <c r="J81" s="16">
        <v>838</v>
      </c>
      <c r="K81" s="135">
        <v>167.6</v>
      </c>
      <c r="L81" s="105">
        <v>1005.6</v>
      </c>
      <c r="M81" s="12">
        <v>838</v>
      </c>
      <c r="N81" s="12">
        <v>167.6</v>
      </c>
      <c r="O81" s="105">
        <f>+N81+M81</f>
        <v>1005.6</v>
      </c>
      <c r="P81" s="12">
        <f t="shared" si="17"/>
        <v>544.7</v>
      </c>
      <c r="Q81" s="12">
        <f t="shared" si="17"/>
        <v>108.94</v>
      </c>
      <c r="R81" s="105">
        <f t="shared" si="18"/>
        <v>653.6400000000001</v>
      </c>
      <c r="S81" s="240"/>
      <c r="T81" s="240"/>
    </row>
    <row r="82" spans="1:20" ht="11.25">
      <c r="A82" s="65" t="s">
        <v>187</v>
      </c>
      <c r="B82" s="8"/>
      <c r="C82" s="9" t="s">
        <v>41</v>
      </c>
      <c r="D82" s="9" t="s">
        <v>110</v>
      </c>
      <c r="E82" s="9" t="s">
        <v>111</v>
      </c>
      <c r="F82" s="9" t="s">
        <v>189</v>
      </c>
      <c r="G82" s="10">
        <v>39056</v>
      </c>
      <c r="H82" s="11">
        <v>39066</v>
      </c>
      <c r="I82" s="11" t="s">
        <v>105</v>
      </c>
      <c r="J82" s="16">
        <v>13009.04</v>
      </c>
      <c r="K82" s="135">
        <v>2601.81</v>
      </c>
      <c r="L82" s="105">
        <v>15610.85</v>
      </c>
      <c r="M82" s="16">
        <v>13009.04</v>
      </c>
      <c r="N82" s="135">
        <v>2601.81</v>
      </c>
      <c r="O82" s="105">
        <v>15610.85</v>
      </c>
      <c r="P82" s="12">
        <f aca="true" t="shared" si="19" ref="P82:Q84">M82*0.65</f>
        <v>8455.876</v>
      </c>
      <c r="Q82" s="12">
        <f t="shared" si="19"/>
        <v>1691.1765</v>
      </c>
      <c r="R82" s="105">
        <f t="shared" si="18"/>
        <v>10147.0525</v>
      </c>
      <c r="S82" s="247"/>
      <c r="T82" s="228"/>
    </row>
    <row r="83" spans="1:20" ht="11.25">
      <c r="A83" s="65" t="s">
        <v>187</v>
      </c>
      <c r="B83" s="8"/>
      <c r="C83" s="9" t="s">
        <v>41</v>
      </c>
      <c r="D83" s="9" t="s">
        <v>110</v>
      </c>
      <c r="E83" s="9" t="s">
        <v>111</v>
      </c>
      <c r="F83" s="9" t="s">
        <v>190</v>
      </c>
      <c r="G83" s="10">
        <v>39056</v>
      </c>
      <c r="H83" s="11">
        <v>39066</v>
      </c>
      <c r="I83" s="11" t="s">
        <v>105</v>
      </c>
      <c r="J83" s="16">
        <v>11990.96</v>
      </c>
      <c r="K83" s="135">
        <v>2398.19</v>
      </c>
      <c r="L83" s="105">
        <v>14389.15</v>
      </c>
      <c r="M83" s="16">
        <v>11990.96</v>
      </c>
      <c r="N83" s="135">
        <v>2398.19</v>
      </c>
      <c r="O83" s="105">
        <v>14389.15</v>
      </c>
      <c r="P83" s="12">
        <f t="shared" si="19"/>
        <v>7794.124</v>
      </c>
      <c r="Q83" s="12">
        <f t="shared" si="19"/>
        <v>1558.8235000000002</v>
      </c>
      <c r="R83" s="105">
        <f t="shared" si="18"/>
        <v>9352.9475</v>
      </c>
      <c r="S83" s="229"/>
      <c r="T83" s="230"/>
    </row>
    <row r="84" spans="1:20" ht="11.25">
      <c r="A84" s="65" t="s">
        <v>210</v>
      </c>
      <c r="B84" s="8"/>
      <c r="C84" s="9" t="s">
        <v>41</v>
      </c>
      <c r="D84" s="9" t="s">
        <v>110</v>
      </c>
      <c r="E84" s="9" t="s">
        <v>111</v>
      </c>
      <c r="F84" s="9" t="s">
        <v>217</v>
      </c>
      <c r="G84" s="10">
        <v>39217</v>
      </c>
      <c r="H84" s="11">
        <v>39226</v>
      </c>
      <c r="I84" s="11" t="s">
        <v>105</v>
      </c>
      <c r="J84" s="16">
        <v>5800</v>
      </c>
      <c r="K84" s="135">
        <v>1160</v>
      </c>
      <c r="L84" s="105">
        <v>6960</v>
      </c>
      <c r="M84" s="16">
        <v>5800</v>
      </c>
      <c r="N84" s="135">
        <f>+M84*0.2</f>
        <v>1160</v>
      </c>
      <c r="O84" s="105">
        <f>+N84+M84</f>
        <v>6960</v>
      </c>
      <c r="P84" s="12">
        <f t="shared" si="19"/>
        <v>3770</v>
      </c>
      <c r="Q84" s="12">
        <f t="shared" si="19"/>
        <v>754</v>
      </c>
      <c r="R84" s="105">
        <f>+Q84+P84</f>
        <v>4524</v>
      </c>
      <c r="S84" s="180"/>
      <c r="T84" s="181"/>
    </row>
    <row r="85" spans="1:21" ht="11.25">
      <c r="A85" s="68"/>
      <c r="B85" s="8"/>
      <c r="C85" s="9"/>
      <c r="D85" s="9"/>
      <c r="E85" s="9"/>
      <c r="F85" s="9"/>
      <c r="G85" s="10"/>
      <c r="H85" s="11"/>
      <c r="I85" s="11"/>
      <c r="J85" s="12"/>
      <c r="K85" s="12"/>
      <c r="L85" s="182"/>
      <c r="M85" s="12"/>
      <c r="N85" s="12"/>
      <c r="O85" s="105"/>
      <c r="P85" s="12"/>
      <c r="Q85" s="12"/>
      <c r="R85" s="105"/>
      <c r="S85" s="240"/>
      <c r="T85" s="240"/>
      <c r="U85" s="29"/>
    </row>
    <row r="86" ht="11.25">
      <c r="U86" s="29"/>
    </row>
    <row r="87" spans="1:21" ht="11.25">
      <c r="A87" s="45"/>
      <c r="B87" s="70"/>
      <c r="C87" s="238" t="s">
        <v>8</v>
      </c>
      <c r="D87" s="238"/>
      <c r="E87" s="238"/>
      <c r="F87" s="238"/>
      <c r="G87" s="238"/>
      <c r="H87" s="238"/>
      <c r="I87" s="238"/>
      <c r="J87" s="238"/>
      <c r="K87" s="238"/>
      <c r="L87" s="239"/>
      <c r="M87" s="242" t="s">
        <v>26</v>
      </c>
      <c r="N87" s="243"/>
      <c r="O87" s="243"/>
      <c r="P87" s="243" t="s">
        <v>22</v>
      </c>
      <c r="Q87" s="243"/>
      <c r="R87" s="243"/>
      <c r="S87" s="36" t="s">
        <v>24</v>
      </c>
      <c r="T87" s="37" t="s">
        <v>25</v>
      </c>
      <c r="U87" s="29"/>
    </row>
    <row r="88" spans="1:22" ht="11.25">
      <c r="A88" s="231"/>
      <c r="B88" s="232"/>
      <c r="C88" s="280"/>
      <c r="D88" s="281"/>
      <c r="E88" s="281"/>
      <c r="F88" s="281"/>
      <c r="G88" s="281"/>
      <c r="H88" s="281"/>
      <c r="I88" s="281"/>
      <c r="J88" s="281"/>
      <c r="K88" s="282"/>
      <c r="L88" s="111" t="s">
        <v>12</v>
      </c>
      <c r="M88" s="3">
        <v>25000</v>
      </c>
      <c r="N88" s="3"/>
      <c r="O88" s="114"/>
      <c r="P88" s="3"/>
      <c r="Q88" s="95"/>
      <c r="R88" s="117"/>
      <c r="S88" s="56"/>
      <c r="T88" s="56"/>
      <c r="U88" s="29"/>
      <c r="V88" s="29"/>
    </row>
    <row r="89" spans="1:22" ht="11.25">
      <c r="A89" s="231"/>
      <c r="B89" s="232"/>
      <c r="C89" s="49"/>
      <c r="D89" s="48"/>
      <c r="E89" s="48"/>
      <c r="F89" s="48"/>
      <c r="G89" s="48"/>
      <c r="H89" s="48"/>
      <c r="I89" s="48"/>
      <c r="J89" s="48"/>
      <c r="K89" s="165"/>
      <c r="L89" s="108" t="s">
        <v>29</v>
      </c>
      <c r="M89" s="4">
        <f aca="true" t="shared" si="20" ref="M89:R89">SUM(M97)</f>
        <v>1104</v>
      </c>
      <c r="N89" s="4">
        <f t="shared" si="20"/>
        <v>220.8</v>
      </c>
      <c r="O89" s="115">
        <f t="shared" si="20"/>
        <v>1324.8</v>
      </c>
      <c r="P89" s="4">
        <f t="shared" si="20"/>
        <v>717.6</v>
      </c>
      <c r="Q89" s="4">
        <f t="shared" si="20"/>
        <v>143.52</v>
      </c>
      <c r="R89" s="115">
        <f t="shared" si="20"/>
        <v>861.12</v>
      </c>
      <c r="S89" s="5">
        <f>R89*0.375</f>
        <v>322.92</v>
      </c>
      <c r="T89" s="5">
        <f aca="true" t="shared" si="21" ref="T89:T94">R89-S89</f>
        <v>538.2</v>
      </c>
      <c r="U89" s="29"/>
      <c r="V89" s="29"/>
    </row>
    <row r="90" spans="1:22" ht="11.25">
      <c r="A90" s="231"/>
      <c r="B90" s="232"/>
      <c r="C90" s="49"/>
      <c r="D90" s="48"/>
      <c r="E90" s="48"/>
      <c r="F90" s="48"/>
      <c r="G90" s="48"/>
      <c r="H90" s="48"/>
      <c r="I90" s="48"/>
      <c r="J90" s="48"/>
      <c r="K90" s="50"/>
      <c r="L90" s="108" t="s">
        <v>30</v>
      </c>
      <c r="M90" s="4">
        <v>0</v>
      </c>
      <c r="N90" s="4"/>
      <c r="O90" s="115"/>
      <c r="P90" s="4">
        <v>0</v>
      </c>
      <c r="Q90" s="96"/>
      <c r="R90" s="118"/>
      <c r="S90" s="5">
        <f>R90*0.375</f>
        <v>0</v>
      </c>
      <c r="T90" s="5">
        <f t="shared" si="21"/>
        <v>0</v>
      </c>
      <c r="U90" s="29"/>
      <c r="V90" s="29"/>
    </row>
    <row r="91" spans="1:22" ht="11.25">
      <c r="A91" s="231"/>
      <c r="B91" s="232"/>
      <c r="C91" s="49"/>
      <c r="D91" s="48"/>
      <c r="E91" s="48"/>
      <c r="F91" s="48"/>
      <c r="G91" s="48"/>
      <c r="H91" s="48"/>
      <c r="I91" s="48"/>
      <c r="J91" s="48"/>
      <c r="K91" s="50"/>
      <c r="L91" s="108" t="s">
        <v>89</v>
      </c>
      <c r="M91" s="4">
        <f>+M98</f>
        <v>1134</v>
      </c>
      <c r="N91" s="4">
        <f>+N98</f>
        <v>226.8</v>
      </c>
      <c r="O91" s="115">
        <f>+N91+M91</f>
        <v>1360.8</v>
      </c>
      <c r="P91" s="4">
        <f>+P98</f>
        <v>737.1</v>
      </c>
      <c r="Q91" s="4">
        <f>+Q98</f>
        <v>147.42000000000002</v>
      </c>
      <c r="R91" s="115">
        <f>+Q91+P91</f>
        <v>884.52</v>
      </c>
      <c r="S91" s="5">
        <f>R91*0.375</f>
        <v>331.695</v>
      </c>
      <c r="T91" s="5">
        <f t="shared" si="21"/>
        <v>552.825</v>
      </c>
      <c r="U91" s="29"/>
      <c r="V91" s="29"/>
    </row>
    <row r="92" spans="1:22" ht="11.25">
      <c r="A92" s="231"/>
      <c r="B92" s="232"/>
      <c r="C92" s="49"/>
      <c r="D92" s="48"/>
      <c r="E92" s="48"/>
      <c r="F92" s="48"/>
      <c r="G92" s="48"/>
      <c r="H92" s="48"/>
      <c r="I92" s="48"/>
      <c r="J92" s="48"/>
      <c r="K92" s="50"/>
      <c r="L92" s="108" t="s">
        <v>165</v>
      </c>
      <c r="M92" s="4"/>
      <c r="N92" s="4"/>
      <c r="O92" s="115"/>
      <c r="P92" s="4"/>
      <c r="Q92" s="4"/>
      <c r="R92" s="115"/>
      <c r="S92" s="5">
        <f>R92*0.375</f>
        <v>0</v>
      </c>
      <c r="T92" s="5">
        <f t="shared" si="21"/>
        <v>0</v>
      </c>
      <c r="U92" s="29"/>
      <c r="V92" s="29"/>
    </row>
    <row r="93" spans="1:22" ht="11.25">
      <c r="A93" s="231"/>
      <c r="B93" s="232"/>
      <c r="C93" s="49"/>
      <c r="D93" s="48"/>
      <c r="E93" s="48"/>
      <c r="F93" s="48"/>
      <c r="G93" s="48"/>
      <c r="H93" s="48"/>
      <c r="I93" s="48"/>
      <c r="J93" s="48"/>
      <c r="K93" s="50"/>
      <c r="L93" s="108" t="s">
        <v>207</v>
      </c>
      <c r="M93" s="4">
        <f>+M99</f>
        <v>8133.33</v>
      </c>
      <c r="N93" s="4">
        <f>+N99</f>
        <v>1626.67</v>
      </c>
      <c r="O93" s="115">
        <f>+N93+M93</f>
        <v>9760</v>
      </c>
      <c r="P93" s="4">
        <f>+P99</f>
        <v>5286.6645</v>
      </c>
      <c r="Q93" s="4">
        <f>+Q99</f>
        <v>1057.3355000000001</v>
      </c>
      <c r="R93" s="115">
        <f>+Q93+P93</f>
        <v>6344</v>
      </c>
      <c r="S93" s="5">
        <f>R93*0.375</f>
        <v>2379</v>
      </c>
      <c r="T93" s="5">
        <f t="shared" si="21"/>
        <v>3965</v>
      </c>
      <c r="U93" s="29"/>
      <c r="V93" s="29"/>
    </row>
    <row r="94" spans="1:22" ht="11.25">
      <c r="A94" s="231"/>
      <c r="B94" s="232"/>
      <c r="C94" s="49"/>
      <c r="D94" s="48"/>
      <c r="E94" s="48"/>
      <c r="F94" s="48"/>
      <c r="G94" s="48"/>
      <c r="H94" s="48"/>
      <c r="I94" s="48"/>
      <c r="J94" s="48"/>
      <c r="K94" s="50"/>
      <c r="L94" s="108" t="s">
        <v>235</v>
      </c>
      <c r="M94" s="4">
        <f>+M101</f>
        <v>0</v>
      </c>
      <c r="N94" s="4">
        <f>+N101</f>
        <v>0</v>
      </c>
      <c r="O94" s="115">
        <f>+N94+M94</f>
        <v>0</v>
      </c>
      <c r="P94" s="4">
        <f>+P101</f>
        <v>0</v>
      </c>
      <c r="Q94" s="4">
        <f>+Q101</f>
        <v>0</v>
      </c>
      <c r="R94" s="115">
        <f>+Q94+P94</f>
        <v>0</v>
      </c>
      <c r="S94" s="5"/>
      <c r="T94" s="5">
        <f t="shared" si="21"/>
        <v>0</v>
      </c>
      <c r="U94" s="29"/>
      <c r="V94" s="29"/>
    </row>
    <row r="95" spans="1:22" ht="11.25">
      <c r="A95" s="233"/>
      <c r="B95" s="212"/>
      <c r="C95" s="244"/>
      <c r="D95" s="245"/>
      <c r="E95" s="245"/>
      <c r="F95" s="245"/>
      <c r="G95" s="245"/>
      <c r="H95" s="245"/>
      <c r="I95" s="245"/>
      <c r="J95" s="245"/>
      <c r="K95" s="246"/>
      <c r="L95" s="103" t="s">
        <v>13</v>
      </c>
      <c r="M95" s="6">
        <f>M88-M89-M90-M91-M92-M93-M94</f>
        <v>14628.67</v>
      </c>
      <c r="N95" s="6"/>
      <c r="O95" s="116"/>
      <c r="P95" s="6"/>
      <c r="Q95" s="6"/>
      <c r="R95" s="116"/>
      <c r="S95" s="1"/>
      <c r="T95" s="1"/>
      <c r="U95" s="29"/>
      <c r="V95" s="29"/>
    </row>
    <row r="96" spans="1:21" ht="22.5">
      <c r="A96" s="99" t="s">
        <v>14</v>
      </c>
      <c r="B96" s="7" t="s">
        <v>11</v>
      </c>
      <c r="C96" s="38" t="s">
        <v>23</v>
      </c>
      <c r="D96" s="38" t="s">
        <v>20</v>
      </c>
      <c r="E96" s="46" t="s">
        <v>2</v>
      </c>
      <c r="F96" s="38" t="s">
        <v>19</v>
      </c>
      <c r="G96" s="38" t="s">
        <v>18</v>
      </c>
      <c r="H96" s="46" t="s">
        <v>17</v>
      </c>
      <c r="I96" s="46" t="s">
        <v>16</v>
      </c>
      <c r="J96" s="38" t="s">
        <v>3</v>
      </c>
      <c r="K96" s="38" t="s">
        <v>4</v>
      </c>
      <c r="L96" s="104" t="s">
        <v>5</v>
      </c>
      <c r="M96" s="7" t="s">
        <v>21</v>
      </c>
      <c r="N96" s="7" t="s">
        <v>79</v>
      </c>
      <c r="O96" s="104" t="s">
        <v>80</v>
      </c>
      <c r="P96" s="7" t="s">
        <v>22</v>
      </c>
      <c r="Q96" s="7" t="s">
        <v>81</v>
      </c>
      <c r="R96" s="104" t="s">
        <v>82</v>
      </c>
      <c r="S96" s="241" t="s">
        <v>28</v>
      </c>
      <c r="T96" s="241"/>
      <c r="U96" s="29"/>
    </row>
    <row r="97" spans="1:21" ht="11.25">
      <c r="A97" s="65" t="s">
        <v>15</v>
      </c>
      <c r="B97" s="8">
        <v>2</v>
      </c>
      <c r="C97" s="9" t="s">
        <v>41</v>
      </c>
      <c r="D97" s="9" t="s">
        <v>47</v>
      </c>
      <c r="E97" s="9" t="s">
        <v>48</v>
      </c>
      <c r="F97" s="9">
        <v>257</v>
      </c>
      <c r="G97" s="10">
        <v>38107</v>
      </c>
      <c r="H97" s="11" t="s">
        <v>49</v>
      </c>
      <c r="I97" s="11" t="s">
        <v>27</v>
      </c>
      <c r="J97" s="12">
        <v>1104</v>
      </c>
      <c r="K97" s="12">
        <f>+J97*0.2</f>
        <v>220.8</v>
      </c>
      <c r="L97" s="105">
        <f>J97+K97</f>
        <v>1324.8</v>
      </c>
      <c r="M97" s="12">
        <v>1104</v>
      </c>
      <c r="N97" s="12">
        <f>+M97*0.2</f>
        <v>220.8</v>
      </c>
      <c r="O97" s="105">
        <f>M97+N97</f>
        <v>1324.8</v>
      </c>
      <c r="P97" s="12">
        <f>M97*0.65</f>
        <v>717.6</v>
      </c>
      <c r="Q97" s="12">
        <f>+N97*0.65</f>
        <v>143.52</v>
      </c>
      <c r="R97" s="105">
        <f>+P97+Q97</f>
        <v>861.12</v>
      </c>
      <c r="S97" s="240"/>
      <c r="T97" s="240"/>
      <c r="U97" s="81">
        <f>(622.4+662.4+40)/12*8</f>
        <v>883.1999999999999</v>
      </c>
    </row>
    <row r="98" spans="1:21" ht="12" customHeight="1">
      <c r="A98" s="65" t="s">
        <v>101</v>
      </c>
      <c r="B98" s="8"/>
      <c r="C98" s="9" t="s">
        <v>41</v>
      </c>
      <c r="D98" s="9" t="s">
        <v>113</v>
      </c>
      <c r="E98" s="9" t="s">
        <v>114</v>
      </c>
      <c r="F98" s="9" t="s">
        <v>115</v>
      </c>
      <c r="G98" s="10">
        <v>38471</v>
      </c>
      <c r="H98" s="11">
        <v>38519</v>
      </c>
      <c r="I98" s="11" t="s">
        <v>105</v>
      </c>
      <c r="J98" s="12">
        <v>1134</v>
      </c>
      <c r="K98" s="12">
        <v>226.8</v>
      </c>
      <c r="L98" s="105">
        <v>1360.8</v>
      </c>
      <c r="M98" s="12">
        <v>1134</v>
      </c>
      <c r="N98" s="26">
        <v>226.8</v>
      </c>
      <c r="O98" s="105">
        <f>+N98+M98</f>
        <v>1360.8</v>
      </c>
      <c r="P98" s="12">
        <f>M98*0.65</f>
        <v>737.1</v>
      </c>
      <c r="Q98" s="12">
        <f>+N98*0.65</f>
        <v>147.42000000000002</v>
      </c>
      <c r="R98" s="105">
        <f>+P98+Q98</f>
        <v>884.52</v>
      </c>
      <c r="S98" s="240"/>
      <c r="T98" s="240"/>
      <c r="U98" s="29"/>
    </row>
    <row r="99" spans="1:21" ht="12" customHeight="1">
      <c r="A99" s="65" t="s">
        <v>187</v>
      </c>
      <c r="B99" s="8"/>
      <c r="C99" s="9" t="s">
        <v>41</v>
      </c>
      <c r="D99" s="9" t="s">
        <v>110</v>
      </c>
      <c r="E99" s="9" t="s">
        <v>111</v>
      </c>
      <c r="F99" s="9" t="s">
        <v>191</v>
      </c>
      <c r="G99" s="10">
        <v>38887</v>
      </c>
      <c r="H99" s="11">
        <v>39066</v>
      </c>
      <c r="I99" s="11" t="s">
        <v>105</v>
      </c>
      <c r="J99" s="12">
        <v>8133.33</v>
      </c>
      <c r="K99" s="12">
        <v>1626.67</v>
      </c>
      <c r="L99" s="105">
        <v>9760</v>
      </c>
      <c r="M99" s="12">
        <v>8133.33</v>
      </c>
      <c r="N99" s="12">
        <v>1626.67</v>
      </c>
      <c r="O99" s="105">
        <v>9760</v>
      </c>
      <c r="P99" s="12">
        <f>M99*0.65</f>
        <v>5286.6645</v>
      </c>
      <c r="Q99" s="12">
        <f>+N99*0.65</f>
        <v>1057.3355000000001</v>
      </c>
      <c r="R99" s="105">
        <f>+P99+Q99</f>
        <v>6344</v>
      </c>
      <c r="S99" s="240"/>
      <c r="T99" s="240"/>
      <c r="U99" s="29"/>
    </row>
    <row r="100" spans="1:21" ht="12" customHeight="1">
      <c r="A100" s="65" t="s">
        <v>210</v>
      </c>
      <c r="B100" s="8"/>
      <c r="C100" s="9" t="s">
        <v>41</v>
      </c>
      <c r="D100" s="9" t="s">
        <v>110</v>
      </c>
      <c r="E100" s="9" t="s">
        <v>111</v>
      </c>
      <c r="F100" s="9" t="s">
        <v>217</v>
      </c>
      <c r="G100" s="10">
        <v>39217</v>
      </c>
      <c r="H100" s="11">
        <v>39226</v>
      </c>
      <c r="I100" s="11" t="s">
        <v>105</v>
      </c>
      <c r="J100" s="12">
        <v>6001.67</v>
      </c>
      <c r="K100" s="12">
        <v>1200.33</v>
      </c>
      <c r="L100" s="105">
        <v>7202</v>
      </c>
      <c r="M100" s="12">
        <v>6001.67</v>
      </c>
      <c r="N100" s="12">
        <f>+M100*0.2</f>
        <v>1200.334</v>
      </c>
      <c r="O100" s="105">
        <f>+N100+M100</f>
        <v>7202.004</v>
      </c>
      <c r="P100" s="12">
        <f>M100*0.65</f>
        <v>3901.0855</v>
      </c>
      <c r="Q100" s="12">
        <f>+N100*0.65</f>
        <v>780.2171000000001</v>
      </c>
      <c r="R100" s="105">
        <f>+P100+Q100</f>
        <v>4681.3026</v>
      </c>
      <c r="S100" s="183"/>
      <c r="T100" s="183"/>
      <c r="U100" s="29"/>
    </row>
    <row r="101" spans="1:21" ht="26.25" customHeight="1">
      <c r="A101" s="65" t="s">
        <v>210</v>
      </c>
      <c r="B101" s="8"/>
      <c r="C101" s="9" t="s">
        <v>41</v>
      </c>
      <c r="D101" s="9" t="s">
        <v>218</v>
      </c>
      <c r="E101" s="9" t="s">
        <v>219</v>
      </c>
      <c r="F101" s="9" t="s">
        <v>220</v>
      </c>
      <c r="G101" s="10">
        <v>39218</v>
      </c>
      <c r="H101" s="11">
        <v>39224</v>
      </c>
      <c r="I101" s="11" t="s">
        <v>105</v>
      </c>
      <c r="J101" s="12">
        <v>913</v>
      </c>
      <c r="K101" s="12">
        <v>182.6</v>
      </c>
      <c r="L101" s="105">
        <v>1095.6</v>
      </c>
      <c r="M101" s="12"/>
      <c r="N101" s="12"/>
      <c r="O101" s="105"/>
      <c r="P101" s="12"/>
      <c r="Q101" s="12"/>
      <c r="R101" s="105"/>
      <c r="S101" s="309" t="s">
        <v>230</v>
      </c>
      <c r="T101" s="310"/>
      <c r="U101" s="29"/>
    </row>
    <row r="102" spans="1:21" ht="11.25">
      <c r="A102" s="68"/>
      <c r="B102" s="8"/>
      <c r="C102" s="9"/>
      <c r="D102" s="9"/>
      <c r="E102" s="9"/>
      <c r="F102" s="9"/>
      <c r="G102" s="10"/>
      <c r="H102" s="11"/>
      <c r="I102" s="11"/>
      <c r="J102" s="12"/>
      <c r="K102" s="12"/>
      <c r="L102" s="105"/>
      <c r="M102" s="12"/>
      <c r="N102" s="12"/>
      <c r="O102" s="105"/>
      <c r="P102" s="12"/>
      <c r="Q102" s="12"/>
      <c r="R102" s="105"/>
      <c r="S102" s="240"/>
      <c r="T102" s="240"/>
      <c r="U102" s="29"/>
    </row>
    <row r="103" ht="11.25">
      <c r="U103" s="29"/>
    </row>
    <row r="104" spans="1:21" ht="11.25">
      <c r="A104" s="45"/>
      <c r="B104" s="70"/>
      <c r="C104" s="238" t="s">
        <v>83</v>
      </c>
      <c r="D104" s="238"/>
      <c r="E104" s="238"/>
      <c r="F104" s="238"/>
      <c r="G104" s="238"/>
      <c r="H104" s="238"/>
      <c r="I104" s="238"/>
      <c r="J104" s="238"/>
      <c r="K104" s="238"/>
      <c r="L104" s="239"/>
      <c r="M104" s="242" t="s">
        <v>26</v>
      </c>
      <c r="N104" s="243"/>
      <c r="O104" s="243"/>
      <c r="P104" s="243" t="s">
        <v>22</v>
      </c>
      <c r="Q104" s="243"/>
      <c r="R104" s="243"/>
      <c r="S104" s="54" t="s">
        <v>24</v>
      </c>
      <c r="T104" s="55" t="s">
        <v>25</v>
      </c>
      <c r="U104" s="29"/>
    </row>
    <row r="105" spans="1:22" ht="11.25">
      <c r="A105" s="231"/>
      <c r="B105" s="232"/>
      <c r="C105" s="213"/>
      <c r="D105" s="214"/>
      <c r="E105" s="214"/>
      <c r="F105" s="214"/>
      <c r="G105" s="214"/>
      <c r="H105" s="214"/>
      <c r="I105" s="214"/>
      <c r="J105" s="214"/>
      <c r="K105" s="215"/>
      <c r="L105" s="111" t="s">
        <v>12</v>
      </c>
      <c r="M105" s="3">
        <v>65000</v>
      </c>
      <c r="N105" s="3"/>
      <c r="O105" s="114"/>
      <c r="P105" s="57"/>
      <c r="Q105" s="57"/>
      <c r="R105" s="166"/>
      <c r="S105" s="62"/>
      <c r="T105" s="62"/>
      <c r="U105" s="29"/>
      <c r="V105" s="29"/>
    </row>
    <row r="106" spans="1:22" ht="11.25">
      <c r="A106" s="231"/>
      <c r="B106" s="232"/>
      <c r="C106" s="49"/>
      <c r="D106" s="48"/>
      <c r="E106" s="48"/>
      <c r="F106" s="48"/>
      <c r="G106" s="48"/>
      <c r="H106" s="48"/>
      <c r="I106" s="48"/>
      <c r="J106" s="48"/>
      <c r="K106" s="165"/>
      <c r="L106" s="108" t="s">
        <v>29</v>
      </c>
      <c r="M106" s="4">
        <f aca="true" t="shared" si="22" ref="M106:R106">SUM(M114)</f>
        <v>23246</v>
      </c>
      <c r="N106" s="4">
        <f t="shared" si="22"/>
        <v>4649.2</v>
      </c>
      <c r="O106" s="115">
        <f t="shared" si="22"/>
        <v>27895.2</v>
      </c>
      <c r="P106" s="4">
        <f t="shared" si="22"/>
        <v>15109.9</v>
      </c>
      <c r="Q106" s="4">
        <f t="shared" si="22"/>
        <v>3021.98</v>
      </c>
      <c r="R106" s="115">
        <f t="shared" si="22"/>
        <v>18131.88</v>
      </c>
      <c r="S106" s="5">
        <f>R106*0.375</f>
        <v>6799.455</v>
      </c>
      <c r="T106" s="5">
        <f aca="true" t="shared" si="23" ref="T106:T111">R106-S106</f>
        <v>11332.425000000001</v>
      </c>
      <c r="U106" s="29"/>
      <c r="V106" s="29"/>
    </row>
    <row r="107" spans="1:22" ht="11.25">
      <c r="A107" s="231"/>
      <c r="B107" s="232"/>
      <c r="C107" s="49"/>
      <c r="D107" s="48"/>
      <c r="E107" s="48"/>
      <c r="F107" s="48"/>
      <c r="G107" s="48"/>
      <c r="H107" s="48"/>
      <c r="I107" s="48"/>
      <c r="J107" s="48"/>
      <c r="K107" s="50"/>
      <c r="L107" s="102" t="s">
        <v>30</v>
      </c>
      <c r="M107" s="4"/>
      <c r="N107" s="4"/>
      <c r="O107" s="115"/>
      <c r="P107" s="4"/>
      <c r="Q107" s="96"/>
      <c r="R107" s="118"/>
      <c r="S107" s="5">
        <f>R107*0.375</f>
        <v>0</v>
      </c>
      <c r="T107" s="5">
        <f t="shared" si="23"/>
        <v>0</v>
      </c>
      <c r="U107" s="29"/>
      <c r="V107" s="29"/>
    </row>
    <row r="108" spans="1:22" ht="11.25">
      <c r="A108" s="231"/>
      <c r="B108" s="232"/>
      <c r="C108" s="49"/>
      <c r="D108" s="48"/>
      <c r="E108" s="48"/>
      <c r="F108" s="48"/>
      <c r="G108" s="48"/>
      <c r="H108" s="48"/>
      <c r="I108" s="48"/>
      <c r="J108" s="48"/>
      <c r="K108" s="50"/>
      <c r="L108" s="102" t="s">
        <v>89</v>
      </c>
      <c r="M108" s="4">
        <f>+M115</f>
        <v>23246</v>
      </c>
      <c r="N108" s="4">
        <f>+N115</f>
        <v>4649.2</v>
      </c>
      <c r="O108" s="115">
        <f>+M108+N108</f>
        <v>27895.2</v>
      </c>
      <c r="P108" s="4">
        <f>+P115</f>
        <v>15109.9</v>
      </c>
      <c r="Q108" s="4">
        <f>+Q115</f>
        <v>3021.98</v>
      </c>
      <c r="R108" s="115">
        <f>+P108+Q108</f>
        <v>18131.88</v>
      </c>
      <c r="S108" s="5">
        <f>R108*0.375</f>
        <v>6799.455</v>
      </c>
      <c r="T108" s="5">
        <f t="shared" si="23"/>
        <v>11332.425000000001</v>
      </c>
      <c r="U108" s="29"/>
      <c r="V108" s="29"/>
    </row>
    <row r="109" spans="1:22" ht="11.25">
      <c r="A109" s="231"/>
      <c r="B109" s="232"/>
      <c r="C109" s="49"/>
      <c r="D109" s="48"/>
      <c r="E109" s="48"/>
      <c r="F109" s="48"/>
      <c r="G109" s="48"/>
      <c r="H109" s="48"/>
      <c r="I109" s="48"/>
      <c r="J109" s="48"/>
      <c r="K109" s="168"/>
      <c r="L109" s="102" t="s">
        <v>165</v>
      </c>
      <c r="M109" s="4">
        <f>+M116</f>
        <v>23246</v>
      </c>
      <c r="N109" s="4">
        <f>+N116</f>
        <v>4649.2</v>
      </c>
      <c r="O109" s="115">
        <f>+N109+M109</f>
        <v>27895.2</v>
      </c>
      <c r="P109" s="4">
        <f>+P116</f>
        <v>15109.9</v>
      </c>
      <c r="Q109" s="4">
        <f>+Q116</f>
        <v>3021.98</v>
      </c>
      <c r="R109" s="115">
        <f>+Q109+P109</f>
        <v>18131.88</v>
      </c>
      <c r="S109" s="5">
        <f>R109*0.375</f>
        <v>6799.455</v>
      </c>
      <c r="T109" s="5">
        <f t="shared" si="23"/>
        <v>11332.425000000001</v>
      </c>
      <c r="U109" s="29"/>
      <c r="V109" s="29"/>
    </row>
    <row r="110" spans="1:22" ht="11.25">
      <c r="A110" s="231"/>
      <c r="B110" s="232"/>
      <c r="C110" s="49"/>
      <c r="D110" s="48"/>
      <c r="E110" s="48"/>
      <c r="F110" s="48"/>
      <c r="G110" s="48"/>
      <c r="H110" s="48"/>
      <c r="I110" s="48"/>
      <c r="J110" s="48"/>
      <c r="K110" s="168"/>
      <c r="L110" s="102" t="s">
        <v>207</v>
      </c>
      <c r="M110" s="4"/>
      <c r="N110" s="4"/>
      <c r="O110" s="115"/>
      <c r="P110" s="4"/>
      <c r="Q110" s="4"/>
      <c r="R110" s="115"/>
      <c r="S110" s="5">
        <f>R110*0.375</f>
        <v>0</v>
      </c>
      <c r="T110" s="5">
        <f t="shared" si="23"/>
        <v>0</v>
      </c>
      <c r="U110" s="29"/>
      <c r="V110" s="29"/>
    </row>
    <row r="111" spans="1:22" ht="11.25">
      <c r="A111" s="231"/>
      <c r="B111" s="232"/>
      <c r="C111" s="49"/>
      <c r="D111" s="48"/>
      <c r="E111" s="48"/>
      <c r="F111" s="48"/>
      <c r="G111" s="48"/>
      <c r="H111" s="48"/>
      <c r="I111" s="48"/>
      <c r="J111" s="48"/>
      <c r="K111" s="168"/>
      <c r="L111" s="102" t="s">
        <v>235</v>
      </c>
      <c r="M111" s="4"/>
      <c r="N111" s="4"/>
      <c r="O111" s="115"/>
      <c r="P111" s="4"/>
      <c r="Q111" s="4"/>
      <c r="R111" s="115"/>
      <c r="S111" s="5"/>
      <c r="T111" s="5">
        <f t="shared" si="23"/>
        <v>0</v>
      </c>
      <c r="U111" s="29"/>
      <c r="V111" s="29"/>
    </row>
    <row r="112" spans="1:22" ht="11.25">
      <c r="A112" s="233"/>
      <c r="B112" s="212"/>
      <c r="C112" s="244"/>
      <c r="D112" s="245"/>
      <c r="E112" s="245"/>
      <c r="F112" s="245"/>
      <c r="G112" s="245"/>
      <c r="H112" s="245"/>
      <c r="I112" s="245"/>
      <c r="J112" s="245"/>
      <c r="K112" s="246"/>
      <c r="L112" s="103" t="s">
        <v>13</v>
      </c>
      <c r="M112" s="6">
        <f>M105-M106-M107-M108-M109</f>
        <v>-4738</v>
      </c>
      <c r="N112" s="6"/>
      <c r="O112" s="116"/>
      <c r="P112" s="6"/>
      <c r="Q112" s="6"/>
      <c r="R112" s="116"/>
      <c r="S112" s="1"/>
      <c r="T112" s="1"/>
      <c r="U112" s="29"/>
      <c r="V112" s="29"/>
    </row>
    <row r="113" spans="1:21" ht="22.5">
      <c r="A113" s="99" t="s">
        <v>14</v>
      </c>
      <c r="B113" s="7" t="s">
        <v>11</v>
      </c>
      <c r="C113" s="38" t="s">
        <v>23</v>
      </c>
      <c r="D113" s="38" t="s">
        <v>20</v>
      </c>
      <c r="E113" s="46" t="s">
        <v>2</v>
      </c>
      <c r="F113" s="38" t="s">
        <v>19</v>
      </c>
      <c r="G113" s="38" t="s">
        <v>18</v>
      </c>
      <c r="H113" s="46" t="s">
        <v>17</v>
      </c>
      <c r="I113" s="46" t="s">
        <v>16</v>
      </c>
      <c r="J113" s="38" t="s">
        <v>3</v>
      </c>
      <c r="K113" s="38" t="s">
        <v>4</v>
      </c>
      <c r="L113" s="104" t="s">
        <v>5</v>
      </c>
      <c r="M113" s="7" t="s">
        <v>21</v>
      </c>
      <c r="N113" s="7" t="s">
        <v>79</v>
      </c>
      <c r="O113" s="104" t="s">
        <v>80</v>
      </c>
      <c r="P113" s="7" t="s">
        <v>22</v>
      </c>
      <c r="Q113" s="7" t="s">
        <v>81</v>
      </c>
      <c r="R113" s="104" t="s">
        <v>82</v>
      </c>
      <c r="S113" s="241" t="s">
        <v>28</v>
      </c>
      <c r="T113" s="241"/>
      <c r="U113" s="29"/>
    </row>
    <row r="114" spans="1:20" ht="22.5">
      <c r="A114" s="65" t="s">
        <v>15</v>
      </c>
      <c r="B114" s="8">
        <v>4</v>
      </c>
      <c r="C114" s="9" t="s">
        <v>41</v>
      </c>
      <c r="D114" s="9" t="s">
        <v>50</v>
      </c>
      <c r="E114" s="13" t="s">
        <v>52</v>
      </c>
      <c r="F114" s="9" t="s">
        <v>51</v>
      </c>
      <c r="G114" s="10">
        <v>38310</v>
      </c>
      <c r="H114" s="11">
        <v>38370</v>
      </c>
      <c r="I114" s="11" t="s">
        <v>45</v>
      </c>
      <c r="J114" s="12">
        <v>23246</v>
      </c>
      <c r="K114" s="23">
        <f>+J114*0.2</f>
        <v>4649.2</v>
      </c>
      <c r="L114" s="112">
        <f>+K114+J114</f>
        <v>27895.2</v>
      </c>
      <c r="M114" s="12">
        <v>23246</v>
      </c>
      <c r="N114" s="23">
        <f>+M114*0.2</f>
        <v>4649.2</v>
      </c>
      <c r="O114" s="112">
        <f>+N114+M114</f>
        <v>27895.2</v>
      </c>
      <c r="P114" s="12">
        <f aca="true" t="shared" si="24" ref="P114:Q116">M114*0.65</f>
        <v>15109.9</v>
      </c>
      <c r="Q114" s="12">
        <f t="shared" si="24"/>
        <v>3021.98</v>
      </c>
      <c r="R114" s="105">
        <f>+Q114+P114</f>
        <v>18131.88</v>
      </c>
      <c r="S114" s="240"/>
      <c r="T114" s="240"/>
    </row>
    <row r="115" spans="1:21" ht="11.25">
      <c r="A115" s="65" t="s">
        <v>101</v>
      </c>
      <c r="B115" s="8"/>
      <c r="C115" s="9" t="s">
        <v>41</v>
      </c>
      <c r="D115" s="9" t="s">
        <v>116</v>
      </c>
      <c r="E115" s="13" t="s">
        <v>117</v>
      </c>
      <c r="F115" s="9" t="s">
        <v>118</v>
      </c>
      <c r="G115" s="10">
        <v>38527</v>
      </c>
      <c r="H115" s="11">
        <v>38531</v>
      </c>
      <c r="I115" s="11" t="s">
        <v>45</v>
      </c>
      <c r="J115" s="12">
        <v>23246</v>
      </c>
      <c r="K115" s="167">
        <v>4649.2</v>
      </c>
      <c r="L115" s="112">
        <f>+K115+J115</f>
        <v>27895.2</v>
      </c>
      <c r="M115" s="12">
        <v>23246</v>
      </c>
      <c r="N115" s="12">
        <v>4649.2</v>
      </c>
      <c r="O115" s="105">
        <f>+N115+M115</f>
        <v>27895.2</v>
      </c>
      <c r="P115" s="12">
        <f t="shared" si="24"/>
        <v>15109.9</v>
      </c>
      <c r="Q115" s="12">
        <f t="shared" si="24"/>
        <v>3021.98</v>
      </c>
      <c r="R115" s="105">
        <f>+Q115+P115</f>
        <v>18131.88</v>
      </c>
      <c r="S115" s="240"/>
      <c r="T115" s="240"/>
      <c r="U115" s="29"/>
    </row>
    <row r="116" spans="1:21" ht="11.25">
      <c r="A116" s="65" t="s">
        <v>167</v>
      </c>
      <c r="B116" s="8"/>
      <c r="C116" s="9" t="s">
        <v>41</v>
      </c>
      <c r="D116" s="72" t="s">
        <v>116</v>
      </c>
      <c r="E116" s="9" t="s">
        <v>117</v>
      </c>
      <c r="F116" s="8" t="s">
        <v>177</v>
      </c>
      <c r="G116" s="15">
        <v>38847</v>
      </c>
      <c r="H116" s="15">
        <v>38897</v>
      </c>
      <c r="I116" s="11" t="s">
        <v>45</v>
      </c>
      <c r="J116" s="12">
        <v>23246</v>
      </c>
      <c r="K116" s="167">
        <v>4649.2</v>
      </c>
      <c r="L116" s="112">
        <f>+K116+J116</f>
        <v>27895.2</v>
      </c>
      <c r="M116" s="12">
        <v>23246</v>
      </c>
      <c r="N116" s="167">
        <v>4649.2</v>
      </c>
      <c r="O116" s="105">
        <f>+N116+M116</f>
        <v>27895.2</v>
      </c>
      <c r="P116" s="12">
        <f t="shared" si="24"/>
        <v>15109.9</v>
      </c>
      <c r="Q116" s="12">
        <f t="shared" si="24"/>
        <v>3021.98</v>
      </c>
      <c r="R116" s="105">
        <f>+Q116+P116</f>
        <v>18131.88</v>
      </c>
      <c r="S116" s="240"/>
      <c r="T116" s="240"/>
      <c r="U116" s="29"/>
    </row>
    <row r="117" spans="1:21" ht="11.25">
      <c r="A117" s="68"/>
      <c r="B117" s="8"/>
      <c r="C117" s="9"/>
      <c r="D117" s="9"/>
      <c r="E117" s="9"/>
      <c r="F117" s="9"/>
      <c r="G117" s="10"/>
      <c r="H117" s="11"/>
      <c r="I117" s="11"/>
      <c r="J117" s="12"/>
      <c r="K117" s="12"/>
      <c r="L117" s="105"/>
      <c r="M117" s="12"/>
      <c r="N117" s="12"/>
      <c r="O117" s="105"/>
      <c r="P117" s="12"/>
      <c r="Q117" s="12"/>
      <c r="R117" s="105"/>
      <c r="S117" s="240"/>
      <c r="T117" s="240"/>
      <c r="U117" s="29"/>
    </row>
    <row r="118" ht="11.25">
      <c r="U118" s="29"/>
    </row>
    <row r="119" spans="1:21" ht="11.25">
      <c r="A119" s="45"/>
      <c r="B119" s="70"/>
      <c r="C119" s="238" t="s">
        <v>9</v>
      </c>
      <c r="D119" s="238"/>
      <c r="E119" s="238"/>
      <c r="F119" s="238"/>
      <c r="G119" s="238"/>
      <c r="H119" s="238"/>
      <c r="I119" s="238"/>
      <c r="J119" s="238"/>
      <c r="K119" s="238"/>
      <c r="L119" s="239"/>
      <c r="M119" s="242" t="s">
        <v>26</v>
      </c>
      <c r="N119" s="243"/>
      <c r="O119" s="243"/>
      <c r="P119" s="243" t="s">
        <v>22</v>
      </c>
      <c r="Q119" s="243"/>
      <c r="R119" s="243"/>
      <c r="S119" s="59" t="s">
        <v>24</v>
      </c>
      <c r="T119" s="59" t="s">
        <v>25</v>
      </c>
      <c r="U119" s="29"/>
    </row>
    <row r="120" spans="1:22" ht="11.25">
      <c r="A120" s="231"/>
      <c r="B120" s="232"/>
      <c r="C120" s="213"/>
      <c r="D120" s="214"/>
      <c r="E120" s="214"/>
      <c r="F120" s="214"/>
      <c r="G120" s="214"/>
      <c r="H120" s="214"/>
      <c r="I120" s="214"/>
      <c r="J120" s="214"/>
      <c r="K120" s="215"/>
      <c r="L120" s="111" t="s">
        <v>12</v>
      </c>
      <c r="M120" s="3">
        <v>55000</v>
      </c>
      <c r="N120" s="3"/>
      <c r="O120" s="114"/>
      <c r="P120" s="57"/>
      <c r="Q120" s="95"/>
      <c r="R120" s="117"/>
      <c r="S120" s="56"/>
      <c r="T120" s="56"/>
      <c r="U120" s="29"/>
      <c r="V120" s="29"/>
    </row>
    <row r="121" spans="1:22" ht="11.25">
      <c r="A121" s="231"/>
      <c r="B121" s="232"/>
      <c r="C121" s="49"/>
      <c r="D121" s="48"/>
      <c r="E121" s="48"/>
      <c r="F121" s="48"/>
      <c r="G121" s="48"/>
      <c r="H121" s="48"/>
      <c r="I121" s="48"/>
      <c r="J121" s="48"/>
      <c r="K121" s="4">
        <v>0</v>
      </c>
      <c r="L121" s="102" t="s">
        <v>29</v>
      </c>
      <c r="M121" s="4">
        <f aca="true" t="shared" si="25" ref="M121:R121">+M129</f>
        <v>0</v>
      </c>
      <c r="N121" s="4">
        <f t="shared" si="25"/>
        <v>0</v>
      </c>
      <c r="O121" s="115">
        <f t="shared" si="25"/>
        <v>0</v>
      </c>
      <c r="P121" s="4">
        <f t="shared" si="25"/>
        <v>0</v>
      </c>
      <c r="Q121" s="4">
        <f t="shared" si="25"/>
        <v>0</v>
      </c>
      <c r="R121" s="115">
        <f t="shared" si="25"/>
        <v>0</v>
      </c>
      <c r="S121" s="5">
        <f>R121*0.375</f>
        <v>0</v>
      </c>
      <c r="T121" s="5">
        <f aca="true" t="shared" si="26" ref="T121:T126">R121-S121</f>
        <v>0</v>
      </c>
      <c r="U121" s="29"/>
      <c r="V121" s="29"/>
    </row>
    <row r="122" spans="1:22" ht="11.25">
      <c r="A122" s="231"/>
      <c r="B122" s="232"/>
      <c r="C122" s="49"/>
      <c r="D122" s="48"/>
      <c r="E122" s="48"/>
      <c r="F122" s="48"/>
      <c r="G122" s="48"/>
      <c r="H122" s="48"/>
      <c r="I122" s="48"/>
      <c r="J122" s="48"/>
      <c r="K122" s="50"/>
      <c r="L122" s="102" t="s">
        <v>30</v>
      </c>
      <c r="M122" s="4">
        <f>+M130</f>
        <v>23954.16</v>
      </c>
      <c r="N122" s="4">
        <f>+N130</f>
        <v>0</v>
      </c>
      <c r="O122" s="115">
        <f>+N122+M122</f>
        <v>23954.16</v>
      </c>
      <c r="P122" s="4">
        <f>+P130</f>
        <v>15570.204</v>
      </c>
      <c r="Q122" s="4">
        <f>+Q130</f>
        <v>0</v>
      </c>
      <c r="R122" s="115">
        <f>+Q122+P122</f>
        <v>15570.204</v>
      </c>
      <c r="S122" s="5">
        <f>R122*0.375</f>
        <v>5838.8265</v>
      </c>
      <c r="T122" s="5">
        <f t="shared" si="26"/>
        <v>9731.377499999999</v>
      </c>
      <c r="U122" s="29"/>
      <c r="V122" s="29"/>
    </row>
    <row r="123" spans="1:22" ht="11.25">
      <c r="A123" s="231"/>
      <c r="B123" s="232"/>
      <c r="C123" s="49"/>
      <c r="D123" s="48"/>
      <c r="E123" s="48"/>
      <c r="F123" s="48"/>
      <c r="G123" s="48"/>
      <c r="H123" s="48"/>
      <c r="I123" s="48"/>
      <c r="J123" s="48"/>
      <c r="K123" s="50"/>
      <c r="L123" s="102" t="s">
        <v>89</v>
      </c>
      <c r="M123" s="4">
        <f aca="true" t="shared" si="27" ref="M123:R123">SUM(M134:M135)</f>
        <v>-2996.529999999999</v>
      </c>
      <c r="N123" s="4">
        <f t="shared" si="27"/>
        <v>4191.530000000001</v>
      </c>
      <c r="O123" s="115">
        <f t="shared" si="27"/>
        <v>1195</v>
      </c>
      <c r="P123" s="4">
        <f t="shared" si="27"/>
        <v>-1947.7444999999989</v>
      </c>
      <c r="Q123" s="4">
        <f t="shared" si="27"/>
        <v>2724.4945000000002</v>
      </c>
      <c r="R123" s="115">
        <f t="shared" si="27"/>
        <v>776.7500000000018</v>
      </c>
      <c r="S123" s="5">
        <f>R123*0.375</f>
        <v>291.2812500000007</v>
      </c>
      <c r="T123" s="5">
        <f t="shared" si="26"/>
        <v>485.46875000000114</v>
      </c>
      <c r="U123" s="29"/>
      <c r="V123" s="29"/>
    </row>
    <row r="124" spans="1:22" ht="11.25">
      <c r="A124" s="231"/>
      <c r="B124" s="232"/>
      <c r="C124" s="49"/>
      <c r="D124" s="48"/>
      <c r="E124" s="48"/>
      <c r="F124" s="48"/>
      <c r="G124" s="48"/>
      <c r="H124" s="48"/>
      <c r="I124" s="48"/>
      <c r="J124" s="48"/>
      <c r="K124" s="50"/>
      <c r="L124" s="102" t="s">
        <v>165</v>
      </c>
      <c r="M124" s="4">
        <f>+M136</f>
        <v>21033.33</v>
      </c>
      <c r="N124" s="4">
        <f>+N136</f>
        <v>4206.67</v>
      </c>
      <c r="O124" s="115">
        <f>+N124+M124</f>
        <v>25240</v>
      </c>
      <c r="P124" s="4">
        <f>+P136</f>
        <v>13671.6645</v>
      </c>
      <c r="Q124" s="4">
        <f>+Q136</f>
        <v>2734.3355</v>
      </c>
      <c r="R124" s="115">
        <f>+Q124+P124</f>
        <v>16406</v>
      </c>
      <c r="S124" s="5">
        <f>R124*0.375</f>
        <v>6152.25</v>
      </c>
      <c r="T124" s="5">
        <f t="shared" si="26"/>
        <v>10253.75</v>
      </c>
      <c r="U124" s="29"/>
      <c r="V124" s="29"/>
    </row>
    <row r="125" spans="1:22" ht="11.25">
      <c r="A125" s="231"/>
      <c r="B125" s="232"/>
      <c r="C125" s="49"/>
      <c r="D125" s="48"/>
      <c r="E125" s="48"/>
      <c r="F125" s="48"/>
      <c r="G125" s="48"/>
      <c r="H125" s="48"/>
      <c r="I125" s="48"/>
      <c r="J125" s="48"/>
      <c r="K125" s="50"/>
      <c r="L125" s="102" t="s">
        <v>207</v>
      </c>
      <c r="M125" s="4"/>
      <c r="N125" s="4"/>
      <c r="O125" s="115"/>
      <c r="P125" s="4"/>
      <c r="Q125" s="4"/>
      <c r="R125" s="115"/>
      <c r="S125" s="5">
        <f>R125*0.375</f>
        <v>0</v>
      </c>
      <c r="T125" s="5">
        <f t="shared" si="26"/>
        <v>0</v>
      </c>
      <c r="U125" s="29"/>
      <c r="V125" s="29"/>
    </row>
    <row r="126" spans="1:22" ht="11.25">
      <c r="A126" s="231"/>
      <c r="B126" s="232"/>
      <c r="C126" s="49"/>
      <c r="D126" s="48"/>
      <c r="E126" s="48"/>
      <c r="F126" s="48"/>
      <c r="G126" s="48"/>
      <c r="H126" s="48"/>
      <c r="I126" s="48"/>
      <c r="J126" s="48"/>
      <c r="K126" s="50"/>
      <c r="L126" s="102" t="s">
        <v>235</v>
      </c>
      <c r="M126" s="4">
        <f>SUM(M137:M138)</f>
        <v>11100.67</v>
      </c>
      <c r="N126" s="4">
        <f>SUM(N137:N138)</f>
        <v>2220.13</v>
      </c>
      <c r="O126" s="115">
        <f>+N126+M126</f>
        <v>13320.8</v>
      </c>
      <c r="P126" s="4">
        <f>SUM(P137:P138)</f>
        <v>7215.4355</v>
      </c>
      <c r="Q126" s="4">
        <f>SUM(Q137:Q138)</f>
        <v>1443.0845</v>
      </c>
      <c r="R126" s="115">
        <f>+Q126+P126</f>
        <v>8658.52</v>
      </c>
      <c r="S126" s="5"/>
      <c r="T126" s="5">
        <f t="shared" si="26"/>
        <v>8658.52</v>
      </c>
      <c r="U126" s="29"/>
      <c r="V126" s="29"/>
    </row>
    <row r="127" spans="1:22" ht="11.25">
      <c r="A127" s="233"/>
      <c r="B127" s="212"/>
      <c r="C127" s="244"/>
      <c r="D127" s="245"/>
      <c r="E127" s="245"/>
      <c r="F127" s="245"/>
      <c r="G127" s="245"/>
      <c r="H127" s="245"/>
      <c r="I127" s="245"/>
      <c r="J127" s="245"/>
      <c r="K127" s="246"/>
      <c r="L127" s="103" t="s">
        <v>13</v>
      </c>
      <c r="M127" s="6">
        <f>M120-M121-M122-M123-M124-M126</f>
        <v>1908.3699999999935</v>
      </c>
      <c r="N127" s="6"/>
      <c r="O127" s="116"/>
      <c r="P127" s="6"/>
      <c r="Q127" s="6"/>
      <c r="R127" s="116"/>
      <c r="S127" s="1"/>
      <c r="T127" s="1"/>
      <c r="U127" s="29"/>
      <c r="V127" s="29"/>
    </row>
    <row r="128" spans="1:21" ht="22.5">
      <c r="A128" s="99" t="s">
        <v>14</v>
      </c>
      <c r="B128" s="7" t="s">
        <v>11</v>
      </c>
      <c r="C128" s="38" t="s">
        <v>23</v>
      </c>
      <c r="D128" s="38" t="s">
        <v>20</v>
      </c>
      <c r="E128" s="46" t="s">
        <v>2</v>
      </c>
      <c r="F128" s="38" t="s">
        <v>19</v>
      </c>
      <c r="G128" s="38" t="s">
        <v>18</v>
      </c>
      <c r="H128" s="46" t="s">
        <v>17</v>
      </c>
      <c r="I128" s="46" t="s">
        <v>16</v>
      </c>
      <c r="J128" s="38" t="s">
        <v>3</v>
      </c>
      <c r="K128" s="38" t="s">
        <v>4</v>
      </c>
      <c r="L128" s="104" t="s">
        <v>5</v>
      </c>
      <c r="M128" s="7" t="s">
        <v>21</v>
      </c>
      <c r="N128" s="7" t="s">
        <v>79</v>
      </c>
      <c r="O128" s="104" t="s">
        <v>80</v>
      </c>
      <c r="P128" s="7" t="s">
        <v>22</v>
      </c>
      <c r="Q128" s="7" t="s">
        <v>81</v>
      </c>
      <c r="R128" s="104" t="s">
        <v>82</v>
      </c>
      <c r="S128" s="241" t="s">
        <v>28</v>
      </c>
      <c r="T128" s="241"/>
      <c r="U128" s="29"/>
    </row>
    <row r="129" spans="1:21" ht="23.25" customHeight="1">
      <c r="A129" s="65" t="s">
        <v>15</v>
      </c>
      <c r="B129" s="8">
        <v>2</v>
      </c>
      <c r="C129" s="9" t="s">
        <v>41</v>
      </c>
      <c r="D129" s="9" t="s">
        <v>53</v>
      </c>
      <c r="E129" s="9" t="s">
        <v>54</v>
      </c>
      <c r="F129" s="9">
        <v>1007</v>
      </c>
      <c r="G129" s="10">
        <v>38201</v>
      </c>
      <c r="H129" s="11">
        <v>38201</v>
      </c>
      <c r="I129" s="11" t="s">
        <v>55</v>
      </c>
      <c r="J129" s="12">
        <v>483.33</v>
      </c>
      <c r="K129" s="23">
        <f>J129*0.2</f>
        <v>96.666</v>
      </c>
      <c r="L129" s="112">
        <f>J129+K129</f>
        <v>579.996</v>
      </c>
      <c r="M129" s="12">
        <v>0</v>
      </c>
      <c r="N129" s="12"/>
      <c r="O129" s="105"/>
      <c r="P129" s="12">
        <f>M129*0.65</f>
        <v>0</v>
      </c>
      <c r="Q129" s="12"/>
      <c r="R129" s="105"/>
      <c r="S129" s="240" t="s">
        <v>56</v>
      </c>
      <c r="T129" s="240"/>
      <c r="U129" s="29"/>
    </row>
    <row r="130" spans="1:21" s="150" customFormat="1" ht="23.25" customHeight="1">
      <c r="A130" s="140" t="s">
        <v>86</v>
      </c>
      <c r="B130" s="141"/>
      <c r="C130" s="142"/>
      <c r="D130" s="142" t="s">
        <v>126</v>
      </c>
      <c r="E130" s="142"/>
      <c r="F130" s="142"/>
      <c r="G130" s="144"/>
      <c r="H130" s="145"/>
      <c r="I130" s="145"/>
      <c r="J130" s="151">
        <v>19961.18</v>
      </c>
      <c r="K130" s="151">
        <v>3992.36</v>
      </c>
      <c r="L130" s="151">
        <f>J130+K130</f>
        <v>23953.54</v>
      </c>
      <c r="M130" s="146">
        <v>23954.16</v>
      </c>
      <c r="N130" s="146"/>
      <c r="O130" s="105">
        <f>+N130+M130</f>
        <v>23954.16</v>
      </c>
      <c r="P130" s="146">
        <f>+M130*0.65</f>
        <v>15570.204</v>
      </c>
      <c r="Q130" s="146"/>
      <c r="R130" s="105">
        <f>+Q130+P130</f>
        <v>15570.204</v>
      </c>
      <c r="S130" s="313"/>
      <c r="T130" s="314"/>
      <c r="U130" s="149"/>
    </row>
    <row r="131" spans="1:21" ht="23.25" customHeight="1">
      <c r="A131" s="65" t="s">
        <v>86</v>
      </c>
      <c r="B131" s="8">
        <v>2</v>
      </c>
      <c r="C131" s="9" t="s">
        <v>41</v>
      </c>
      <c r="D131" s="9" t="s">
        <v>53</v>
      </c>
      <c r="E131" s="9" t="s">
        <v>54</v>
      </c>
      <c r="F131" s="9">
        <v>1007</v>
      </c>
      <c r="G131" s="10">
        <v>38201</v>
      </c>
      <c r="H131" s="11">
        <v>38201</v>
      </c>
      <c r="I131" s="11" t="s">
        <v>55</v>
      </c>
      <c r="J131" s="12"/>
      <c r="K131" s="23"/>
      <c r="L131" s="112"/>
      <c r="M131" s="12">
        <v>483.33</v>
      </c>
      <c r="N131" s="12">
        <v>96.67</v>
      </c>
      <c r="O131" s="105">
        <f>+N131+M131</f>
        <v>580</v>
      </c>
      <c r="P131" s="12">
        <f aca="true" t="shared" si="28" ref="P131:Q133">M131*0.65</f>
        <v>314.1645</v>
      </c>
      <c r="Q131" s="12">
        <f t="shared" si="28"/>
        <v>62.8355</v>
      </c>
      <c r="R131" s="105">
        <f>+P131+Q131</f>
        <v>377</v>
      </c>
      <c r="S131" s="240" t="s">
        <v>91</v>
      </c>
      <c r="T131" s="240"/>
      <c r="U131" s="29"/>
    </row>
    <row r="132" spans="1:21" ht="11.25">
      <c r="A132" s="65" t="s">
        <v>86</v>
      </c>
      <c r="B132" s="8"/>
      <c r="C132" s="9" t="s">
        <v>41</v>
      </c>
      <c r="D132" s="17" t="s">
        <v>92</v>
      </c>
      <c r="E132" s="18" t="s">
        <v>93</v>
      </c>
      <c r="F132" s="19">
        <v>421</v>
      </c>
      <c r="G132" s="20">
        <v>38462</v>
      </c>
      <c r="H132" s="11">
        <v>38463</v>
      </c>
      <c r="I132" s="21" t="s">
        <v>27</v>
      </c>
      <c r="J132" s="22">
        <v>6085</v>
      </c>
      <c r="K132" s="23">
        <v>1217</v>
      </c>
      <c r="L132" s="112">
        <f>+K132+J132</f>
        <v>7302</v>
      </c>
      <c r="M132" s="22">
        <v>6085</v>
      </c>
      <c r="N132" s="23">
        <v>1217</v>
      </c>
      <c r="O132" s="112">
        <f>+N132+M132</f>
        <v>7302</v>
      </c>
      <c r="P132" s="12">
        <f t="shared" si="28"/>
        <v>3955.25</v>
      </c>
      <c r="Q132" s="12">
        <f t="shared" si="28"/>
        <v>791.0500000000001</v>
      </c>
      <c r="R132" s="105">
        <f>+P132+Q132</f>
        <v>4746.3</v>
      </c>
      <c r="S132" s="240"/>
      <c r="T132" s="240"/>
      <c r="U132" s="29"/>
    </row>
    <row r="133" spans="1:21" ht="11.25">
      <c r="A133" s="65" t="s">
        <v>86</v>
      </c>
      <c r="B133" s="8"/>
      <c r="C133" s="9" t="s">
        <v>41</v>
      </c>
      <c r="D133" s="17" t="s">
        <v>94</v>
      </c>
      <c r="E133" s="24" t="s">
        <v>95</v>
      </c>
      <c r="F133" s="19">
        <v>735</v>
      </c>
      <c r="G133" s="20">
        <v>38418</v>
      </c>
      <c r="H133" s="11">
        <v>38421</v>
      </c>
      <c r="I133" s="21" t="s">
        <v>27</v>
      </c>
      <c r="J133" s="22">
        <v>13876.8</v>
      </c>
      <c r="K133" s="23">
        <f>+J133*20%</f>
        <v>2775.36</v>
      </c>
      <c r="L133" s="112">
        <f>+K133+J133</f>
        <v>16652.16</v>
      </c>
      <c r="M133" s="22">
        <v>13876.8</v>
      </c>
      <c r="N133" s="12">
        <v>2775.36</v>
      </c>
      <c r="O133" s="105">
        <f>+N133+M133</f>
        <v>16652.16</v>
      </c>
      <c r="P133" s="12">
        <f t="shared" si="28"/>
        <v>9019.92</v>
      </c>
      <c r="Q133" s="12">
        <f t="shared" si="28"/>
        <v>1803.9840000000002</v>
      </c>
      <c r="R133" s="105">
        <f>+P133+Q133</f>
        <v>10823.904</v>
      </c>
      <c r="S133" s="240"/>
      <c r="T133" s="240"/>
      <c r="U133" s="29"/>
    </row>
    <row r="134" spans="1:21" s="150" customFormat="1" ht="11.25">
      <c r="A134" s="140" t="s">
        <v>101</v>
      </c>
      <c r="B134" s="141"/>
      <c r="C134" s="142"/>
      <c r="D134" s="142" t="s">
        <v>127</v>
      </c>
      <c r="E134" s="152"/>
      <c r="F134" s="141"/>
      <c r="G134" s="153"/>
      <c r="H134" s="145"/>
      <c r="I134" s="154"/>
      <c r="J134" s="151">
        <f>+J133+J132+J131-J130</f>
        <v>0.6199999999989814</v>
      </c>
      <c r="K134" s="151">
        <f aca="true" t="shared" si="29" ref="K134:R134">+K133+K132+K131-K130</f>
        <v>0</v>
      </c>
      <c r="L134" s="151">
        <f t="shared" si="29"/>
        <v>0.6199999999989814</v>
      </c>
      <c r="M134" s="151">
        <f t="shared" si="29"/>
        <v>-3509.029999999999</v>
      </c>
      <c r="N134" s="151">
        <f t="shared" si="29"/>
        <v>4089.03</v>
      </c>
      <c r="O134" s="112">
        <f t="shared" si="29"/>
        <v>580</v>
      </c>
      <c r="P134" s="151">
        <f t="shared" si="29"/>
        <v>-2280.869499999999</v>
      </c>
      <c r="Q134" s="151">
        <f t="shared" si="29"/>
        <v>2657.8695000000002</v>
      </c>
      <c r="R134" s="112">
        <f t="shared" si="29"/>
        <v>377.0000000000018</v>
      </c>
      <c r="S134" s="313"/>
      <c r="T134" s="314"/>
      <c r="U134" s="149"/>
    </row>
    <row r="135" spans="1:21" ht="11.25">
      <c r="A135" s="65" t="s">
        <v>101</v>
      </c>
      <c r="B135" s="8"/>
      <c r="C135" s="9" t="s">
        <v>41</v>
      </c>
      <c r="D135" s="9" t="s">
        <v>119</v>
      </c>
      <c r="E135" s="9" t="s">
        <v>120</v>
      </c>
      <c r="F135" s="9">
        <v>32</v>
      </c>
      <c r="G135" s="10">
        <v>38597</v>
      </c>
      <c r="H135" s="11">
        <v>38597</v>
      </c>
      <c r="I135" s="11" t="s">
        <v>55</v>
      </c>
      <c r="J135" s="136">
        <v>512.5</v>
      </c>
      <c r="K135" s="137">
        <v>102.5</v>
      </c>
      <c r="L135" s="138">
        <v>615</v>
      </c>
      <c r="M135" s="136">
        <v>512.5</v>
      </c>
      <c r="N135" s="137">
        <v>102.5</v>
      </c>
      <c r="O135" s="105">
        <f>+N135+M135</f>
        <v>615</v>
      </c>
      <c r="P135" s="12">
        <f aca="true" t="shared" si="30" ref="P135:Q138">M135*0.65</f>
        <v>333.125</v>
      </c>
      <c r="Q135" s="12">
        <f t="shared" si="30"/>
        <v>66.625</v>
      </c>
      <c r="R135" s="105">
        <f>+P135+Q135</f>
        <v>399.75</v>
      </c>
      <c r="S135" s="240"/>
      <c r="T135" s="240"/>
      <c r="U135" s="29"/>
    </row>
    <row r="136" spans="1:21" ht="11.25">
      <c r="A136" s="65" t="s">
        <v>167</v>
      </c>
      <c r="B136" s="8"/>
      <c r="C136" s="9" t="s">
        <v>41</v>
      </c>
      <c r="D136" s="9" t="s">
        <v>178</v>
      </c>
      <c r="E136" s="9" t="s">
        <v>111</v>
      </c>
      <c r="F136" s="9" t="s">
        <v>179</v>
      </c>
      <c r="G136" s="10">
        <v>38887</v>
      </c>
      <c r="H136" s="11">
        <v>38898</v>
      </c>
      <c r="I136" s="21" t="s">
        <v>27</v>
      </c>
      <c r="J136" s="12">
        <v>21033.33</v>
      </c>
      <c r="K136" s="12">
        <v>4206.67</v>
      </c>
      <c r="L136" s="105">
        <v>25240</v>
      </c>
      <c r="M136" s="12">
        <v>21033.33</v>
      </c>
      <c r="N136" s="12">
        <v>4206.67</v>
      </c>
      <c r="O136" s="105">
        <f>+N136+M136</f>
        <v>25240</v>
      </c>
      <c r="P136" s="12">
        <f t="shared" si="30"/>
        <v>13671.6645</v>
      </c>
      <c r="Q136" s="12">
        <f t="shared" si="30"/>
        <v>2734.3355</v>
      </c>
      <c r="R136" s="105">
        <f>+P136+Q136</f>
        <v>16406</v>
      </c>
      <c r="S136" s="240"/>
      <c r="T136" s="240"/>
      <c r="U136" s="29"/>
    </row>
    <row r="137" spans="1:21" ht="22.5">
      <c r="A137" s="65" t="s">
        <v>210</v>
      </c>
      <c r="B137" s="8"/>
      <c r="C137" s="9" t="s">
        <v>41</v>
      </c>
      <c r="D137" s="9" t="s">
        <v>221</v>
      </c>
      <c r="E137" s="9" t="s">
        <v>222</v>
      </c>
      <c r="F137" s="9" t="s">
        <v>223</v>
      </c>
      <c r="G137" s="10">
        <v>39217</v>
      </c>
      <c r="H137" s="11">
        <v>39224</v>
      </c>
      <c r="I137" s="21" t="s">
        <v>224</v>
      </c>
      <c r="J137" s="12">
        <v>7500</v>
      </c>
      <c r="K137" s="12">
        <v>1500</v>
      </c>
      <c r="L137" s="105">
        <v>9000</v>
      </c>
      <c r="M137" s="12">
        <v>7500</v>
      </c>
      <c r="N137" s="12">
        <f>+M137*0.2</f>
        <v>1500</v>
      </c>
      <c r="O137" s="105">
        <f>+N137+M137</f>
        <v>9000</v>
      </c>
      <c r="P137" s="12">
        <f t="shared" si="30"/>
        <v>4875</v>
      </c>
      <c r="Q137" s="12">
        <f t="shared" si="30"/>
        <v>975</v>
      </c>
      <c r="R137" s="105">
        <f>+P137+Q137</f>
        <v>5850</v>
      </c>
      <c r="S137" s="183"/>
      <c r="T137" s="183"/>
      <c r="U137" s="29"/>
    </row>
    <row r="138" spans="1:21" ht="11.25">
      <c r="A138" s="65" t="s">
        <v>210</v>
      </c>
      <c r="B138" s="8"/>
      <c r="C138" s="9" t="s">
        <v>41</v>
      </c>
      <c r="D138" s="9" t="s">
        <v>225</v>
      </c>
      <c r="E138" s="9" t="s">
        <v>226</v>
      </c>
      <c r="F138" s="9">
        <v>362</v>
      </c>
      <c r="G138" s="10">
        <v>39167</v>
      </c>
      <c r="H138" s="11">
        <v>39226</v>
      </c>
      <c r="I138" s="11" t="s">
        <v>224</v>
      </c>
      <c r="J138" s="12">
        <v>3600.67</v>
      </c>
      <c r="K138" s="12">
        <v>720.13</v>
      </c>
      <c r="L138" s="105">
        <v>4320.8</v>
      </c>
      <c r="M138" s="12">
        <v>3600.67</v>
      </c>
      <c r="N138" s="12">
        <v>720.13</v>
      </c>
      <c r="O138" s="105">
        <v>4320.8</v>
      </c>
      <c r="P138" s="12">
        <f t="shared" si="30"/>
        <v>2340.4355</v>
      </c>
      <c r="Q138" s="12">
        <f t="shared" si="30"/>
        <v>468.0845</v>
      </c>
      <c r="R138" s="105">
        <f>+P138+Q138</f>
        <v>2808.52</v>
      </c>
      <c r="S138" s="240"/>
      <c r="T138" s="240"/>
      <c r="U138" s="29"/>
    </row>
    <row r="139" spans="1:21" ht="11.25">
      <c r="A139" s="68"/>
      <c r="B139" s="8"/>
      <c r="C139" s="9"/>
      <c r="D139" s="9"/>
      <c r="E139" s="9"/>
      <c r="F139" s="9"/>
      <c r="G139" s="10"/>
      <c r="H139" s="11"/>
      <c r="I139" s="11"/>
      <c r="J139" s="12"/>
      <c r="K139" s="12"/>
      <c r="L139" s="105"/>
      <c r="M139" s="12"/>
      <c r="N139" s="12"/>
      <c r="O139" s="105"/>
      <c r="P139" s="12"/>
      <c r="Q139" s="12"/>
      <c r="R139" s="105"/>
      <c r="S139" s="240"/>
      <c r="T139" s="240"/>
      <c r="U139" s="29"/>
    </row>
    <row r="140" ht="11.25">
      <c r="U140" s="29"/>
    </row>
    <row r="141" spans="1:21" ht="11.25">
      <c r="A141" s="45"/>
      <c r="B141" s="70"/>
      <c r="C141" s="238" t="s">
        <v>10</v>
      </c>
      <c r="D141" s="238"/>
      <c r="E141" s="238"/>
      <c r="F141" s="238"/>
      <c r="G141" s="238"/>
      <c r="H141" s="238"/>
      <c r="I141" s="238"/>
      <c r="J141" s="238"/>
      <c r="K141" s="238"/>
      <c r="L141" s="239"/>
      <c r="M141" s="242" t="s">
        <v>26</v>
      </c>
      <c r="N141" s="243"/>
      <c r="O141" s="243"/>
      <c r="P141" s="243" t="s">
        <v>22</v>
      </c>
      <c r="Q141" s="243"/>
      <c r="R141" s="243"/>
      <c r="S141" s="36" t="s">
        <v>24</v>
      </c>
      <c r="T141" s="37" t="s">
        <v>25</v>
      </c>
      <c r="U141" s="29"/>
    </row>
    <row r="142" spans="1:22" ht="11.25">
      <c r="A142" s="231"/>
      <c r="B142" s="232"/>
      <c r="C142" s="213"/>
      <c r="D142" s="214"/>
      <c r="E142" s="214"/>
      <c r="F142" s="214"/>
      <c r="G142" s="214"/>
      <c r="H142" s="214"/>
      <c r="I142" s="214"/>
      <c r="J142" s="214"/>
      <c r="K142" s="215"/>
      <c r="L142" s="111" t="s">
        <v>12</v>
      </c>
      <c r="M142" s="3">
        <v>31425</v>
      </c>
      <c r="N142" s="3"/>
      <c r="O142" s="114"/>
      <c r="P142" s="3"/>
      <c r="Q142" s="3"/>
      <c r="R142" s="117"/>
      <c r="S142" s="56"/>
      <c r="T142" s="56"/>
      <c r="U142" s="29"/>
      <c r="V142" s="29"/>
    </row>
    <row r="143" spans="1:22" ht="11.25">
      <c r="A143" s="231"/>
      <c r="B143" s="232"/>
      <c r="C143" s="49"/>
      <c r="D143" s="48"/>
      <c r="E143" s="48"/>
      <c r="F143" s="48"/>
      <c r="G143" s="48"/>
      <c r="H143" s="48"/>
      <c r="I143" s="48"/>
      <c r="J143" s="48"/>
      <c r="K143" s="4"/>
      <c r="L143" s="102" t="s">
        <v>29</v>
      </c>
      <c r="M143" s="4">
        <f>SUM(M151:M156)</f>
        <v>3172.35</v>
      </c>
      <c r="N143" s="4">
        <f>SUM(N151:N156)</f>
        <v>0</v>
      </c>
      <c r="O143" s="115">
        <f>+N143+M143</f>
        <v>3172.35</v>
      </c>
      <c r="P143" s="4">
        <f>SUM(P151:P156)</f>
        <v>2062.0275</v>
      </c>
      <c r="Q143" s="4">
        <f>SUM(Q151:Q156)</f>
        <v>0</v>
      </c>
      <c r="R143" s="115">
        <f>+Q143+P143</f>
        <v>2062.0275</v>
      </c>
      <c r="S143" s="5">
        <f>R143*0.375</f>
        <v>773.2603125</v>
      </c>
      <c r="T143" s="5">
        <f aca="true" t="shared" si="31" ref="T143:T148">R143-S143</f>
        <v>1288.7671875</v>
      </c>
      <c r="U143" s="29"/>
      <c r="V143" s="29"/>
    </row>
    <row r="144" spans="1:22" ht="11.25">
      <c r="A144" s="231"/>
      <c r="B144" s="232"/>
      <c r="C144" s="49"/>
      <c r="D144" s="48"/>
      <c r="E144" s="48"/>
      <c r="F144" s="48"/>
      <c r="G144" s="48"/>
      <c r="H144" s="48"/>
      <c r="I144" s="48"/>
      <c r="J144" s="48"/>
      <c r="K144" s="50"/>
      <c r="L144" s="102" t="s">
        <v>30</v>
      </c>
      <c r="M144" s="4">
        <f>SUM(M157:M159)</f>
        <v>1020</v>
      </c>
      <c r="N144" s="4">
        <f>SUM(N157:N159)</f>
        <v>204</v>
      </c>
      <c r="O144" s="115">
        <f>+N144+M144</f>
        <v>1224</v>
      </c>
      <c r="P144" s="4">
        <f>SUM(P157:P159)</f>
        <v>663</v>
      </c>
      <c r="Q144" s="4">
        <f>SUM(Q157:Q159)</f>
        <v>132.6</v>
      </c>
      <c r="R144" s="115">
        <f>+Q144+P144</f>
        <v>795.6</v>
      </c>
      <c r="S144" s="5">
        <f>R144*0.375</f>
        <v>298.35</v>
      </c>
      <c r="T144" s="5">
        <f t="shared" si="31"/>
        <v>497.25</v>
      </c>
      <c r="U144" s="29"/>
      <c r="V144" s="29"/>
    </row>
    <row r="145" spans="1:22" ht="11.25">
      <c r="A145" s="231"/>
      <c r="B145" s="232"/>
      <c r="C145" s="49"/>
      <c r="D145" s="48"/>
      <c r="E145" s="48"/>
      <c r="F145" s="48"/>
      <c r="G145" s="48"/>
      <c r="H145" s="48"/>
      <c r="I145" s="48"/>
      <c r="J145" s="48"/>
      <c r="K145" s="50"/>
      <c r="L145" s="102" t="s">
        <v>89</v>
      </c>
      <c r="M145" s="4">
        <f>SUM(M160)</f>
        <v>-1020</v>
      </c>
      <c r="N145" s="4">
        <f>SUM(N160)</f>
        <v>-204</v>
      </c>
      <c r="O145" s="115">
        <f>+N145+M145</f>
        <v>-1224</v>
      </c>
      <c r="P145" s="4">
        <f>SUM(P160)</f>
        <v>-663</v>
      </c>
      <c r="Q145" s="4">
        <f>SUM(Q160)</f>
        <v>-132.6</v>
      </c>
      <c r="R145" s="115">
        <f>+Q145+P145</f>
        <v>-795.6</v>
      </c>
      <c r="S145" s="5">
        <f>R145*0.375</f>
        <v>-298.35</v>
      </c>
      <c r="T145" s="5">
        <f t="shared" si="31"/>
        <v>-497.25</v>
      </c>
      <c r="U145" s="29"/>
      <c r="V145" s="29"/>
    </row>
    <row r="146" spans="1:22" ht="11.25">
      <c r="A146" s="231"/>
      <c r="B146" s="232"/>
      <c r="C146" s="49"/>
      <c r="D146" s="48"/>
      <c r="E146" s="48"/>
      <c r="F146" s="48"/>
      <c r="G146" s="48"/>
      <c r="H146" s="48"/>
      <c r="I146" s="48"/>
      <c r="J146" s="48"/>
      <c r="K146" s="50"/>
      <c r="L146" s="102" t="s">
        <v>165</v>
      </c>
      <c r="M146" s="4"/>
      <c r="N146" s="4"/>
      <c r="O146" s="115"/>
      <c r="P146" s="4"/>
      <c r="Q146" s="4"/>
      <c r="R146" s="115"/>
      <c r="S146" s="5">
        <f>R146*0.375</f>
        <v>0</v>
      </c>
      <c r="T146" s="5">
        <f t="shared" si="31"/>
        <v>0</v>
      </c>
      <c r="U146" s="29"/>
      <c r="V146" s="29"/>
    </row>
    <row r="147" spans="1:22" ht="11.25">
      <c r="A147" s="231"/>
      <c r="B147" s="232"/>
      <c r="C147" s="49"/>
      <c r="D147" s="48"/>
      <c r="E147" s="48"/>
      <c r="F147" s="48"/>
      <c r="G147" s="48"/>
      <c r="H147" s="48"/>
      <c r="I147" s="48"/>
      <c r="J147" s="48"/>
      <c r="K147" s="50"/>
      <c r="L147" s="102" t="s">
        <v>207</v>
      </c>
      <c r="M147" s="4">
        <f>SUM(M161:M179)</f>
        <v>32517.054242424245</v>
      </c>
      <c r="N147" s="4">
        <f>SUM(N161:N179)</f>
        <v>5437.145757575759</v>
      </c>
      <c r="O147" s="115">
        <f>+N147+M147</f>
        <v>37954.200000000004</v>
      </c>
      <c r="P147" s="4">
        <f>SUM(P161:P179)</f>
        <v>21136.08525757576</v>
      </c>
      <c r="Q147" s="4">
        <f>SUM(Q161:Q179)</f>
        <v>3534.1447424242424</v>
      </c>
      <c r="R147" s="115">
        <f>+Q147+P147</f>
        <v>24670.230000000003</v>
      </c>
      <c r="S147" s="5">
        <f>R147*0.375</f>
        <v>9251.33625</v>
      </c>
      <c r="T147" s="5">
        <f t="shared" si="31"/>
        <v>15418.893750000003</v>
      </c>
      <c r="U147" s="29"/>
      <c r="V147" s="29"/>
    </row>
    <row r="148" spans="1:22" ht="11.25">
      <c r="A148" s="231"/>
      <c r="B148" s="232"/>
      <c r="C148" s="49"/>
      <c r="D148" s="48"/>
      <c r="E148" s="48"/>
      <c r="F148" s="48"/>
      <c r="G148" s="48"/>
      <c r="H148" s="48"/>
      <c r="I148" s="48"/>
      <c r="J148" s="48"/>
      <c r="K148" s="50"/>
      <c r="L148" s="102" t="s">
        <v>235</v>
      </c>
      <c r="M148" s="4">
        <f>SUM(M180)</f>
        <v>1425.77</v>
      </c>
      <c r="N148" s="4">
        <f>SUM(N180)</f>
        <v>0</v>
      </c>
      <c r="O148" s="115">
        <f>+N148+M148</f>
        <v>1425.77</v>
      </c>
      <c r="P148" s="4">
        <f>SUM(P180)</f>
        <v>926.7505</v>
      </c>
      <c r="Q148" s="4">
        <f>SUM(Q180)</f>
        <v>0</v>
      </c>
      <c r="R148" s="115">
        <f>+Q148+P148</f>
        <v>926.7505</v>
      </c>
      <c r="S148" s="5"/>
      <c r="T148" s="5">
        <f t="shared" si="31"/>
        <v>926.7505</v>
      </c>
      <c r="U148" s="29"/>
      <c r="V148" s="29"/>
    </row>
    <row r="149" spans="1:22" ht="11.25">
      <c r="A149" s="233"/>
      <c r="B149" s="212"/>
      <c r="C149" s="244"/>
      <c r="D149" s="245"/>
      <c r="E149" s="245"/>
      <c r="F149" s="245"/>
      <c r="G149" s="245"/>
      <c r="H149" s="245"/>
      <c r="I149" s="245"/>
      <c r="J149" s="245"/>
      <c r="K149" s="246"/>
      <c r="L149" s="103" t="s">
        <v>13</v>
      </c>
      <c r="M149" s="6">
        <f>M142-M143-M144-M145-M146-M147-M148</f>
        <v>-5690.174242424244</v>
      </c>
      <c r="N149" s="6"/>
      <c r="O149" s="116"/>
      <c r="P149" s="6"/>
      <c r="Q149" s="6"/>
      <c r="R149" s="116"/>
      <c r="S149" s="1"/>
      <c r="T149" s="1"/>
      <c r="U149" s="29"/>
      <c r="V149" s="29"/>
    </row>
    <row r="150" spans="1:21" ht="22.5">
      <c r="A150" s="99" t="s">
        <v>14</v>
      </c>
      <c r="B150" s="7" t="s">
        <v>11</v>
      </c>
      <c r="C150" s="38" t="s">
        <v>23</v>
      </c>
      <c r="D150" s="38" t="s">
        <v>20</v>
      </c>
      <c r="E150" s="46" t="s">
        <v>2</v>
      </c>
      <c r="F150" s="38" t="s">
        <v>19</v>
      </c>
      <c r="G150" s="38" t="s">
        <v>18</v>
      </c>
      <c r="H150" s="46" t="s">
        <v>17</v>
      </c>
      <c r="I150" s="46" t="s">
        <v>16</v>
      </c>
      <c r="J150" s="38" t="s">
        <v>3</v>
      </c>
      <c r="K150" s="38" t="s">
        <v>4</v>
      </c>
      <c r="L150" s="104" t="s">
        <v>5</v>
      </c>
      <c r="M150" s="7" t="s">
        <v>21</v>
      </c>
      <c r="N150" s="7" t="s">
        <v>79</v>
      </c>
      <c r="O150" s="104" t="s">
        <v>80</v>
      </c>
      <c r="P150" s="7" t="s">
        <v>22</v>
      </c>
      <c r="Q150" s="7" t="s">
        <v>81</v>
      </c>
      <c r="R150" s="104" t="s">
        <v>82</v>
      </c>
      <c r="S150" s="241" t="s">
        <v>28</v>
      </c>
      <c r="T150" s="241"/>
      <c r="U150" s="29"/>
    </row>
    <row r="151" spans="1:20" ht="11.25">
      <c r="A151" s="65" t="s">
        <v>15</v>
      </c>
      <c r="B151" s="8"/>
      <c r="C151" s="86" t="s">
        <v>41</v>
      </c>
      <c r="D151" s="9" t="s">
        <v>57</v>
      </c>
      <c r="E151" s="9" t="s">
        <v>70</v>
      </c>
      <c r="F151" s="9"/>
      <c r="G151" s="10">
        <v>38271</v>
      </c>
      <c r="H151" s="11">
        <v>37993</v>
      </c>
      <c r="I151" s="11" t="s">
        <v>27</v>
      </c>
      <c r="J151" s="12">
        <v>1636.47</v>
      </c>
      <c r="K151" s="12"/>
      <c r="L151" s="105">
        <f aca="true" t="shared" si="32" ref="L151:L159">SUM(J151:K151)</f>
        <v>1636.47</v>
      </c>
      <c r="M151" s="12">
        <v>0</v>
      </c>
      <c r="N151" s="12"/>
      <c r="O151" s="105"/>
      <c r="P151" s="12">
        <f aca="true" t="shared" si="33" ref="P151:Q156">M151*0.65</f>
        <v>0</v>
      </c>
      <c r="Q151" s="97"/>
      <c r="R151" s="119"/>
      <c r="S151" s="247"/>
      <c r="T151" s="228"/>
    </row>
    <row r="152" spans="1:20" ht="11.25">
      <c r="A152" s="65" t="s">
        <v>15</v>
      </c>
      <c r="B152" s="8"/>
      <c r="C152" s="86" t="s">
        <v>41</v>
      </c>
      <c r="D152" s="9" t="s">
        <v>58</v>
      </c>
      <c r="E152" s="9" t="s">
        <v>70</v>
      </c>
      <c r="F152" s="9"/>
      <c r="G152" s="10">
        <v>38355</v>
      </c>
      <c r="H152" s="11">
        <v>38377</v>
      </c>
      <c r="I152" s="11" t="s">
        <v>27</v>
      </c>
      <c r="J152" s="26">
        <v>3460</v>
      </c>
      <c r="K152" s="12"/>
      <c r="L152" s="105">
        <f t="shared" si="32"/>
        <v>3460</v>
      </c>
      <c r="M152" s="12"/>
      <c r="N152" s="12"/>
      <c r="O152" s="105"/>
      <c r="P152" s="12">
        <f t="shared" si="33"/>
        <v>0</v>
      </c>
      <c r="Q152" s="98"/>
      <c r="R152" s="120"/>
      <c r="S152" s="229"/>
      <c r="T152" s="230"/>
    </row>
    <row r="153" spans="1:20" ht="11.25">
      <c r="A153" s="65" t="s">
        <v>15</v>
      </c>
      <c r="B153" s="8"/>
      <c r="C153" s="86" t="s">
        <v>41</v>
      </c>
      <c r="D153" s="9" t="s">
        <v>59</v>
      </c>
      <c r="E153" s="9" t="s">
        <v>63</v>
      </c>
      <c r="F153" s="11" t="s">
        <v>64</v>
      </c>
      <c r="G153" s="11">
        <v>38300</v>
      </c>
      <c r="H153" s="11" t="s">
        <v>65</v>
      </c>
      <c r="I153" s="11" t="s">
        <v>55</v>
      </c>
      <c r="J153" s="12">
        <v>3568.89</v>
      </c>
      <c r="K153" s="12">
        <v>0</v>
      </c>
      <c r="L153" s="105">
        <f t="shared" si="32"/>
        <v>3568.89</v>
      </c>
      <c r="M153" s="12">
        <v>3172.35</v>
      </c>
      <c r="N153" s="12"/>
      <c r="O153" s="105">
        <f>+N153+M153</f>
        <v>3172.35</v>
      </c>
      <c r="P153" s="12">
        <f t="shared" si="33"/>
        <v>2062.0275</v>
      </c>
      <c r="Q153" s="12">
        <f t="shared" si="33"/>
        <v>0</v>
      </c>
      <c r="R153" s="105">
        <f>+Q153+P153</f>
        <v>2062.0275</v>
      </c>
      <c r="S153" s="240"/>
      <c r="T153" s="240"/>
    </row>
    <row r="154" spans="1:20" ht="11.25">
      <c r="A154" s="65" t="s">
        <v>15</v>
      </c>
      <c r="B154" s="8"/>
      <c r="C154" s="86" t="s">
        <v>41</v>
      </c>
      <c r="D154" s="9" t="s">
        <v>60</v>
      </c>
      <c r="E154" s="9"/>
      <c r="F154" s="9"/>
      <c r="G154" s="10">
        <v>38271</v>
      </c>
      <c r="H154" s="11">
        <v>38268</v>
      </c>
      <c r="I154" s="11" t="s">
        <v>55</v>
      </c>
      <c r="J154" s="26">
        <v>750.4</v>
      </c>
      <c r="K154" s="26"/>
      <c r="L154" s="105">
        <f t="shared" si="32"/>
        <v>750.4</v>
      </c>
      <c r="M154" s="12">
        <v>0</v>
      </c>
      <c r="N154" s="12"/>
      <c r="O154" s="105"/>
      <c r="P154" s="12">
        <f t="shared" si="33"/>
        <v>0</v>
      </c>
      <c r="Q154" s="12"/>
      <c r="R154" s="105"/>
      <c r="S154" s="240"/>
      <c r="T154" s="240"/>
    </row>
    <row r="155" spans="1:20" ht="11.25">
      <c r="A155" s="65" t="s">
        <v>15</v>
      </c>
      <c r="B155" s="8"/>
      <c r="C155" s="86" t="s">
        <v>41</v>
      </c>
      <c r="D155" s="9" t="s">
        <v>61</v>
      </c>
      <c r="E155" s="9" t="s">
        <v>66</v>
      </c>
      <c r="F155" s="89" t="s">
        <v>67</v>
      </c>
      <c r="G155" s="11">
        <v>38349</v>
      </c>
      <c r="H155" s="11">
        <v>38349</v>
      </c>
      <c r="I155" s="11" t="s">
        <v>27</v>
      </c>
      <c r="J155" s="12">
        <v>3290</v>
      </c>
      <c r="K155" s="26"/>
      <c r="L155" s="105">
        <f t="shared" si="32"/>
        <v>3290</v>
      </c>
      <c r="M155" s="12">
        <v>0</v>
      </c>
      <c r="N155" s="12"/>
      <c r="O155" s="105"/>
      <c r="P155" s="12">
        <f t="shared" si="33"/>
        <v>0</v>
      </c>
      <c r="Q155" s="12"/>
      <c r="R155" s="105"/>
      <c r="S155" s="240"/>
      <c r="T155" s="240"/>
    </row>
    <row r="156" spans="1:20" ht="24.75" customHeight="1">
      <c r="A156" s="65" t="s">
        <v>15</v>
      </c>
      <c r="B156" s="8"/>
      <c r="C156" s="86" t="s">
        <v>41</v>
      </c>
      <c r="D156" s="9" t="s">
        <v>62</v>
      </c>
      <c r="E156" s="9" t="s">
        <v>66</v>
      </c>
      <c r="F156" s="88">
        <v>14</v>
      </c>
      <c r="G156" s="10">
        <v>38349</v>
      </c>
      <c r="H156" s="11">
        <v>38349</v>
      </c>
      <c r="I156" s="11" t="s">
        <v>27</v>
      </c>
      <c r="J156" s="12">
        <v>3960</v>
      </c>
      <c r="K156" s="26"/>
      <c r="L156" s="105">
        <f t="shared" si="32"/>
        <v>3960</v>
      </c>
      <c r="M156" s="12">
        <v>0</v>
      </c>
      <c r="N156" s="12"/>
      <c r="O156" s="105"/>
      <c r="P156" s="12">
        <f t="shared" si="33"/>
        <v>0</v>
      </c>
      <c r="Q156" s="12"/>
      <c r="R156" s="105"/>
      <c r="S156" s="308" t="s">
        <v>71</v>
      </c>
      <c r="T156" s="308"/>
    </row>
    <row r="157" spans="1:20" s="150" customFormat="1" ht="24.75" customHeight="1">
      <c r="A157" s="140" t="s">
        <v>86</v>
      </c>
      <c r="B157" s="141"/>
      <c r="C157" s="152"/>
      <c r="D157" s="142" t="s">
        <v>126</v>
      </c>
      <c r="E157" s="142"/>
      <c r="F157" s="155"/>
      <c r="G157" s="144"/>
      <c r="H157" s="145"/>
      <c r="I157" s="145"/>
      <c r="J157" s="146">
        <v>1020</v>
      </c>
      <c r="K157" s="156">
        <v>204</v>
      </c>
      <c r="L157" s="146">
        <f t="shared" si="32"/>
        <v>1224</v>
      </c>
      <c r="M157" s="146">
        <v>1020</v>
      </c>
      <c r="N157" s="156">
        <v>204</v>
      </c>
      <c r="O157" s="105">
        <f>SUM(M157:N157)</f>
        <v>1224</v>
      </c>
      <c r="P157" s="146">
        <f>+M157*0.65</f>
        <v>663</v>
      </c>
      <c r="Q157" s="146">
        <f>+N157*0.65</f>
        <v>132.6</v>
      </c>
      <c r="R157" s="105">
        <f>SUM(P157:Q157)</f>
        <v>795.6</v>
      </c>
      <c r="S157" s="157"/>
      <c r="T157" s="158"/>
    </row>
    <row r="158" spans="1:20" ht="24.75" customHeight="1">
      <c r="A158" s="65" t="s">
        <v>86</v>
      </c>
      <c r="B158" s="8"/>
      <c r="C158" s="86" t="s">
        <v>41</v>
      </c>
      <c r="D158" s="9" t="s">
        <v>96</v>
      </c>
      <c r="E158" s="9" t="s">
        <v>97</v>
      </c>
      <c r="F158" s="88">
        <v>9</v>
      </c>
      <c r="G158" s="10">
        <v>38392</v>
      </c>
      <c r="H158" s="11">
        <v>38390</v>
      </c>
      <c r="I158" s="11" t="s">
        <v>27</v>
      </c>
      <c r="J158" s="12">
        <v>520</v>
      </c>
      <c r="K158" s="26">
        <v>104</v>
      </c>
      <c r="L158" s="105">
        <f t="shared" si="32"/>
        <v>624</v>
      </c>
      <c r="M158" s="12"/>
      <c r="N158" s="26"/>
      <c r="O158" s="105"/>
      <c r="P158" s="12"/>
      <c r="Q158" s="12"/>
      <c r="R158" s="105"/>
      <c r="S158" s="236" t="s">
        <v>98</v>
      </c>
      <c r="T158" s="237"/>
    </row>
    <row r="159" spans="1:20" ht="24.75" customHeight="1">
      <c r="A159" s="65" t="s">
        <v>86</v>
      </c>
      <c r="B159" s="8"/>
      <c r="C159" s="86" t="s">
        <v>41</v>
      </c>
      <c r="D159" s="9" t="s">
        <v>99</v>
      </c>
      <c r="E159" s="9" t="s">
        <v>100</v>
      </c>
      <c r="F159" s="88">
        <v>11</v>
      </c>
      <c r="G159" s="10">
        <v>38448</v>
      </c>
      <c r="H159" s="11">
        <v>38453</v>
      </c>
      <c r="I159" s="11" t="s">
        <v>27</v>
      </c>
      <c r="J159" s="12">
        <v>500</v>
      </c>
      <c r="K159" s="26">
        <v>100</v>
      </c>
      <c r="L159" s="105">
        <f t="shared" si="32"/>
        <v>600</v>
      </c>
      <c r="M159" s="12"/>
      <c r="N159" s="12"/>
      <c r="O159" s="105"/>
      <c r="P159" s="12"/>
      <c r="Q159" s="12"/>
      <c r="R159" s="105"/>
      <c r="S159" s="236" t="s">
        <v>98</v>
      </c>
      <c r="T159" s="237"/>
    </row>
    <row r="160" spans="1:20" s="150" customFormat="1" ht="24.75" customHeight="1">
      <c r="A160" s="140" t="s">
        <v>101</v>
      </c>
      <c r="B160" s="141"/>
      <c r="C160" s="152"/>
      <c r="D160" s="142" t="s">
        <v>127</v>
      </c>
      <c r="E160" s="142"/>
      <c r="F160" s="155"/>
      <c r="G160" s="144"/>
      <c r="H160" s="145"/>
      <c r="I160" s="145"/>
      <c r="J160" s="146">
        <f aca="true" t="shared" si="34" ref="J160:R160">+J159+J158-J157</f>
        <v>0</v>
      </c>
      <c r="K160" s="146">
        <f t="shared" si="34"/>
        <v>0</v>
      </c>
      <c r="L160" s="146">
        <f t="shared" si="34"/>
        <v>0</v>
      </c>
      <c r="M160" s="146">
        <f t="shared" si="34"/>
        <v>-1020</v>
      </c>
      <c r="N160" s="146">
        <f t="shared" si="34"/>
        <v>-204</v>
      </c>
      <c r="O160" s="105">
        <f t="shared" si="34"/>
        <v>-1224</v>
      </c>
      <c r="P160" s="146">
        <f t="shared" si="34"/>
        <v>-663</v>
      </c>
      <c r="Q160" s="146">
        <f t="shared" si="34"/>
        <v>-132.6</v>
      </c>
      <c r="R160" s="105">
        <f t="shared" si="34"/>
        <v>-795.6</v>
      </c>
      <c r="S160" s="159"/>
      <c r="T160" s="160"/>
    </row>
    <row r="161" spans="1:20" s="189" customFormat="1" ht="24.75" customHeight="1">
      <c r="A161" s="187" t="s">
        <v>187</v>
      </c>
      <c r="B161" s="188"/>
      <c r="C161" s="86" t="s">
        <v>41</v>
      </c>
      <c r="D161" s="9" t="s">
        <v>58</v>
      </c>
      <c r="E161" s="9" t="s">
        <v>70</v>
      </c>
      <c r="F161" s="9"/>
      <c r="G161" s="10">
        <v>38355</v>
      </c>
      <c r="H161" s="11">
        <v>38377</v>
      </c>
      <c r="I161" s="11" t="s">
        <v>27</v>
      </c>
      <c r="J161" s="12">
        <f>3460/1.1</f>
        <v>3145.454545454545</v>
      </c>
      <c r="K161" s="12">
        <f>+J161*0.1</f>
        <v>314.5454545454545</v>
      </c>
      <c r="L161" s="105">
        <v>3460</v>
      </c>
      <c r="M161" s="192">
        <f>3460/1.1</f>
        <v>3145.454545454545</v>
      </c>
      <c r="N161" s="192">
        <f>+M161*0.1</f>
        <v>314.5454545454545</v>
      </c>
      <c r="O161" s="192">
        <v>3460</v>
      </c>
      <c r="P161" s="33">
        <f aca="true" t="shared" si="35" ref="P161:P171">+M161*0.65</f>
        <v>2044.5454545454543</v>
      </c>
      <c r="Q161" s="33">
        <f aca="true" t="shared" si="36" ref="Q161:Q171">+N161*0.65</f>
        <v>204.45454545454544</v>
      </c>
      <c r="R161" s="105">
        <f aca="true" t="shared" si="37" ref="R161:R171">+Q161+P161</f>
        <v>2248.9999999999995</v>
      </c>
      <c r="S161" s="236" t="s">
        <v>204</v>
      </c>
      <c r="T161" s="237"/>
    </row>
    <row r="162" spans="1:20" s="189" customFormat="1" ht="24.75" customHeight="1">
      <c r="A162" s="187" t="s">
        <v>187</v>
      </c>
      <c r="B162" s="188"/>
      <c r="C162" s="86" t="s">
        <v>41</v>
      </c>
      <c r="D162" s="9" t="s">
        <v>61</v>
      </c>
      <c r="E162" s="9" t="s">
        <v>66</v>
      </c>
      <c r="F162" s="89" t="s">
        <v>67</v>
      </c>
      <c r="G162" s="11">
        <v>38349</v>
      </c>
      <c r="H162" s="11">
        <v>38349</v>
      </c>
      <c r="I162" s="11" t="s">
        <v>27</v>
      </c>
      <c r="J162" s="12">
        <f>3290/1.2</f>
        <v>2741.666666666667</v>
      </c>
      <c r="K162" s="26">
        <f>+J162*0.2</f>
        <v>548.3333333333334</v>
      </c>
      <c r="L162" s="105">
        <f>SUM(J162:K162)</f>
        <v>3290.0000000000005</v>
      </c>
      <c r="M162" s="33">
        <f aca="true" t="shared" si="38" ref="M162:N167">+J162*0.8</f>
        <v>2193.3333333333335</v>
      </c>
      <c r="N162" s="33">
        <f t="shared" si="38"/>
        <v>438.66666666666674</v>
      </c>
      <c r="O162" s="105">
        <f aca="true" t="shared" si="39" ref="O162:O167">SUM(M162:N162)</f>
        <v>2632</v>
      </c>
      <c r="P162" s="33">
        <f t="shared" si="35"/>
        <v>1425.6666666666667</v>
      </c>
      <c r="Q162" s="33">
        <f t="shared" si="36"/>
        <v>285.1333333333334</v>
      </c>
      <c r="R162" s="105">
        <f t="shared" si="37"/>
        <v>1710.8000000000002</v>
      </c>
      <c r="S162" s="236" t="s">
        <v>204</v>
      </c>
      <c r="T162" s="237"/>
    </row>
    <row r="163" spans="1:20" s="189" customFormat="1" ht="24.75" customHeight="1">
      <c r="A163" s="187" t="s">
        <v>187</v>
      </c>
      <c r="B163" s="188"/>
      <c r="C163" s="86" t="s">
        <v>41</v>
      </c>
      <c r="D163" s="9" t="s">
        <v>62</v>
      </c>
      <c r="E163" s="9" t="s">
        <v>66</v>
      </c>
      <c r="F163" s="88">
        <v>14</v>
      </c>
      <c r="G163" s="10">
        <v>38349</v>
      </c>
      <c r="H163" s="11">
        <v>38349</v>
      </c>
      <c r="I163" s="11" t="s">
        <v>27</v>
      </c>
      <c r="J163" s="12">
        <v>3960</v>
      </c>
      <c r="K163" s="26">
        <f>+J163*0.2</f>
        <v>792</v>
      </c>
      <c r="L163" s="105">
        <f>SUM(J163:K163)</f>
        <v>4752</v>
      </c>
      <c r="M163" s="33">
        <f t="shared" si="38"/>
        <v>3168</v>
      </c>
      <c r="N163" s="33">
        <f t="shared" si="38"/>
        <v>633.6</v>
      </c>
      <c r="O163" s="105">
        <f t="shared" si="39"/>
        <v>3801.6</v>
      </c>
      <c r="P163" s="33">
        <f t="shared" si="35"/>
        <v>2059.2000000000003</v>
      </c>
      <c r="Q163" s="33">
        <f t="shared" si="36"/>
        <v>411.84000000000003</v>
      </c>
      <c r="R163" s="105">
        <f t="shared" si="37"/>
        <v>2471.0400000000004</v>
      </c>
      <c r="S163" s="236" t="s">
        <v>204</v>
      </c>
      <c r="T163" s="237"/>
    </row>
    <row r="164" spans="1:20" s="189" customFormat="1" ht="24.75" customHeight="1">
      <c r="A164" s="187" t="s">
        <v>187</v>
      </c>
      <c r="B164" s="188"/>
      <c r="C164" s="86" t="s">
        <v>41</v>
      </c>
      <c r="D164" s="9" t="s">
        <v>96</v>
      </c>
      <c r="E164" s="9" t="s">
        <v>97</v>
      </c>
      <c r="F164" s="88">
        <v>9</v>
      </c>
      <c r="G164" s="10">
        <v>38392</v>
      </c>
      <c r="H164" s="11">
        <v>38390</v>
      </c>
      <c r="I164" s="11" t="s">
        <v>27</v>
      </c>
      <c r="J164" s="12">
        <v>520</v>
      </c>
      <c r="K164" s="26">
        <v>104</v>
      </c>
      <c r="L164" s="105">
        <f>SUM(J164:K164)</f>
        <v>624</v>
      </c>
      <c r="M164" s="33">
        <f t="shared" si="38"/>
        <v>416</v>
      </c>
      <c r="N164" s="33">
        <f t="shared" si="38"/>
        <v>83.2</v>
      </c>
      <c r="O164" s="105">
        <f t="shared" si="39"/>
        <v>499.2</v>
      </c>
      <c r="P164" s="33">
        <f t="shared" si="35"/>
        <v>270.40000000000003</v>
      </c>
      <c r="Q164" s="33">
        <f t="shared" si="36"/>
        <v>54.080000000000005</v>
      </c>
      <c r="R164" s="105">
        <f t="shared" si="37"/>
        <v>324.48</v>
      </c>
      <c r="S164" s="236" t="s">
        <v>205</v>
      </c>
      <c r="T164" s="237"/>
    </row>
    <row r="165" spans="1:20" s="189" customFormat="1" ht="24.75" customHeight="1">
      <c r="A165" s="187" t="s">
        <v>187</v>
      </c>
      <c r="B165" s="188"/>
      <c r="C165" s="86" t="s">
        <v>41</v>
      </c>
      <c r="D165" s="9" t="s">
        <v>99</v>
      </c>
      <c r="E165" s="9" t="s">
        <v>100</v>
      </c>
      <c r="F165" s="88">
        <v>11</v>
      </c>
      <c r="G165" s="10">
        <v>38448</v>
      </c>
      <c r="H165" s="11">
        <v>38453</v>
      </c>
      <c r="I165" s="11" t="s">
        <v>27</v>
      </c>
      <c r="J165" s="12">
        <v>500</v>
      </c>
      <c r="K165" s="26">
        <v>100</v>
      </c>
      <c r="L165" s="105">
        <f>SUM(J165:K165)</f>
        <v>600</v>
      </c>
      <c r="M165" s="33">
        <f t="shared" si="38"/>
        <v>400</v>
      </c>
      <c r="N165" s="33">
        <f t="shared" si="38"/>
        <v>80</v>
      </c>
      <c r="O165" s="105">
        <f t="shared" si="39"/>
        <v>480</v>
      </c>
      <c r="P165" s="33">
        <f t="shared" si="35"/>
        <v>260</v>
      </c>
      <c r="Q165" s="33">
        <f t="shared" si="36"/>
        <v>52</v>
      </c>
      <c r="R165" s="105">
        <f t="shared" si="37"/>
        <v>312</v>
      </c>
      <c r="S165" s="236" t="s">
        <v>205</v>
      </c>
      <c r="T165" s="237"/>
    </row>
    <row r="166" spans="1:20" ht="24.75" customHeight="1">
      <c r="A166" s="65" t="s">
        <v>187</v>
      </c>
      <c r="B166" s="8"/>
      <c r="C166" s="86" t="s">
        <v>41</v>
      </c>
      <c r="D166" s="9" t="s">
        <v>121</v>
      </c>
      <c r="E166" s="9" t="s">
        <v>107</v>
      </c>
      <c r="F166" s="9">
        <v>21</v>
      </c>
      <c r="G166" s="10">
        <v>38565</v>
      </c>
      <c r="H166" s="11">
        <v>38568</v>
      </c>
      <c r="I166" s="11" t="s">
        <v>27</v>
      </c>
      <c r="J166" s="12">
        <v>1980</v>
      </c>
      <c r="K166" s="12">
        <v>396</v>
      </c>
      <c r="L166" s="105">
        <v>2376</v>
      </c>
      <c r="M166" s="33">
        <f t="shared" si="38"/>
        <v>1584</v>
      </c>
      <c r="N166" s="33">
        <f t="shared" si="38"/>
        <v>316.8</v>
      </c>
      <c r="O166" s="105">
        <f t="shared" si="39"/>
        <v>1900.8</v>
      </c>
      <c r="P166" s="33">
        <f t="shared" si="35"/>
        <v>1029.6000000000001</v>
      </c>
      <c r="Q166" s="33">
        <f t="shared" si="36"/>
        <v>205.92000000000002</v>
      </c>
      <c r="R166" s="105">
        <f t="shared" si="37"/>
        <v>1235.5200000000002</v>
      </c>
      <c r="S166" s="236" t="s">
        <v>206</v>
      </c>
      <c r="T166" s="237"/>
    </row>
    <row r="167" spans="1:20" ht="24.75" customHeight="1">
      <c r="A167" s="65" t="s">
        <v>187</v>
      </c>
      <c r="B167" s="8"/>
      <c r="C167" s="86" t="s">
        <v>41</v>
      </c>
      <c r="D167" s="9" t="s">
        <v>122</v>
      </c>
      <c r="E167" s="9" t="s">
        <v>107</v>
      </c>
      <c r="F167" s="9">
        <v>21</v>
      </c>
      <c r="G167" s="10">
        <v>38642</v>
      </c>
      <c r="H167" s="11">
        <v>38642</v>
      </c>
      <c r="I167" s="11" t="s">
        <v>27</v>
      </c>
      <c r="J167" s="12">
        <v>1980</v>
      </c>
      <c r="K167" s="12">
        <v>396</v>
      </c>
      <c r="L167" s="105">
        <v>2376</v>
      </c>
      <c r="M167" s="33">
        <f t="shared" si="38"/>
        <v>1584</v>
      </c>
      <c r="N167" s="33">
        <f t="shared" si="38"/>
        <v>316.8</v>
      </c>
      <c r="O167" s="105">
        <f t="shared" si="39"/>
        <v>1900.8</v>
      </c>
      <c r="P167" s="33">
        <f t="shared" si="35"/>
        <v>1029.6000000000001</v>
      </c>
      <c r="Q167" s="33">
        <f t="shared" si="36"/>
        <v>205.92000000000002</v>
      </c>
      <c r="R167" s="105">
        <f t="shared" si="37"/>
        <v>1235.5200000000002</v>
      </c>
      <c r="S167" s="236" t="s">
        <v>206</v>
      </c>
      <c r="T167" s="237"/>
    </row>
    <row r="168" spans="1:20" ht="24.75" customHeight="1">
      <c r="A168" s="65" t="s">
        <v>187</v>
      </c>
      <c r="B168" s="8"/>
      <c r="C168" s="86" t="s">
        <v>41</v>
      </c>
      <c r="D168" s="9" t="s">
        <v>123</v>
      </c>
      <c r="E168" s="9" t="s">
        <v>124</v>
      </c>
      <c r="F168" s="11" t="s">
        <v>64</v>
      </c>
      <c r="G168" s="11" t="s">
        <v>64</v>
      </c>
      <c r="H168" s="11">
        <v>38597</v>
      </c>
      <c r="I168" s="11" t="s">
        <v>27</v>
      </c>
      <c r="J168" s="12">
        <f>3460/1.1</f>
        <v>3145.454545454545</v>
      </c>
      <c r="K168" s="12">
        <f>+J168*0.1</f>
        <v>314.5454545454545</v>
      </c>
      <c r="L168" s="105">
        <v>3460</v>
      </c>
      <c r="M168" s="192">
        <f>3460/1.1</f>
        <v>3145.454545454545</v>
      </c>
      <c r="N168" s="192">
        <f>+M168*0.1</f>
        <v>314.5454545454545</v>
      </c>
      <c r="O168" s="192">
        <v>3460</v>
      </c>
      <c r="P168" s="33">
        <f t="shared" si="35"/>
        <v>2044.5454545454543</v>
      </c>
      <c r="Q168" s="33">
        <f t="shared" si="36"/>
        <v>204.45454545454544</v>
      </c>
      <c r="R168" s="105">
        <f t="shared" si="37"/>
        <v>2248.9999999999995</v>
      </c>
      <c r="S168" s="236" t="s">
        <v>206</v>
      </c>
      <c r="T168" s="237"/>
    </row>
    <row r="169" spans="1:20" ht="24.75" customHeight="1">
      <c r="A169" s="65" t="s">
        <v>187</v>
      </c>
      <c r="B169" s="8"/>
      <c r="C169" s="86" t="s">
        <v>41</v>
      </c>
      <c r="D169" s="13" t="s">
        <v>180</v>
      </c>
      <c r="E169" s="13" t="s">
        <v>181</v>
      </c>
      <c r="F169" s="170">
        <v>26</v>
      </c>
      <c r="G169" s="14">
        <v>38825</v>
      </c>
      <c r="H169" s="14">
        <v>38828</v>
      </c>
      <c r="I169" s="14" t="s">
        <v>105</v>
      </c>
      <c r="J169" s="186">
        <v>3510</v>
      </c>
      <c r="K169" s="186">
        <v>702</v>
      </c>
      <c r="L169" s="169">
        <v>4212</v>
      </c>
      <c r="M169" s="12">
        <f>+J169*0.8</f>
        <v>2808</v>
      </c>
      <c r="N169" s="12">
        <f>+K169*0.8</f>
        <v>561.6</v>
      </c>
      <c r="O169" s="105">
        <f>+N169+M169</f>
        <v>3369.6</v>
      </c>
      <c r="P169" s="12">
        <f t="shared" si="35"/>
        <v>1825.2</v>
      </c>
      <c r="Q169" s="12">
        <f t="shared" si="36"/>
        <v>365.04</v>
      </c>
      <c r="R169" s="105">
        <f t="shared" si="37"/>
        <v>2190.2400000000002</v>
      </c>
      <c r="S169" s="236" t="s">
        <v>206</v>
      </c>
      <c r="T169" s="237"/>
    </row>
    <row r="170" spans="1:20" ht="24.75" customHeight="1">
      <c r="A170" s="65" t="s">
        <v>187</v>
      </c>
      <c r="B170" s="8"/>
      <c r="C170" s="86" t="s">
        <v>41</v>
      </c>
      <c r="D170" s="13" t="s">
        <v>182</v>
      </c>
      <c r="E170" s="13" t="s">
        <v>183</v>
      </c>
      <c r="F170" s="170">
        <v>4</v>
      </c>
      <c r="G170" s="14">
        <v>38713</v>
      </c>
      <c r="H170" s="14">
        <v>38719</v>
      </c>
      <c r="I170" s="14" t="s">
        <v>184</v>
      </c>
      <c r="J170" s="186">
        <v>456.4</v>
      </c>
      <c r="K170" s="13">
        <v>91.28</v>
      </c>
      <c r="L170" s="169">
        <v>547.68</v>
      </c>
      <c r="M170" s="186">
        <v>456.4</v>
      </c>
      <c r="N170" s="13">
        <v>91.28</v>
      </c>
      <c r="O170" s="169">
        <v>547.68</v>
      </c>
      <c r="P170" s="12">
        <f t="shared" si="35"/>
        <v>296.65999999999997</v>
      </c>
      <c r="Q170" s="12">
        <f t="shared" si="36"/>
        <v>59.332</v>
      </c>
      <c r="R170" s="105">
        <f t="shared" si="37"/>
        <v>355.99199999999996</v>
      </c>
      <c r="S170" s="236" t="s">
        <v>206</v>
      </c>
      <c r="T170" s="237"/>
    </row>
    <row r="171" spans="1:20" ht="24.75" customHeight="1">
      <c r="A171" s="65" t="s">
        <v>187</v>
      </c>
      <c r="B171" s="8"/>
      <c r="C171" s="86" t="s">
        <v>41</v>
      </c>
      <c r="D171" s="13" t="s">
        <v>123</v>
      </c>
      <c r="E171" s="13" t="s">
        <v>124</v>
      </c>
      <c r="F171" s="170" t="s">
        <v>64</v>
      </c>
      <c r="G171" s="14" t="s">
        <v>185</v>
      </c>
      <c r="H171" s="14">
        <v>38597</v>
      </c>
      <c r="I171" s="14" t="s">
        <v>184</v>
      </c>
      <c r="J171" s="186">
        <f>2770/1.1</f>
        <v>2518.181818181818</v>
      </c>
      <c r="K171" s="186">
        <f>+J171*0.1</f>
        <v>251.8181818181818</v>
      </c>
      <c r="L171" s="169">
        <v>2770</v>
      </c>
      <c r="M171" s="186">
        <f>2770/1.1</f>
        <v>2518.181818181818</v>
      </c>
      <c r="N171" s="186">
        <f>+M171*0.1</f>
        <v>251.8181818181818</v>
      </c>
      <c r="O171" s="169">
        <v>2770</v>
      </c>
      <c r="P171" s="12">
        <f t="shared" si="35"/>
        <v>1636.8181818181818</v>
      </c>
      <c r="Q171" s="12">
        <f t="shared" si="36"/>
        <v>163.6818181818182</v>
      </c>
      <c r="R171" s="105">
        <f t="shared" si="37"/>
        <v>1800.5</v>
      </c>
      <c r="S171" s="236" t="s">
        <v>206</v>
      </c>
      <c r="T171" s="237"/>
    </row>
    <row r="172" spans="1:20" ht="24.75" customHeight="1">
      <c r="A172" s="65" t="s">
        <v>187</v>
      </c>
      <c r="B172" s="8"/>
      <c r="C172" s="86" t="s">
        <v>41</v>
      </c>
      <c r="D172" s="13" t="s">
        <v>180</v>
      </c>
      <c r="E172" s="13" t="s">
        <v>181</v>
      </c>
      <c r="F172" s="170">
        <v>83</v>
      </c>
      <c r="G172" s="14">
        <v>39069</v>
      </c>
      <c r="H172" s="14">
        <v>39078</v>
      </c>
      <c r="I172" s="14" t="s">
        <v>105</v>
      </c>
      <c r="J172" s="186">
        <v>3640</v>
      </c>
      <c r="K172" s="186">
        <v>728</v>
      </c>
      <c r="L172" s="169">
        <v>4368</v>
      </c>
      <c r="M172" s="12">
        <f>+J172*0.8</f>
        <v>2912</v>
      </c>
      <c r="N172" s="12">
        <f>+K172*0.8</f>
        <v>582.4</v>
      </c>
      <c r="O172" s="105">
        <f>+N172+M172</f>
        <v>3494.4</v>
      </c>
      <c r="P172" s="12">
        <f aca="true" t="shared" si="40" ref="P172:P179">M172*0.65</f>
        <v>1892.8</v>
      </c>
      <c r="Q172" s="12">
        <f aca="true" t="shared" si="41" ref="Q172:Q179">N172*0.65</f>
        <v>378.56</v>
      </c>
      <c r="R172" s="105">
        <f aca="true" t="shared" si="42" ref="R172:R179">+Q172+P172</f>
        <v>2271.36</v>
      </c>
      <c r="S172" s="236"/>
      <c r="T172" s="237"/>
    </row>
    <row r="173" spans="1:20" ht="24.75" customHeight="1">
      <c r="A173" s="65" t="s">
        <v>187</v>
      </c>
      <c r="B173" s="8"/>
      <c r="C173" s="13" t="s">
        <v>193</v>
      </c>
      <c r="D173" s="13" t="s">
        <v>192</v>
      </c>
      <c r="E173" s="13" t="s">
        <v>193</v>
      </c>
      <c r="F173" s="170" t="s">
        <v>64</v>
      </c>
      <c r="G173" s="14" t="s">
        <v>64</v>
      </c>
      <c r="H173" s="14" t="s">
        <v>64</v>
      </c>
      <c r="I173" s="14" t="s">
        <v>64</v>
      </c>
      <c r="J173" s="186">
        <v>836.36</v>
      </c>
      <c r="K173" s="13">
        <v>83.64</v>
      </c>
      <c r="L173" s="169">
        <v>920</v>
      </c>
      <c r="M173" s="186"/>
      <c r="N173" s="13"/>
      <c r="O173" s="169"/>
      <c r="P173" s="12"/>
      <c r="Q173" s="12">
        <f t="shared" si="41"/>
        <v>0</v>
      </c>
      <c r="R173" s="105"/>
      <c r="S173" s="311" t="s">
        <v>202</v>
      </c>
      <c r="T173" s="312"/>
    </row>
    <row r="174" spans="1:20" ht="24.75" customHeight="1">
      <c r="A174" s="65" t="s">
        <v>187</v>
      </c>
      <c r="B174" s="8"/>
      <c r="C174" s="13" t="s">
        <v>193</v>
      </c>
      <c r="D174" s="13" t="s">
        <v>194</v>
      </c>
      <c r="E174" s="13" t="s">
        <v>193</v>
      </c>
      <c r="F174" s="170"/>
      <c r="G174" s="14" t="s">
        <v>64</v>
      </c>
      <c r="H174" s="14" t="s">
        <v>64</v>
      </c>
      <c r="I174" s="14" t="s">
        <v>64</v>
      </c>
      <c r="J174" s="186">
        <v>836.36</v>
      </c>
      <c r="K174" s="13">
        <v>83.64</v>
      </c>
      <c r="L174" s="169">
        <v>920</v>
      </c>
      <c r="M174" s="186"/>
      <c r="N174" s="13"/>
      <c r="O174" s="169"/>
      <c r="P174" s="12">
        <f t="shared" si="40"/>
        <v>0</v>
      </c>
      <c r="Q174" s="12">
        <f t="shared" si="41"/>
        <v>0</v>
      </c>
      <c r="R174" s="105">
        <f t="shared" si="42"/>
        <v>0</v>
      </c>
      <c r="S174" s="311" t="s">
        <v>202</v>
      </c>
      <c r="T174" s="312"/>
    </row>
    <row r="175" spans="1:20" ht="24.75" customHeight="1">
      <c r="A175" s="65" t="s">
        <v>187</v>
      </c>
      <c r="B175" s="8"/>
      <c r="C175" s="13" t="s">
        <v>193</v>
      </c>
      <c r="D175" s="13" t="s">
        <v>195</v>
      </c>
      <c r="E175" s="13" t="s">
        <v>193</v>
      </c>
      <c r="F175" s="170" t="s">
        <v>64</v>
      </c>
      <c r="G175" s="14" t="s">
        <v>64</v>
      </c>
      <c r="H175" s="14" t="s">
        <v>64</v>
      </c>
      <c r="I175" s="14" t="s">
        <v>64</v>
      </c>
      <c r="J175" s="186">
        <v>935.45</v>
      </c>
      <c r="K175" s="13">
        <v>93.55</v>
      </c>
      <c r="L175" s="169">
        <v>1029</v>
      </c>
      <c r="M175" s="186">
        <v>935.45</v>
      </c>
      <c r="N175" s="13">
        <v>93.55</v>
      </c>
      <c r="O175" s="169">
        <v>1029</v>
      </c>
      <c r="P175" s="12">
        <f t="shared" si="40"/>
        <v>608.0425</v>
      </c>
      <c r="Q175" s="12">
        <f t="shared" si="41"/>
        <v>60.8075</v>
      </c>
      <c r="R175" s="105">
        <f t="shared" si="42"/>
        <v>668.85</v>
      </c>
      <c r="S175" s="171"/>
      <c r="T175" s="172"/>
    </row>
    <row r="176" spans="1:20" ht="24.75" customHeight="1">
      <c r="A176" s="65" t="s">
        <v>187</v>
      </c>
      <c r="B176" s="8"/>
      <c r="C176" s="13" t="s">
        <v>193</v>
      </c>
      <c r="D176" s="13" t="s">
        <v>196</v>
      </c>
      <c r="E176" s="13" t="s">
        <v>193</v>
      </c>
      <c r="F176" s="170" t="s">
        <v>64</v>
      </c>
      <c r="G176" s="14" t="s">
        <v>64</v>
      </c>
      <c r="H176" s="14" t="s">
        <v>64</v>
      </c>
      <c r="I176" s="14" t="s">
        <v>64</v>
      </c>
      <c r="J176" s="186">
        <v>918.18</v>
      </c>
      <c r="K176" s="13">
        <v>91.82</v>
      </c>
      <c r="L176" s="169">
        <v>1010</v>
      </c>
      <c r="M176" s="186">
        <v>918.18</v>
      </c>
      <c r="N176" s="13">
        <v>91.82</v>
      </c>
      <c r="O176" s="169">
        <v>1010</v>
      </c>
      <c r="P176" s="12">
        <f t="shared" si="40"/>
        <v>596.817</v>
      </c>
      <c r="Q176" s="12">
        <f t="shared" si="41"/>
        <v>59.683</v>
      </c>
      <c r="R176" s="105">
        <f t="shared" si="42"/>
        <v>656.5</v>
      </c>
      <c r="S176" s="171"/>
      <c r="T176" s="172"/>
    </row>
    <row r="177" spans="1:20" ht="24.75" customHeight="1">
      <c r="A177" s="65" t="s">
        <v>187</v>
      </c>
      <c r="B177" s="8"/>
      <c r="C177" s="86" t="s">
        <v>41</v>
      </c>
      <c r="D177" s="13" t="s">
        <v>197</v>
      </c>
      <c r="E177" s="13" t="s">
        <v>198</v>
      </c>
      <c r="F177" s="170">
        <v>33</v>
      </c>
      <c r="G177" s="14">
        <v>39070</v>
      </c>
      <c r="H177" s="14">
        <v>39073</v>
      </c>
      <c r="I177" s="14" t="s">
        <v>105</v>
      </c>
      <c r="J177" s="186">
        <v>1253</v>
      </c>
      <c r="K177" s="13">
        <v>250.6</v>
      </c>
      <c r="L177" s="169">
        <v>1503.6</v>
      </c>
      <c r="M177" s="12">
        <f aca="true" t="shared" si="43" ref="M177:N179">+J177*0.8</f>
        <v>1002.4000000000001</v>
      </c>
      <c r="N177" s="12">
        <f t="shared" si="43"/>
        <v>200.48000000000002</v>
      </c>
      <c r="O177" s="105">
        <f>+N177+M177</f>
        <v>1202.88</v>
      </c>
      <c r="P177" s="12">
        <f t="shared" si="40"/>
        <v>651.5600000000001</v>
      </c>
      <c r="Q177" s="12">
        <f t="shared" si="41"/>
        <v>130.312</v>
      </c>
      <c r="R177" s="105">
        <f t="shared" si="42"/>
        <v>781.8720000000001</v>
      </c>
      <c r="S177" s="236"/>
      <c r="T177" s="237"/>
    </row>
    <row r="178" spans="1:20" ht="24.75" customHeight="1">
      <c r="A178" s="65" t="s">
        <v>187</v>
      </c>
      <c r="B178" s="8"/>
      <c r="C178" s="86" t="s">
        <v>41</v>
      </c>
      <c r="D178" s="13" t="s">
        <v>197</v>
      </c>
      <c r="E178" s="13" t="s">
        <v>198</v>
      </c>
      <c r="F178" s="170">
        <v>34</v>
      </c>
      <c r="G178" s="14">
        <v>39070</v>
      </c>
      <c r="H178" s="14">
        <v>39073</v>
      </c>
      <c r="I178" s="14" t="s">
        <v>105</v>
      </c>
      <c r="J178" s="186">
        <v>2702.75</v>
      </c>
      <c r="K178" s="13">
        <v>540.55</v>
      </c>
      <c r="L178" s="169">
        <v>3243.3</v>
      </c>
      <c r="M178" s="12">
        <f t="shared" si="43"/>
        <v>2162.2000000000003</v>
      </c>
      <c r="N178" s="12">
        <f t="shared" si="43"/>
        <v>432.44</v>
      </c>
      <c r="O178" s="105">
        <f>+N178+M178</f>
        <v>2594.6400000000003</v>
      </c>
      <c r="P178" s="12">
        <f t="shared" si="40"/>
        <v>1405.4300000000003</v>
      </c>
      <c r="Q178" s="12">
        <f t="shared" si="41"/>
        <v>281.086</v>
      </c>
      <c r="R178" s="105">
        <f t="shared" si="42"/>
        <v>1686.5160000000003</v>
      </c>
      <c r="S178" s="236"/>
      <c r="T178" s="237"/>
    </row>
    <row r="179" spans="1:20" ht="24.75" customHeight="1">
      <c r="A179" s="65" t="s">
        <v>187</v>
      </c>
      <c r="B179" s="8"/>
      <c r="C179" s="86" t="s">
        <v>41</v>
      </c>
      <c r="D179" s="13" t="s">
        <v>199</v>
      </c>
      <c r="E179" s="13" t="s">
        <v>107</v>
      </c>
      <c r="F179" s="170">
        <v>32</v>
      </c>
      <c r="G179" s="14">
        <v>39070</v>
      </c>
      <c r="H179" s="14">
        <v>39073</v>
      </c>
      <c r="I179" s="14" t="s">
        <v>105</v>
      </c>
      <c r="J179" s="186">
        <v>3960</v>
      </c>
      <c r="K179" s="13">
        <v>792</v>
      </c>
      <c r="L179" s="169">
        <v>4752</v>
      </c>
      <c r="M179" s="12">
        <f t="shared" si="43"/>
        <v>3168</v>
      </c>
      <c r="N179" s="12">
        <f t="shared" si="43"/>
        <v>633.6</v>
      </c>
      <c r="O179" s="105">
        <f>+N179+M179</f>
        <v>3801.6</v>
      </c>
      <c r="P179" s="12">
        <f t="shared" si="40"/>
        <v>2059.2000000000003</v>
      </c>
      <c r="Q179" s="12">
        <f t="shared" si="41"/>
        <v>411.84000000000003</v>
      </c>
      <c r="R179" s="105">
        <f t="shared" si="42"/>
        <v>2471.0400000000004</v>
      </c>
      <c r="S179" s="236"/>
      <c r="T179" s="237"/>
    </row>
    <row r="180" spans="1:20" ht="48" customHeight="1">
      <c r="A180" s="65" t="s">
        <v>210</v>
      </c>
      <c r="B180" s="8"/>
      <c r="C180" s="86" t="s">
        <v>41</v>
      </c>
      <c r="D180" s="13" t="s">
        <v>227</v>
      </c>
      <c r="E180" s="13" t="s">
        <v>63</v>
      </c>
      <c r="F180" s="170" t="s">
        <v>64</v>
      </c>
      <c r="G180" s="14">
        <v>39199</v>
      </c>
      <c r="H180" s="14">
        <v>39199</v>
      </c>
      <c r="I180" s="14" t="s">
        <v>224</v>
      </c>
      <c r="J180" s="186">
        <v>1603.99</v>
      </c>
      <c r="K180" s="13" t="s">
        <v>64</v>
      </c>
      <c r="L180" s="169">
        <v>1603.99</v>
      </c>
      <c r="M180" s="12">
        <f>1603.99-178.22</f>
        <v>1425.77</v>
      </c>
      <c r="N180" s="12"/>
      <c r="O180" s="105">
        <f>+N180+M180</f>
        <v>1425.77</v>
      </c>
      <c r="P180" s="12">
        <f>M180*0.65</f>
        <v>926.7505</v>
      </c>
      <c r="Q180" s="12">
        <f>N180*0.65</f>
        <v>0</v>
      </c>
      <c r="R180" s="105">
        <f>+Q180+P180</f>
        <v>926.7505</v>
      </c>
      <c r="S180" s="311" t="s">
        <v>231</v>
      </c>
      <c r="T180" s="312"/>
    </row>
    <row r="181" spans="1:20" ht="11.25">
      <c r="A181" s="65"/>
      <c r="B181" s="8"/>
      <c r="C181" s="9"/>
      <c r="D181" s="9"/>
      <c r="E181" s="9"/>
      <c r="F181" s="8"/>
      <c r="G181" s="15"/>
      <c r="H181" s="35"/>
      <c r="I181" s="25"/>
      <c r="J181" s="12"/>
      <c r="K181" s="26"/>
      <c r="L181" s="105"/>
      <c r="M181" s="12"/>
      <c r="N181" s="12"/>
      <c r="O181" s="105"/>
      <c r="P181" s="12"/>
      <c r="Q181" s="12"/>
      <c r="R181" s="105"/>
      <c r="S181" s="240"/>
      <c r="T181" s="240"/>
    </row>
    <row r="182" ht="11.25">
      <c r="J182" s="75"/>
    </row>
  </sheetData>
  <mergeCells count="123">
    <mergeCell ref="S180:T180"/>
    <mergeCell ref="S38:T38"/>
    <mergeCell ref="S178:T178"/>
    <mergeCell ref="S179:T179"/>
    <mergeCell ref="S172:T172"/>
    <mergeCell ref="S99:T99"/>
    <mergeCell ref="S132:T132"/>
    <mergeCell ref="S133:T133"/>
    <mergeCell ref="S130:T130"/>
    <mergeCell ref="S134:T134"/>
    <mergeCell ref="S171:T171"/>
    <mergeCell ref="S170:T170"/>
    <mergeCell ref="S177:T177"/>
    <mergeCell ref="S116:T116"/>
    <mergeCell ref="S169:T169"/>
    <mergeCell ref="S173:T173"/>
    <mergeCell ref="S174:T174"/>
    <mergeCell ref="S161:T161"/>
    <mergeCell ref="S162:T162"/>
    <mergeCell ref="S163:T163"/>
    <mergeCell ref="S102:T102"/>
    <mergeCell ref="S114:T114"/>
    <mergeCell ref="S113:T113"/>
    <mergeCell ref="S151:T152"/>
    <mergeCell ref="S129:T129"/>
    <mergeCell ref="S131:T131"/>
    <mergeCell ref="M119:O119"/>
    <mergeCell ref="P119:R119"/>
    <mergeCell ref="S62:T62"/>
    <mergeCell ref="S63:T63"/>
    <mergeCell ref="S64:T64"/>
    <mergeCell ref="S101:T101"/>
    <mergeCell ref="M68:O68"/>
    <mergeCell ref="P68:R68"/>
    <mergeCell ref="M87:O87"/>
    <mergeCell ref="P87:R87"/>
    <mergeCell ref="S57:T57"/>
    <mergeCell ref="S58:T58"/>
    <mergeCell ref="S150:T150"/>
    <mergeCell ref="S135:T135"/>
    <mergeCell ref="S136:T136"/>
    <mergeCell ref="S138:T138"/>
    <mergeCell ref="S139:T139"/>
    <mergeCell ref="S117:T117"/>
    <mergeCell ref="S128:T128"/>
    <mergeCell ref="S61:T61"/>
    <mergeCell ref="A45:B52"/>
    <mergeCell ref="C45:K45"/>
    <mergeCell ref="S181:T181"/>
    <mergeCell ref="S153:T153"/>
    <mergeCell ref="S154:T154"/>
    <mergeCell ref="S155:T155"/>
    <mergeCell ref="S168:T168"/>
    <mergeCell ref="S156:T156"/>
    <mergeCell ref="S158:T158"/>
    <mergeCell ref="S159:T159"/>
    <mergeCell ref="A1:T1"/>
    <mergeCell ref="S42:T42"/>
    <mergeCell ref="S22:T22"/>
    <mergeCell ref="S23:T23"/>
    <mergeCell ref="A10:B10"/>
    <mergeCell ref="A5:B5"/>
    <mergeCell ref="A6:B6"/>
    <mergeCell ref="S39:T39"/>
    <mergeCell ref="S40:T41"/>
    <mergeCell ref="C52:K52"/>
    <mergeCell ref="S21:T21"/>
    <mergeCell ref="A69:B76"/>
    <mergeCell ref="C69:K69"/>
    <mergeCell ref="C70:K70"/>
    <mergeCell ref="S25:T31"/>
    <mergeCell ref="S59:T60"/>
    <mergeCell ref="S32:T32"/>
    <mergeCell ref="S33:T33"/>
    <mergeCell ref="S34:T34"/>
    <mergeCell ref="S54:T54"/>
    <mergeCell ref="S55:T55"/>
    <mergeCell ref="A105:B112"/>
    <mergeCell ref="C105:K105"/>
    <mergeCell ref="C112:K112"/>
    <mergeCell ref="A88:B95"/>
    <mergeCell ref="C88:K88"/>
    <mergeCell ref="C95:K95"/>
    <mergeCell ref="S56:T56"/>
    <mergeCell ref="S98:T98"/>
    <mergeCell ref="A142:B149"/>
    <mergeCell ref="C142:K142"/>
    <mergeCell ref="C149:K149"/>
    <mergeCell ref="S66:T66"/>
    <mergeCell ref="S77:T77"/>
    <mergeCell ref="A120:B127"/>
    <mergeCell ref="C120:K120"/>
    <mergeCell ref="C127:K127"/>
    <mergeCell ref="C68:L68"/>
    <mergeCell ref="C87:L87"/>
    <mergeCell ref="C44:L44"/>
    <mergeCell ref="P12:R12"/>
    <mergeCell ref="M44:O44"/>
    <mergeCell ref="P44:R44"/>
    <mergeCell ref="S53:T53"/>
    <mergeCell ref="M12:O12"/>
    <mergeCell ref="C76:K76"/>
    <mergeCell ref="C104:L104"/>
    <mergeCell ref="S78:T78"/>
    <mergeCell ref="S79:T79"/>
    <mergeCell ref="S80:T80"/>
    <mergeCell ref="S81:T81"/>
    <mergeCell ref="S82:T83"/>
    <mergeCell ref="C12:L12"/>
    <mergeCell ref="C119:L119"/>
    <mergeCell ref="C141:L141"/>
    <mergeCell ref="S85:T85"/>
    <mergeCell ref="S96:T96"/>
    <mergeCell ref="S97:T97"/>
    <mergeCell ref="S115:T115"/>
    <mergeCell ref="M141:O141"/>
    <mergeCell ref="P141:R141"/>
    <mergeCell ref="M104:O104"/>
    <mergeCell ref="P104:R104"/>
    <mergeCell ref="S164:T164"/>
    <mergeCell ref="S165:T165"/>
    <mergeCell ref="S166:T166"/>
    <mergeCell ref="S167:T167"/>
  </mergeCells>
  <printOptions horizontalCentered="1"/>
  <pageMargins left="0.1968503937007874" right="0.15748031496062992" top="0.31496062992125984" bottom="0.2755905511811024" header="0.2362204724409449" footer="0.15748031496062992"/>
  <pageSetup horizontalDpi="300" verticalDpi="300" orientation="landscape" paperSize="9" scale="6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R39"/>
  <sheetViews>
    <sheetView workbookViewId="0" topLeftCell="A1">
      <selection activeCell="D14" sqref="D14"/>
    </sheetView>
  </sheetViews>
  <sheetFormatPr defaultColWidth="9.140625" defaultRowHeight="12.75"/>
  <cols>
    <col min="1" max="1" width="2.7109375" style="248" bestFit="1" customWidth="1"/>
    <col min="2" max="16384" width="9.140625" style="248" customWidth="1"/>
  </cols>
  <sheetData>
    <row r="3" spans="3:18" ht="10.5">
      <c r="C3" s="249" t="s">
        <v>243</v>
      </c>
      <c r="D3" s="250" t="s">
        <v>277</v>
      </c>
      <c r="E3" s="251" t="s">
        <v>244</v>
      </c>
      <c r="F3" s="251" t="s">
        <v>245</v>
      </c>
      <c r="G3" s="251" t="s">
        <v>246</v>
      </c>
      <c r="H3" s="251" t="s">
        <v>247</v>
      </c>
      <c r="I3" s="251" t="s">
        <v>248</v>
      </c>
      <c r="J3" s="251" t="s">
        <v>249</v>
      </c>
      <c r="K3" s="251" t="s">
        <v>250</v>
      </c>
      <c r="L3" s="251" t="s">
        <v>251</v>
      </c>
      <c r="M3" s="251" t="s">
        <v>252</v>
      </c>
      <c r="N3" s="251" t="s">
        <v>253</v>
      </c>
      <c r="O3" s="251" t="s">
        <v>254</v>
      </c>
      <c r="P3" s="252" t="s">
        <v>145</v>
      </c>
      <c r="Q3" s="252" t="s">
        <v>255</v>
      </c>
      <c r="R3" s="252" t="s">
        <v>256</v>
      </c>
    </row>
    <row r="4" spans="3:18" ht="10.5">
      <c r="C4" s="253" t="s">
        <v>257</v>
      </c>
      <c r="D4" s="254" t="s">
        <v>258</v>
      </c>
      <c r="E4" s="254" t="s">
        <v>258</v>
      </c>
      <c r="F4" s="254" t="s">
        <v>258</v>
      </c>
      <c r="G4" s="254" t="s">
        <v>258</v>
      </c>
      <c r="H4" s="254" t="s">
        <v>258</v>
      </c>
      <c r="I4" s="254" t="s">
        <v>258</v>
      </c>
      <c r="J4" s="254" t="s">
        <v>258</v>
      </c>
      <c r="K4" s="254" t="s">
        <v>258</v>
      </c>
      <c r="L4" s="254" t="s">
        <v>258</v>
      </c>
      <c r="M4" s="254" t="s">
        <v>258</v>
      </c>
      <c r="N4" s="254" t="s">
        <v>258</v>
      </c>
      <c r="O4" s="254" t="s">
        <v>258</v>
      </c>
      <c r="P4" s="253" t="s">
        <v>259</v>
      </c>
      <c r="Q4" s="253" t="s">
        <v>260</v>
      </c>
      <c r="R4" s="253" t="s">
        <v>261</v>
      </c>
    </row>
    <row r="5" spans="1:18" ht="10.5">
      <c r="A5" s="234" t="s">
        <v>15</v>
      </c>
      <c r="B5" s="234" t="s">
        <v>38</v>
      </c>
      <c r="C5" s="255" t="s">
        <v>262</v>
      </c>
      <c r="D5" s="256">
        <v>160</v>
      </c>
      <c r="E5" s="257">
        <v>156</v>
      </c>
      <c r="F5" s="257">
        <v>177</v>
      </c>
      <c r="G5" s="257">
        <v>163</v>
      </c>
      <c r="H5" s="257">
        <v>163</v>
      </c>
      <c r="I5" s="257">
        <v>163</v>
      </c>
      <c r="J5" s="257">
        <v>174</v>
      </c>
      <c r="K5" s="257">
        <v>67</v>
      </c>
      <c r="L5" s="257">
        <v>92</v>
      </c>
      <c r="M5" s="257">
        <v>167</v>
      </c>
      <c r="N5" s="257">
        <v>163</v>
      </c>
      <c r="O5" s="257">
        <v>166</v>
      </c>
      <c r="P5" s="258">
        <v>1811</v>
      </c>
      <c r="Q5" s="259">
        <v>15.67</v>
      </c>
      <c r="R5" s="259">
        <v>28378.98</v>
      </c>
    </row>
    <row r="6" spans="1:18" ht="10.5">
      <c r="A6" s="234" t="s">
        <v>15</v>
      </c>
      <c r="B6" s="234" t="s">
        <v>38</v>
      </c>
      <c r="C6" s="255" t="s">
        <v>263</v>
      </c>
      <c r="D6" s="256">
        <v>160</v>
      </c>
      <c r="E6" s="257">
        <v>156</v>
      </c>
      <c r="F6" s="257">
        <v>177</v>
      </c>
      <c r="G6" s="257">
        <v>163</v>
      </c>
      <c r="H6" s="257">
        <v>163</v>
      </c>
      <c r="I6" s="257">
        <v>163</v>
      </c>
      <c r="J6" s="257">
        <v>135</v>
      </c>
      <c r="K6" s="257">
        <v>53</v>
      </c>
      <c r="L6" s="257">
        <v>145</v>
      </c>
      <c r="M6" s="260">
        <v>167</v>
      </c>
      <c r="N6" s="260">
        <v>163</v>
      </c>
      <c r="O6" s="260">
        <v>166</v>
      </c>
      <c r="P6" s="261">
        <v>1811</v>
      </c>
      <c r="Q6" s="259">
        <v>16.5</v>
      </c>
      <c r="R6" s="259">
        <v>29884</v>
      </c>
    </row>
    <row r="7" spans="1:18" ht="10.5">
      <c r="A7" s="234" t="s">
        <v>15</v>
      </c>
      <c r="B7" s="234" t="s">
        <v>37</v>
      </c>
      <c r="C7" s="255" t="s">
        <v>264</v>
      </c>
      <c r="D7" s="256">
        <v>160</v>
      </c>
      <c r="E7" s="257">
        <v>156</v>
      </c>
      <c r="F7" s="257">
        <v>177</v>
      </c>
      <c r="G7" s="257">
        <v>163</v>
      </c>
      <c r="H7" s="257">
        <v>163</v>
      </c>
      <c r="I7" s="257">
        <v>163</v>
      </c>
      <c r="J7" s="257">
        <v>174</v>
      </c>
      <c r="K7" s="257">
        <v>78</v>
      </c>
      <c r="L7" s="257">
        <v>81</v>
      </c>
      <c r="M7" s="257">
        <v>167</v>
      </c>
      <c r="N7" s="257">
        <v>163</v>
      </c>
      <c r="O7" s="257">
        <v>166</v>
      </c>
      <c r="P7" s="258">
        <v>1811</v>
      </c>
      <c r="Q7" s="259">
        <v>11.32</v>
      </c>
      <c r="R7" s="259">
        <v>20496.38</v>
      </c>
    </row>
    <row r="8" spans="1:18" ht="10.5">
      <c r="A8" s="234" t="s">
        <v>15</v>
      </c>
      <c r="B8" s="234" t="s">
        <v>37</v>
      </c>
      <c r="C8" s="255" t="s">
        <v>265</v>
      </c>
      <c r="D8" s="256">
        <v>160</v>
      </c>
      <c r="E8" s="257">
        <v>156</v>
      </c>
      <c r="F8" s="257">
        <v>177</v>
      </c>
      <c r="G8" s="257">
        <v>163</v>
      </c>
      <c r="H8" s="257">
        <v>163</v>
      </c>
      <c r="I8" s="257">
        <v>163</v>
      </c>
      <c r="J8" s="257">
        <v>174</v>
      </c>
      <c r="K8" s="257">
        <v>53</v>
      </c>
      <c r="L8" s="257">
        <v>106</v>
      </c>
      <c r="M8" s="260">
        <v>167</v>
      </c>
      <c r="N8" s="260">
        <v>163</v>
      </c>
      <c r="O8" s="260">
        <v>166</v>
      </c>
      <c r="P8" s="261">
        <v>1811</v>
      </c>
      <c r="Q8" s="259">
        <v>9.4</v>
      </c>
      <c r="R8" s="259">
        <v>17015.35</v>
      </c>
    </row>
    <row r="9" spans="1:18" ht="10.5">
      <c r="A9" s="234" t="s">
        <v>15</v>
      </c>
      <c r="B9" s="234" t="s">
        <v>37</v>
      </c>
      <c r="C9" s="255" t="s">
        <v>266</v>
      </c>
      <c r="D9" s="256">
        <v>160</v>
      </c>
      <c r="E9" s="257">
        <v>156</v>
      </c>
      <c r="F9" s="257">
        <v>177</v>
      </c>
      <c r="G9" s="257">
        <v>163</v>
      </c>
      <c r="H9" s="257">
        <v>163</v>
      </c>
      <c r="I9" s="257">
        <v>163</v>
      </c>
      <c r="J9" s="257">
        <v>174</v>
      </c>
      <c r="K9" s="257">
        <v>53</v>
      </c>
      <c r="L9" s="257">
        <v>106</v>
      </c>
      <c r="M9" s="260">
        <v>167</v>
      </c>
      <c r="N9" s="260">
        <v>163</v>
      </c>
      <c r="O9" s="260">
        <v>166</v>
      </c>
      <c r="P9" s="261">
        <v>1811</v>
      </c>
      <c r="Q9" s="259">
        <v>9.4</v>
      </c>
      <c r="R9" s="259">
        <v>17015.35</v>
      </c>
    </row>
    <row r="18" spans="4:15" ht="10.5">
      <c r="D18" s="251" t="s">
        <v>267</v>
      </c>
      <c r="E18" s="251" t="s">
        <v>268</v>
      </c>
      <c r="F18" s="250" t="s">
        <v>269</v>
      </c>
      <c r="G18" s="251" t="s">
        <v>244</v>
      </c>
      <c r="H18" s="251" t="s">
        <v>245</v>
      </c>
      <c r="I18" s="251" t="s">
        <v>246</v>
      </c>
      <c r="J18" s="251" t="s">
        <v>247</v>
      </c>
      <c r="K18" s="251" t="s">
        <v>248</v>
      </c>
      <c r="L18" s="251" t="s">
        <v>249</v>
      </c>
      <c r="M18" s="252" t="s">
        <v>145</v>
      </c>
      <c r="N18" s="252" t="s">
        <v>255</v>
      </c>
      <c r="O18" s="252" t="s">
        <v>256</v>
      </c>
    </row>
    <row r="19" spans="4:15" ht="10.5">
      <c r="D19" s="254" t="s">
        <v>258</v>
      </c>
      <c r="E19" s="254" t="s">
        <v>258</v>
      </c>
      <c r="F19" s="254" t="s">
        <v>258</v>
      </c>
      <c r="G19" s="254" t="s">
        <v>258</v>
      </c>
      <c r="H19" s="254" t="s">
        <v>258</v>
      </c>
      <c r="I19" s="254" t="s">
        <v>258</v>
      </c>
      <c r="J19" s="254" t="s">
        <v>258</v>
      </c>
      <c r="K19" s="254" t="s">
        <v>258</v>
      </c>
      <c r="L19" s="254" t="s">
        <v>258</v>
      </c>
      <c r="M19" s="253" t="s">
        <v>259</v>
      </c>
      <c r="N19" s="253" t="s">
        <v>260</v>
      </c>
      <c r="O19" s="253" t="s">
        <v>261</v>
      </c>
    </row>
    <row r="20" spans="1:15" ht="10.5">
      <c r="A20" s="248" t="s">
        <v>167</v>
      </c>
      <c r="B20" s="234" t="s">
        <v>38</v>
      </c>
      <c r="C20" s="255" t="s">
        <v>263</v>
      </c>
      <c r="D20" s="260">
        <v>163</v>
      </c>
      <c r="E20" s="260">
        <v>160</v>
      </c>
      <c r="F20" s="256">
        <v>163</v>
      </c>
      <c r="G20" s="257">
        <v>156</v>
      </c>
      <c r="H20" s="257">
        <v>177</v>
      </c>
      <c r="I20" s="257">
        <v>146</v>
      </c>
      <c r="J20" s="257">
        <v>170</v>
      </c>
      <c r="K20" s="257">
        <v>163</v>
      </c>
      <c r="L20" s="257">
        <v>167</v>
      </c>
      <c r="M20" s="261">
        <v>1465</v>
      </c>
      <c r="N20" s="262">
        <v>16.30579</v>
      </c>
      <c r="O20" s="263">
        <v>26249.53</v>
      </c>
    </row>
    <row r="21" spans="1:15" ht="10.5">
      <c r="A21" s="248" t="s">
        <v>167</v>
      </c>
      <c r="B21" s="234" t="s">
        <v>37</v>
      </c>
      <c r="C21" s="255" t="s">
        <v>264</v>
      </c>
      <c r="D21" s="256">
        <v>163</v>
      </c>
      <c r="E21" s="257">
        <v>156</v>
      </c>
      <c r="F21" s="257">
        <v>177</v>
      </c>
      <c r="G21" s="257">
        <v>146</v>
      </c>
      <c r="H21" s="257">
        <v>170</v>
      </c>
      <c r="I21" s="257">
        <v>163</v>
      </c>
      <c r="J21" s="257">
        <v>167</v>
      </c>
      <c r="K21" s="260">
        <v>163</v>
      </c>
      <c r="L21" s="260">
        <v>160</v>
      </c>
      <c r="M21" s="261">
        <v>1465</v>
      </c>
      <c r="N21" s="263">
        <v>12152.4</v>
      </c>
      <c r="O21" s="263">
        <v>22003.73</v>
      </c>
    </row>
    <row r="22" spans="1:15" ht="10.5">
      <c r="A22" s="248" t="s">
        <v>167</v>
      </c>
      <c r="B22" s="234" t="s">
        <v>41</v>
      </c>
      <c r="C22" s="255" t="s">
        <v>270</v>
      </c>
      <c r="D22" s="256" t="s">
        <v>64</v>
      </c>
      <c r="E22" s="257" t="s">
        <v>64</v>
      </c>
      <c r="F22" s="257" t="s">
        <v>64</v>
      </c>
      <c r="G22" s="257" t="s">
        <v>64</v>
      </c>
      <c r="H22" s="257" t="s">
        <v>64</v>
      </c>
      <c r="I22" s="257" t="s">
        <v>64</v>
      </c>
      <c r="J22" s="257" t="s">
        <v>64</v>
      </c>
      <c r="K22" s="260" t="s">
        <v>273</v>
      </c>
      <c r="L22" s="260" t="s">
        <v>273</v>
      </c>
      <c r="M22" s="261" t="s">
        <v>64</v>
      </c>
      <c r="N22" s="262" t="s">
        <v>64</v>
      </c>
      <c r="O22" s="263">
        <v>1440</v>
      </c>
    </row>
    <row r="23" spans="1:15" ht="10.5">
      <c r="A23" s="248" t="s">
        <v>167</v>
      </c>
      <c r="B23" s="234" t="s">
        <v>41</v>
      </c>
      <c r="C23" s="255" t="s">
        <v>271</v>
      </c>
      <c r="D23" s="256" t="s">
        <v>272</v>
      </c>
      <c r="E23" s="257" t="s">
        <v>272</v>
      </c>
      <c r="F23" s="257" t="s">
        <v>272</v>
      </c>
      <c r="G23" s="257" t="s">
        <v>272</v>
      </c>
      <c r="H23" s="257" t="s">
        <v>272</v>
      </c>
      <c r="I23" s="257" t="s">
        <v>272</v>
      </c>
      <c r="J23" s="257" t="s">
        <v>272</v>
      </c>
      <c r="K23" s="260"/>
      <c r="L23" s="260"/>
      <c r="M23" s="261"/>
      <c r="N23" s="259"/>
      <c r="O23" s="259">
        <v>5993.1</v>
      </c>
    </row>
    <row r="27" spans="4:11" ht="10.5">
      <c r="D27" s="251" t="s">
        <v>275</v>
      </c>
      <c r="E27" s="251" t="s">
        <v>251</v>
      </c>
      <c r="F27" s="251" t="s">
        <v>252</v>
      </c>
      <c r="G27" s="251" t="s">
        <v>253</v>
      </c>
      <c r="H27" s="251" t="s">
        <v>254</v>
      </c>
      <c r="I27" s="252" t="s">
        <v>145</v>
      </c>
      <c r="J27" s="252" t="s">
        <v>255</v>
      </c>
      <c r="K27" s="252" t="s">
        <v>256</v>
      </c>
    </row>
    <row r="28" spans="4:11" ht="10.5">
      <c r="D28" s="254" t="s">
        <v>258</v>
      </c>
      <c r="E28" s="254" t="s">
        <v>258</v>
      </c>
      <c r="F28" s="254" t="s">
        <v>258</v>
      </c>
      <c r="G28" s="254" t="s">
        <v>258</v>
      </c>
      <c r="H28" s="254" t="s">
        <v>258</v>
      </c>
      <c r="I28" s="253" t="s">
        <v>259</v>
      </c>
      <c r="J28" s="253" t="s">
        <v>260</v>
      </c>
      <c r="K28" s="253" t="s">
        <v>261</v>
      </c>
    </row>
    <row r="29" spans="1:11" ht="10.5">
      <c r="A29" s="248" t="s">
        <v>274</v>
      </c>
      <c r="B29" s="234" t="s">
        <v>38</v>
      </c>
      <c r="C29" s="255" t="s">
        <v>263</v>
      </c>
      <c r="D29" s="257">
        <v>92</v>
      </c>
      <c r="E29" s="257">
        <v>167</v>
      </c>
      <c r="F29" s="260">
        <v>170</v>
      </c>
      <c r="G29" s="260">
        <v>163</v>
      </c>
      <c r="H29" s="260">
        <v>160</v>
      </c>
      <c r="I29" s="261">
        <v>752</v>
      </c>
      <c r="J29" s="262">
        <v>20.3</v>
      </c>
      <c r="K29" s="264">
        <v>15270.96</v>
      </c>
    </row>
    <row r="30" spans="1:11" ht="10.5">
      <c r="A30" s="248" t="s">
        <v>274</v>
      </c>
      <c r="B30" s="234" t="s">
        <v>37</v>
      </c>
      <c r="C30" s="255" t="s">
        <v>264</v>
      </c>
      <c r="D30" s="257">
        <v>99</v>
      </c>
      <c r="E30" s="257">
        <v>160</v>
      </c>
      <c r="F30" s="260">
        <v>170</v>
      </c>
      <c r="G30" s="260">
        <v>163</v>
      </c>
      <c r="H30" s="260">
        <v>146</v>
      </c>
      <c r="I30" s="261">
        <v>738</v>
      </c>
      <c r="J30" s="263">
        <v>16.64</v>
      </c>
      <c r="K30" s="265">
        <v>12285.7</v>
      </c>
    </row>
    <row r="31" spans="1:11" ht="10.5">
      <c r="A31" s="248" t="s">
        <v>274</v>
      </c>
      <c r="B31" s="234" t="s">
        <v>41</v>
      </c>
      <c r="C31" s="255" t="s">
        <v>271</v>
      </c>
      <c r="D31" s="257">
        <v>100</v>
      </c>
      <c r="E31" s="257">
        <v>100</v>
      </c>
      <c r="F31" s="260">
        <v>100</v>
      </c>
      <c r="G31" s="260">
        <v>100</v>
      </c>
      <c r="H31" s="260">
        <v>100</v>
      </c>
      <c r="I31" s="261">
        <v>500</v>
      </c>
      <c r="J31" s="262">
        <v>7.29</v>
      </c>
      <c r="K31" s="263">
        <v>3649.14</v>
      </c>
    </row>
    <row r="34" spans="4:12" ht="10.5">
      <c r="D34" s="250" t="s">
        <v>276</v>
      </c>
      <c r="E34" s="251" t="s">
        <v>244</v>
      </c>
      <c r="F34" s="251" t="s">
        <v>245</v>
      </c>
      <c r="G34" s="251" t="s">
        <v>246</v>
      </c>
      <c r="H34" s="251" t="s">
        <v>247</v>
      </c>
      <c r="I34" s="251" t="s">
        <v>248</v>
      </c>
      <c r="J34" s="252" t="s">
        <v>145</v>
      </c>
      <c r="K34" s="252" t="s">
        <v>255</v>
      </c>
      <c r="L34" s="252" t="s">
        <v>256</v>
      </c>
    </row>
    <row r="35" spans="4:12" ht="10.5">
      <c r="D35" s="254" t="s">
        <v>258</v>
      </c>
      <c r="E35" s="254" t="s">
        <v>258</v>
      </c>
      <c r="F35" s="254" t="s">
        <v>258</v>
      </c>
      <c r="G35" s="254" t="s">
        <v>258</v>
      </c>
      <c r="H35" s="254" t="s">
        <v>258</v>
      </c>
      <c r="I35" s="254" t="s">
        <v>258</v>
      </c>
      <c r="J35" s="253" t="s">
        <v>259</v>
      </c>
      <c r="K35" s="253" t="s">
        <v>260</v>
      </c>
      <c r="L35" s="253" t="s">
        <v>261</v>
      </c>
    </row>
    <row r="36" spans="1:12" ht="10.5">
      <c r="A36" s="248" t="s">
        <v>210</v>
      </c>
      <c r="B36" s="234" t="s">
        <v>38</v>
      </c>
      <c r="C36" s="255" t="s">
        <v>263</v>
      </c>
      <c r="D36" s="256">
        <v>166</v>
      </c>
      <c r="E36" s="257">
        <v>156</v>
      </c>
      <c r="F36" s="257">
        <v>177</v>
      </c>
      <c r="G36" s="257">
        <v>149</v>
      </c>
      <c r="H36" s="257">
        <v>170</v>
      </c>
      <c r="I36" s="257">
        <v>163</v>
      </c>
      <c r="J36" s="261">
        <v>981</v>
      </c>
      <c r="K36" s="262">
        <v>15.84</v>
      </c>
      <c r="L36" s="264">
        <v>15543.87</v>
      </c>
    </row>
    <row r="37" spans="1:12" ht="10.5">
      <c r="A37" s="248" t="s">
        <v>210</v>
      </c>
      <c r="B37" s="234" t="s">
        <v>37</v>
      </c>
      <c r="C37" s="255" t="s">
        <v>264</v>
      </c>
      <c r="D37" s="256">
        <v>166</v>
      </c>
      <c r="J37" s="261">
        <v>166</v>
      </c>
      <c r="K37" s="263">
        <v>17.169</v>
      </c>
      <c r="L37" s="265">
        <v>2850.1</v>
      </c>
    </row>
    <row r="38" spans="1:12" ht="10.5">
      <c r="A38" s="248" t="s">
        <v>210</v>
      </c>
      <c r="B38" s="234" t="s">
        <v>41</v>
      </c>
      <c r="C38" s="255" t="s">
        <v>271</v>
      </c>
      <c r="D38" s="256">
        <v>100</v>
      </c>
      <c r="E38" s="257">
        <v>95</v>
      </c>
      <c r="F38" s="257">
        <v>102</v>
      </c>
      <c r="G38" s="257">
        <v>100</v>
      </c>
      <c r="H38" s="257">
        <v>100</v>
      </c>
      <c r="I38" s="257">
        <v>100</v>
      </c>
      <c r="J38" s="261">
        <v>597</v>
      </c>
      <c r="K38" s="262">
        <v>8.4</v>
      </c>
      <c r="L38" s="263">
        <v>5017</v>
      </c>
    </row>
    <row r="39" spans="1:12" ht="10.5">
      <c r="A39" s="248" t="s">
        <v>210</v>
      </c>
      <c r="B39" s="234" t="s">
        <v>41</v>
      </c>
      <c r="C39" s="255" t="s">
        <v>264</v>
      </c>
      <c r="D39" s="256" t="s">
        <v>64</v>
      </c>
      <c r="E39" s="257">
        <v>156</v>
      </c>
      <c r="F39" s="257">
        <v>177</v>
      </c>
      <c r="G39" s="257">
        <v>149</v>
      </c>
      <c r="H39" s="257">
        <v>170</v>
      </c>
      <c r="I39" s="257">
        <v>163</v>
      </c>
      <c r="J39" s="261">
        <v>815</v>
      </c>
      <c r="K39" s="259">
        <v>10.399</v>
      </c>
      <c r="L39" s="259">
        <v>8485.91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sciacovelli</dc:creator>
  <cp:keywords/>
  <dc:description/>
  <cp:lastModifiedBy>.</cp:lastModifiedBy>
  <cp:lastPrinted>2008-07-15T07:20:56Z</cp:lastPrinted>
  <dcterms:created xsi:type="dcterms:W3CDTF">2005-04-28T08:10:49Z</dcterms:created>
  <dcterms:modified xsi:type="dcterms:W3CDTF">2008-07-15T07:21:15Z</dcterms:modified>
  <cp:category/>
  <cp:version/>
  <cp:contentType/>
  <cp:contentStatus/>
</cp:coreProperties>
</file>