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4" activeTab="0"/>
  </bookViews>
  <sheets>
    <sheet name="Foglio1" sheetId="1" r:id="rId1"/>
    <sheet name="Complessivo" sheetId="2" r:id="rId2"/>
  </sheets>
  <definedNames>
    <definedName name="_xlnm.Print_Area" localSheetId="1">'Complessivo'!$A$1:$T$396</definedName>
    <definedName name="_xlnm.Print_Area" localSheetId="0">'Foglio1'!$A$1:$L$67</definedName>
    <definedName name="_xlnm.Print_Titles" localSheetId="1">'Complessivo'!$1:$1</definedName>
  </definedNames>
  <calcPr fullCalcOnLoad="1"/>
</workbook>
</file>

<file path=xl/comments2.xml><?xml version="1.0" encoding="utf-8"?>
<comments xmlns="http://schemas.openxmlformats.org/spreadsheetml/2006/main">
  <authors>
    <author>.</author>
    <author>MD</author>
  </authors>
  <commentList>
    <comment ref="S23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4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4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4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4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rendicontate nel II ma la documentazione è trasmessa nel terzo sal</t>
        </r>
      </text>
    </comment>
    <comment ref="S2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2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22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23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2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rendicontato nel II sal ma riconosciuto nel III perché mancava la documentazione</t>
        </r>
      </text>
    </comment>
    <comment ref="S7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la documentazione 22/02/07 Ok Contratto, fattura, pagamento</t>
        </r>
      </text>
    </comment>
    <comment ref="S6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la documentazione 22/02/07 Ok Contratto, fattura, pagamento</t>
        </r>
      </text>
    </comment>
    <comment ref="S7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la documentazione 22/02/07 Ok Contratto, fattura, pagamento</t>
        </r>
      </text>
    </comment>
    <comment ref="S205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07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08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0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 e liberatoria del fornitore. Ok 18/06/07</t>
        </r>
      </text>
    </comment>
    <comment ref="S210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 liberatoria del fornitore. Ok 18/06/07
</t>
        </r>
      </text>
    </comment>
    <comment ref="S211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12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13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14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15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1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 liberatoria del fornitore. Ok 18/06/07
</t>
        </r>
      </text>
    </comment>
    <comment ref="S221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 liberatoria del fornitore. Ok 18/06/07
</t>
        </r>
      </text>
    </comment>
    <comment ref="S222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23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73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74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75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76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77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78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7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0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1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2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3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4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5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6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87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18/06/07
</t>
        </r>
      </text>
    </comment>
    <comment ref="S224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documentazione. Ok 18/06/07
</t>
        </r>
      </text>
    </comment>
    <comment ref="S225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documentazione. Ok 18/06/07
</t>
        </r>
      </text>
    </comment>
    <comment ref="S226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documentazione. Ok 18/06/07
</t>
        </r>
      </text>
    </comment>
    <comment ref="S227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documentazione. Ok 18/06/07
</t>
        </r>
      </text>
    </comment>
    <comment ref="S288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28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290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291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292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293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294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295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III sal Manca la documentazione. Ok 18/06/07. liquidato nel IV sal</t>
        </r>
      </text>
    </comment>
    <comment ref="S312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0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10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11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07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04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05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01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02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29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14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129" authorId="1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24,09,08</t>
        </r>
      </text>
    </comment>
    <comment ref="S37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dimostrazione del pagamento</t>
        </r>
      </text>
    </comment>
    <comment ref="S37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dimostrazione del pagamento</t>
        </r>
      </text>
    </comment>
    <comment ref="S7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il curriculum e il timesheet con le firme giornaliere</t>
        </r>
      </text>
    </comment>
    <comment ref="S7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il curriculum e il timesheet con le firme giornaliere</t>
        </r>
      </text>
    </comment>
    <comment ref="S7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il curriculum e il timesheet con le firme giornaliere</t>
        </r>
      </text>
    </comment>
    <comment ref="S8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il curriculum e il timesheet con le firme giornaliere</t>
        </r>
      </text>
    </comment>
    <comment ref="S8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il curriculum e il timesheet con le firme giornaliere</t>
        </r>
      </text>
    </comment>
    <comment ref="S7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il curriculum e il timesheet con le firme giornaliere - Né il contratto né la fattura riportano la dicitura del progetto.</t>
        </r>
      </text>
    </comment>
  </commentList>
</comments>
</file>

<file path=xl/sharedStrings.xml><?xml version="1.0" encoding="utf-8"?>
<sst xmlns="http://schemas.openxmlformats.org/spreadsheetml/2006/main" count="1988" uniqueCount="565">
  <si>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</si>
  <si>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</si>
  <si>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</si>
  <si>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</si>
  <si>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</si>
  <si>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</si>
  <si>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</si>
  <si>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</si>
  <si>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</si>
  <si>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</si>
  <si>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</si>
  <si>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</si>
  <si>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</si>
  <si>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</si>
  <si>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</si>
  <si>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</si>
  <si>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</si>
  <si>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</si>
  <si>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</si>
  <si>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</si>
  <si>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</si>
  <si>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</si>
  <si>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</si>
  <si>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</si>
  <si>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</si>
  <si>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</si>
  <si>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</si>
  <si>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</si>
  <si>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</si>
  <si>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</si>
  <si>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</si>
  <si>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</si>
  <si>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</si>
  <si>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</si>
  <si>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</si>
  <si>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</si>
  <si>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</si>
  <si>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</si>
  <si>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</si>
  <si>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</si>
  <si>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Totale costi ammessi</t>
  </si>
  <si>
    <t>Contributo iva</t>
  </si>
  <si>
    <t>TOT CONTR</t>
  </si>
  <si>
    <t>Spesa ammessa</t>
  </si>
  <si>
    <t>Iva ammessa</t>
  </si>
  <si>
    <t>TOT ammes</t>
  </si>
  <si>
    <t>Contrib. Costi</t>
  </si>
  <si>
    <t>Contrib. Iva</t>
  </si>
  <si>
    <t>Ordine dei Medici Chirurghi e degli Odontoiatri della Provincia di Lecce  41 - RIEPILOGO SPESE</t>
  </si>
  <si>
    <t>HEALT NET COMMUNITY</t>
  </si>
  <si>
    <t>Università di Lecce</t>
  </si>
  <si>
    <t>N.ro 15 dipendenti</t>
  </si>
  <si>
    <t>Bruno, Quarta, Spedicato</t>
  </si>
  <si>
    <t>S.O.IN. 2000 srl</t>
  </si>
  <si>
    <t>PIGNATELLI srl</t>
  </si>
  <si>
    <t>Pignatelli, Leone, Pellegrino</t>
  </si>
  <si>
    <t>Non ammessi costi del legale rappresentante</t>
  </si>
  <si>
    <t>Beraldi, Guerriero, Legato, Musmanno</t>
  </si>
  <si>
    <t>Telefono</t>
  </si>
  <si>
    <t>Telecom Italia</t>
  </si>
  <si>
    <t>addebito su conto corrente postale San Paolo IMI S.P.A.</t>
  </si>
  <si>
    <t>Affitto</t>
  </si>
  <si>
    <t>Imalto s.r.l.</t>
  </si>
  <si>
    <t xml:space="preserve">bonifico bancario </t>
  </si>
  <si>
    <t>8S00954478</t>
  </si>
  <si>
    <t>Energia Elettrica</t>
  </si>
  <si>
    <t>Enel</t>
  </si>
  <si>
    <t>Affitto (canone di locazione del mese di settembre)</t>
  </si>
  <si>
    <t>Affitto (canone di locazione del mese di ottobre)</t>
  </si>
  <si>
    <t>Gas (3° trimestre 2005)</t>
  </si>
  <si>
    <t xml:space="preserve">Enel Gas </t>
  </si>
  <si>
    <t xml:space="preserve">Condominio (luglio - settembre 2005), (ottobre 2005) </t>
  </si>
  <si>
    <t>Mario Cauzzo (Amministrazioni condominiali)</t>
  </si>
  <si>
    <t>contanti</t>
  </si>
  <si>
    <t>4222205-800191190</t>
  </si>
  <si>
    <t>7501625-52211267</t>
  </si>
  <si>
    <t>38400-5148251</t>
  </si>
  <si>
    <t>Non ammesso contanti</t>
  </si>
  <si>
    <t>II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</si>
  <si>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</si>
  <si>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</si>
  <si>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</si>
  <si>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</si>
  <si>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</si>
  <si>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</si>
  <si>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</si>
  <si>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STATO DELLA DOCUMENTAZIONE ALLEGATA ALLA RICHIESTA DI EROGAZIONE ULTIMO SAL</t>
  </si>
  <si>
    <t>DOMANDA DI AGEVOLAZIONE</t>
  </si>
  <si>
    <t>ok</t>
  </si>
  <si>
    <t>COMPLETEZZA DELLA DOCUMENTAZIONE DI RENDICONTAZIONE</t>
  </si>
  <si>
    <t>IVA ESPOSTA</t>
  </si>
  <si>
    <t>DICHIARAZIONE DI ESENZIONE DALLA RITENUTA D’ACCONTO DEL 4% PREVISTA DALL’ART. 28, SECONDO COMMA, DPR 600/73</t>
  </si>
  <si>
    <t xml:space="preserve">ESENTE </t>
  </si>
  <si>
    <t>DATE</t>
  </si>
  <si>
    <t>ISTRUTTORI</t>
  </si>
  <si>
    <t>FIRME</t>
  </si>
  <si>
    <t>inizio</t>
  </si>
  <si>
    <t>fine</t>
  </si>
  <si>
    <t>SAL 1  26/07/2005 - 31/10/2005</t>
  </si>
  <si>
    <t>Pignatelli, Leone, Pellegrino, Grasso, Pinca</t>
  </si>
  <si>
    <t>SAL 2  01/11/2005 - 31/03/2006</t>
  </si>
  <si>
    <t>RIMBORSO SPESE VIAGGIO</t>
  </si>
  <si>
    <t>AUTOSTRADE</t>
  </si>
  <si>
    <t>17409202/D</t>
  </si>
  <si>
    <t>DINERS CLUB</t>
  </si>
  <si>
    <t>19165702/D</t>
  </si>
  <si>
    <t>VIGILANZA</t>
  </si>
  <si>
    <t>VELIALPOL</t>
  </si>
  <si>
    <t>A/74143</t>
  </si>
  <si>
    <t>CONTANTI</t>
  </si>
  <si>
    <t>A/74144</t>
  </si>
  <si>
    <t>LUCE DIC 2005</t>
  </si>
  <si>
    <t>EDISON</t>
  </si>
  <si>
    <t>FS-GC-2011-7681</t>
  </si>
  <si>
    <t>BONIFICO</t>
  </si>
  <si>
    <t>TELEFONO</t>
  </si>
  <si>
    <t>WIND</t>
  </si>
  <si>
    <t>2006T00185868</t>
  </si>
  <si>
    <t>LUCE GENNAIO 2006</t>
  </si>
  <si>
    <t>FS-GC-2011-18353</t>
  </si>
  <si>
    <t>LUCE FEBB 2006</t>
  </si>
  <si>
    <t>FS-GC-2011-30157</t>
  </si>
  <si>
    <t>A/5171</t>
  </si>
  <si>
    <t>A/5172</t>
  </si>
  <si>
    <t>A/9973</t>
  </si>
  <si>
    <t>A/9974</t>
  </si>
  <si>
    <t>ORDINE MEDICI LECCE</t>
  </si>
  <si>
    <t>Bofantini, Basile</t>
  </si>
  <si>
    <t>GAS</t>
  </si>
  <si>
    <t>ENELGAS</t>
  </si>
  <si>
    <t>BOLLETTINO POSTALE</t>
  </si>
  <si>
    <t>CANCELLERIA</t>
  </si>
  <si>
    <t>ZEFIRO</t>
  </si>
  <si>
    <t>TELECOM</t>
  </si>
  <si>
    <t>8S01076528</t>
  </si>
  <si>
    <t>38400 5156028</t>
  </si>
  <si>
    <t>3840 05183210</t>
  </si>
  <si>
    <t>38400 6024926</t>
  </si>
  <si>
    <t>N.ro 6 dipendenti</t>
  </si>
  <si>
    <t>8S01148460</t>
  </si>
  <si>
    <t>Condominio (novembre e dicembre 2005)</t>
  </si>
  <si>
    <t>Affitto (canone di locazione mese di Novembre 2005)</t>
  </si>
  <si>
    <t>bonifico bancario</t>
  </si>
  <si>
    <t>Spese di cancelleria</t>
  </si>
  <si>
    <t>Lyreco Italia SPA</t>
  </si>
  <si>
    <t>Affitto (canone di locazione mese di Dicembre 2005)</t>
  </si>
  <si>
    <t>8S00126588</t>
  </si>
  <si>
    <t>4222206800028236</t>
  </si>
  <si>
    <t>8S00130908</t>
  </si>
  <si>
    <t>750162552211269</t>
  </si>
  <si>
    <t>Gas (4° trimestre 2005)</t>
  </si>
  <si>
    <t>Enel Gas</t>
  </si>
  <si>
    <t>384006031531</t>
  </si>
  <si>
    <t>Affitto (canone di locazione mese di Gennaio 2006)</t>
  </si>
  <si>
    <t>02</t>
  </si>
  <si>
    <t>Condominio (gennaio-marzo 2006)</t>
  </si>
  <si>
    <t>1° rata acqua 3° trimestre 2005</t>
  </si>
  <si>
    <t>Affitto (canone di locazione mese di Febbraio 2006)</t>
  </si>
  <si>
    <t>04</t>
  </si>
  <si>
    <t>Acqua 4° trimestre 2005</t>
  </si>
  <si>
    <t>Affitto (canone di locazione mese di Marzo 2006)</t>
  </si>
  <si>
    <t>10</t>
  </si>
  <si>
    <t>8S00315136</t>
  </si>
  <si>
    <t>750162552211261</t>
  </si>
  <si>
    <t>750162 552211268</t>
  </si>
  <si>
    <t>addebitoSan Paolo IMI SPA</t>
  </si>
  <si>
    <t xml:space="preserve">Ricevuta bancaria.San Palo I.M.I. A.P.A. </t>
  </si>
  <si>
    <t>addebito San Paolo IMI SPA</t>
  </si>
  <si>
    <t>Beraldi, Grandinett, Legato, Musmanno</t>
  </si>
  <si>
    <t>Viaggio di missione</t>
  </si>
  <si>
    <t>Bologna - Roma</t>
  </si>
  <si>
    <t>Parma</t>
  </si>
  <si>
    <t>Madrid</t>
  </si>
  <si>
    <t>Università della Calabria</t>
  </si>
  <si>
    <t>Co. Prestaz d'opera occas."Metodi e modelli per l'ottimizzazione delle risorse critiche in ambito sanitario"</t>
  </si>
  <si>
    <t>Massimo Ramundo</t>
  </si>
  <si>
    <t xml:space="preserve">Notula </t>
  </si>
  <si>
    <t>Bonifico bancario</t>
  </si>
  <si>
    <t>Co. Di Prest d'opera occas."Modellazione in UML di percorsi di cura e assistenza in relazione di patologie cronico degenerative in ambito sanitario"</t>
  </si>
  <si>
    <t>Michele Grego</t>
  </si>
  <si>
    <t>N. 2</t>
  </si>
  <si>
    <t>Co. Di Prest d'opera occas."Sviluppo di librerie di Simulazione per la valutazione delle prestazioni in ambito sanitario"</t>
  </si>
  <si>
    <t>Renato Fumarola</t>
  </si>
  <si>
    <t>Missione a Roma del 10/10/2005 di Grieco Antonio</t>
  </si>
  <si>
    <t>Mand. N. 2654-2652-2651</t>
  </si>
  <si>
    <t>Bonifico Bancario</t>
  </si>
  <si>
    <t>Missione a Roma del 21/12/2005 di Pacella Massimo</t>
  </si>
  <si>
    <t>Mand. N. 276-277</t>
  </si>
  <si>
    <t>Missioni a Brindisi del 23-28/11/2005,02-05014/12/2005 di Nucci Francesco</t>
  </si>
  <si>
    <t>Mand. N. 278</t>
  </si>
  <si>
    <t>Missioni a Rende del 7-30/11/2005,del 5-9-15/12/2005,del 20/1/2006,del 3/2/2006 di Grieco Antonio</t>
  </si>
  <si>
    <t>Mand. N. 279</t>
  </si>
  <si>
    <t>Missioni a Brindisi del 28/10-28/11/2005, a Bari del 2/12/2005, a Maglie del 5/1/2006 di Grieco Antonio</t>
  </si>
  <si>
    <t>Missione dl 14/2/2006 di Bochicchio Mario</t>
  </si>
  <si>
    <t>Mand. N. 442</t>
  </si>
  <si>
    <t>PROGETTO=</t>
  </si>
  <si>
    <t>PREVISTO</t>
  </si>
  <si>
    <t>RESIDUO</t>
  </si>
  <si>
    <t>AMMESSO</t>
  </si>
  <si>
    <t>ATS</t>
  </si>
  <si>
    <t>Ordine dei medici chirurghi e Odontoiatri della Provincia di Lecce</t>
  </si>
  <si>
    <t>Comune di Lecce</t>
  </si>
  <si>
    <t>Università degli Studi della Calabria, Dipartimento di Elettronica, Informatica e Sistemistica</t>
  </si>
  <si>
    <t>Soluzioni Organizzative ed Informatiche 2000 SRL (SOIN 2000srl)</t>
  </si>
  <si>
    <t>Laboratorio Dr. P. Pignatelli SRL</t>
  </si>
  <si>
    <t>NOTE:</t>
  </si>
  <si>
    <t>ANTIMAFIA</t>
  </si>
  <si>
    <t>Università degli Studi di Lecce, Facoltà di Ingegneria-Dip.di Ingegneria dell'Innovazione</t>
  </si>
  <si>
    <t>Ordine dei Medici Chirurghi e degli Odontoiatri della Provincia di Lecce - COD.41</t>
  </si>
  <si>
    <t xml:space="preserve">fattura già rendicontata in sal precedente. </t>
  </si>
  <si>
    <t>Manca documentazione</t>
  </si>
  <si>
    <t xml:space="preserve">Ord. Dei Medici Lecce - Manca la tabella di riepilogo spese generali </t>
  </si>
  <si>
    <t>SAL 2</t>
  </si>
  <si>
    <t>CONTRIBUTO</t>
  </si>
  <si>
    <t>III</t>
  </si>
  <si>
    <t>2006T000595335</t>
  </si>
  <si>
    <t>2006T000594213</t>
  </si>
  <si>
    <t>2006T000642702</t>
  </si>
  <si>
    <t>LUCE GIUGNO 2006</t>
  </si>
  <si>
    <t>FS-GC-2011-84271</t>
  </si>
  <si>
    <t>LUCE MAGGIO 2006</t>
  </si>
  <si>
    <t>FS-GC-2011-70113</t>
  </si>
  <si>
    <t>A/17008</t>
  </si>
  <si>
    <t>A/17007</t>
  </si>
  <si>
    <t>A/24309</t>
  </si>
  <si>
    <t>A/24310</t>
  </si>
  <si>
    <t>A/36640</t>
  </si>
  <si>
    <t>A/36641</t>
  </si>
  <si>
    <t>A/30589</t>
  </si>
  <si>
    <t>A/30590</t>
  </si>
  <si>
    <t>CARTUCCE PER STAMPANTI</t>
  </si>
  <si>
    <t xml:space="preserve">ARS </t>
  </si>
  <si>
    <t>A/4575</t>
  </si>
  <si>
    <t>A/2471</t>
  </si>
  <si>
    <t>A/2590</t>
  </si>
  <si>
    <t>A/4238</t>
  </si>
  <si>
    <t>A/2509</t>
  </si>
  <si>
    <t>A/2616</t>
  </si>
  <si>
    <t>CARTA</t>
  </si>
  <si>
    <t>BACKUP</t>
  </si>
  <si>
    <t>RACCOGLITORI</t>
  </si>
  <si>
    <t>BUFFETTI</t>
  </si>
  <si>
    <t>IL QUADRIFOGLIO</t>
  </si>
  <si>
    <t>SERVIZIO ASSISTENZA SW</t>
  </si>
  <si>
    <t>SVIC</t>
  </si>
  <si>
    <t>4220806 800026140</t>
  </si>
  <si>
    <t>4220806 800018950</t>
  </si>
  <si>
    <t>Spese Condominiali 2° trimestre 2006 (Aprile - Giugno 2006)</t>
  </si>
  <si>
    <t>Mario Cauzzo</t>
  </si>
  <si>
    <t>Affitto (canone di locazione mese di Aprile 2006)</t>
  </si>
  <si>
    <t>Gas (1° trimestre 2006)</t>
  </si>
  <si>
    <t>addebito su c/c bancario San Paolo IMI S.P.A.</t>
  </si>
  <si>
    <t>8S00515036</t>
  </si>
  <si>
    <t>8S00517399</t>
  </si>
  <si>
    <t>750162552211262</t>
  </si>
  <si>
    <t>Affitto (canone di locazione mese di Maggio 2006)</t>
  </si>
  <si>
    <t>Affitto (canone di locazione mese di giugno 2006)</t>
  </si>
  <si>
    <t>15</t>
  </si>
  <si>
    <t>1° rata acqua 1° trimestre 2006</t>
  </si>
  <si>
    <t>Spese Condominiali 3° trimestre 2006 (Luglio - Settembre 2006)</t>
  </si>
  <si>
    <t>390</t>
  </si>
  <si>
    <t>8S00713169</t>
  </si>
  <si>
    <t>4222206800142799</t>
  </si>
  <si>
    <t>8S00712424</t>
  </si>
  <si>
    <t>Gas (2° trimestre 2006)</t>
  </si>
  <si>
    <t>384006113227</t>
  </si>
  <si>
    <t>Affitto (canone di locazione mese di luglio 2006)</t>
  </si>
  <si>
    <t>384006 083377</t>
  </si>
  <si>
    <t>N.ro 26 dipendenti</t>
  </si>
  <si>
    <t>Co. Prestaz d'opera occas."Rapporti con regione e partner finalizzati alla redazione di un piano di valutazione economicae sociale dell'impatto dei risultati attesi dal progetto sulla struttura organizzativa esistente nell'ambito di riferimento"</t>
  </si>
  <si>
    <t>VINICIO RUSSO</t>
  </si>
  <si>
    <t>Co. Prestaz d'opera occas."Sviluppo di metodi e modelli per la pianificazione in sistemi a macchine parallele con riferimento a sistemi sanitari (Operating Rooms)"</t>
  </si>
  <si>
    <t>Anna Arigliano</t>
  </si>
  <si>
    <t>softwareILOG</t>
  </si>
  <si>
    <t>ILOG</t>
  </si>
  <si>
    <t>VEN603048</t>
  </si>
  <si>
    <t>Softwre -Crystal Reports</t>
  </si>
  <si>
    <t>Comptech srl</t>
  </si>
  <si>
    <t>19/472006</t>
  </si>
  <si>
    <t>Missione dl 21/3/2006 ad Albuquerque</t>
  </si>
  <si>
    <t>Bochicchio Mario</t>
  </si>
  <si>
    <t>Mand. N. 1014/06</t>
  </si>
  <si>
    <t>Longo Federica</t>
  </si>
  <si>
    <t>Missione a Orlando (USA) del 22/6/06</t>
  </si>
  <si>
    <t>Mand. N. 1036/06</t>
  </si>
  <si>
    <t>Missione a Milano del 28e 29/3/2006</t>
  </si>
  <si>
    <t>Anglani Alfredo</t>
  </si>
  <si>
    <t>Mand. N. 922/06</t>
  </si>
  <si>
    <t>Missione a Palermo del 21-23/3/2006</t>
  </si>
  <si>
    <t>Mand. N. 914/06</t>
  </si>
  <si>
    <t>Missione a Roma del 26/02/-01/03/2006</t>
  </si>
  <si>
    <t>Grieco Antonio</t>
  </si>
  <si>
    <t>Mand. 1404/06</t>
  </si>
  <si>
    <t>Missione a Rende del 17/02 e del 20/04/2006</t>
  </si>
  <si>
    <t>Mand. 1406/06</t>
  </si>
  <si>
    <t>Missione a Roma del 26/04/2006</t>
  </si>
  <si>
    <t>Mand. 1405/06</t>
  </si>
  <si>
    <t>SAL 3  01/04/2006 - 31/07/2006</t>
  </si>
  <si>
    <t>TOT SAL 3</t>
  </si>
  <si>
    <t>SAL 3</t>
  </si>
  <si>
    <t>contanti non ammesso</t>
  </si>
  <si>
    <t>I costi di viaggio sono ammessi solo al personale (rend.alla voce personale) in missione per il progetto</t>
  </si>
  <si>
    <t>SAL 4  01/08/2006 - 30/11/2006</t>
  </si>
  <si>
    <t>IV</t>
  </si>
  <si>
    <t>Liquidato nel II sal</t>
  </si>
  <si>
    <t>Liquidato nel IV sal</t>
  </si>
  <si>
    <t>Dal II sal</t>
  </si>
  <si>
    <t>Fonitura SW web community con Twiki Wiki</t>
  </si>
  <si>
    <t>Jwizard s.a.s.</t>
  </si>
  <si>
    <t>06/012</t>
  </si>
  <si>
    <t>Canone Servizi di Housing</t>
  </si>
  <si>
    <t>Itnet S.r.l.</t>
  </si>
  <si>
    <t>19361/2006</t>
  </si>
  <si>
    <t>Lyreco SPA</t>
  </si>
  <si>
    <t xml:space="preserve">Ricevuta bancaria. Banca d'appoggio: Istituto Bancario San Palo I.M.I. S.P.A. </t>
  </si>
  <si>
    <t>Affitto (canone di locazione mese di agosto 2006)</t>
  </si>
  <si>
    <t>Imalto Srl</t>
  </si>
  <si>
    <t>8S00907174</t>
  </si>
  <si>
    <t>08/09/206</t>
  </si>
  <si>
    <t>8S00908735</t>
  </si>
  <si>
    <t>Misco S.p.A.</t>
  </si>
  <si>
    <t>132669/06</t>
  </si>
  <si>
    <t>Affitto (canone di locazione mese di settembre 2006)</t>
  </si>
  <si>
    <t>Acqua 2° trimestre 2006</t>
  </si>
  <si>
    <t>Gas (3° trimestre 2006)</t>
  </si>
  <si>
    <t>Enel Gas S.p.A.</t>
  </si>
  <si>
    <t>addebito C/C bancario SANPAOLO IMI S.p.A.</t>
  </si>
  <si>
    <t>Affitto (canone di locazione mese di ottobre 2006)</t>
  </si>
  <si>
    <t>Condominio (4° trimestre 2006)</t>
  </si>
  <si>
    <t>8S01101935</t>
  </si>
  <si>
    <t>8S01099794</t>
  </si>
  <si>
    <t>Affitto (canone di locazione mese di novembre 2006)</t>
  </si>
  <si>
    <t>7501625 52211263</t>
  </si>
  <si>
    <t>7501625 52211264</t>
  </si>
  <si>
    <t>38400 6148908</t>
  </si>
  <si>
    <t>Importo inferiore a euro 516,46</t>
  </si>
  <si>
    <t>manca documentazione</t>
  </si>
  <si>
    <t>ASL LE/1</t>
  </si>
  <si>
    <t>Colaci, Santoro, Leone, Pellegrino, Grasso, Pinca</t>
  </si>
  <si>
    <t>TS00066765</t>
  </si>
  <si>
    <t>FS-GC-2011-141858</t>
  </si>
  <si>
    <t>A/52609</t>
  </si>
  <si>
    <t>A/52610</t>
  </si>
  <si>
    <t>A/57329</t>
  </si>
  <si>
    <t>A/57328</t>
  </si>
  <si>
    <t>A/65714</t>
  </si>
  <si>
    <t>A/65715</t>
  </si>
  <si>
    <t>A/7396</t>
  </si>
  <si>
    <t>Importo inferiore a euro 516,46 - contanti</t>
  </si>
  <si>
    <t xml:space="preserve"> contanti</t>
  </si>
  <si>
    <t>Manca dichiarazione calcolo aliquota oraria</t>
  </si>
  <si>
    <t>Beraldi, Grandinetti, Legato, Musmanno, Corradino</t>
  </si>
  <si>
    <t>Dott. Fontanelli Riccardo</t>
  </si>
  <si>
    <t>7/2006</t>
  </si>
  <si>
    <t>1Point2 Simulation</t>
  </si>
  <si>
    <t>0509868</t>
  </si>
  <si>
    <t>Upgrade with CPLEX LMBQ</t>
  </si>
  <si>
    <t>Paragon Decision Technology</t>
  </si>
  <si>
    <t>A2006-10-24/1781</t>
  </si>
  <si>
    <t>Extended suite education</t>
  </si>
  <si>
    <t>Viaggio di Missione</t>
  </si>
  <si>
    <t>Candelieri Antonio</t>
  </si>
  <si>
    <t>Lagani Vincenzo</t>
  </si>
  <si>
    <t>18/06/07 - Il motivo della missione non ha riferimenti al progetto</t>
  </si>
  <si>
    <t>N.ro 17 dipendenti e collab.</t>
  </si>
  <si>
    <t>Mand. N. 1909/06</t>
  </si>
  <si>
    <t>Mand. N. 2329/06</t>
  </si>
  <si>
    <t>Missione a Roma del 14/02/2006</t>
  </si>
  <si>
    <t>Mario Bochicchio</t>
  </si>
  <si>
    <t>Mand. N. 1631/06</t>
  </si>
  <si>
    <t>Mand. N. 1908/06</t>
  </si>
  <si>
    <t>Missione ad Helsinky del 15-20/11/2006</t>
  </si>
  <si>
    <t>Gravili Ginevra</t>
  </si>
  <si>
    <t>Mand. N. 2154/06</t>
  </si>
  <si>
    <t>Missione a Milano del 11/04/2006</t>
  </si>
  <si>
    <t>Mand. N. 2353/06</t>
  </si>
  <si>
    <t>Missione a Roma del 25/0706</t>
  </si>
  <si>
    <t>Mand. 1817/06</t>
  </si>
  <si>
    <t>Missione a Roma del 25/07/06</t>
  </si>
  <si>
    <t>Guerriero Emanuela</t>
  </si>
  <si>
    <t>Mand. 1818/06</t>
  </si>
  <si>
    <t>Missione a Roma del 14-15/6/2006</t>
  </si>
  <si>
    <t>De Liso Nicola</t>
  </si>
  <si>
    <t>Mand. 1823/06</t>
  </si>
  <si>
    <t>Missione a Roma del 21-22/3/2006</t>
  </si>
  <si>
    <t>Mand. 2405/06</t>
  </si>
  <si>
    <t>Missione a Roma del 13/6/2006</t>
  </si>
  <si>
    <t>Mand. 2526/06</t>
  </si>
  <si>
    <t>Missione a Rende del 13/3/06, 4/11/06, 10-16/05/2006</t>
  </si>
  <si>
    <t>Mand. 1855/06</t>
  </si>
  <si>
    <t>Missione a Maglie del 20-24/03/06, 10-21-24/04/06,15-18-21/05/06, 7-12-23/06/06</t>
  </si>
  <si>
    <t>Mand. 1825/06</t>
  </si>
  <si>
    <t>Missione a Roma del 14/7/2006</t>
  </si>
  <si>
    <t>Massimo Pacella</t>
  </si>
  <si>
    <t>Mand. 1824/06</t>
  </si>
  <si>
    <t>Missione a Rende del 28-29/3/06</t>
  </si>
  <si>
    <t>Mand. 2412/06</t>
  </si>
  <si>
    <t>Telecamera CCD con obiettivo</t>
  </si>
  <si>
    <t>Soluzione di sicurezza</t>
  </si>
  <si>
    <t>Il contratto di Russo và a consulenze ma mancano i timesheet (no co.co.pro)</t>
  </si>
  <si>
    <t>dal III sal</t>
  </si>
  <si>
    <t>TOT SAL 4</t>
  </si>
  <si>
    <t>SAL 4</t>
  </si>
  <si>
    <t>progetto di 21 mesi + 6 di proroga</t>
  </si>
  <si>
    <t>TOT SAL 5</t>
  </si>
  <si>
    <t>TOT SAL 6</t>
  </si>
  <si>
    <t>TOT SAL 7</t>
  </si>
  <si>
    <t>SAL 5  01/12/2006 - 31/03/2007</t>
  </si>
  <si>
    <t>V</t>
  </si>
  <si>
    <t>Raccolta dati e documentazione psrtner di progetto;</t>
  </si>
  <si>
    <t>Zarcone Francesco</t>
  </si>
  <si>
    <t>monitoraggio risorse;</t>
  </si>
  <si>
    <t>06/013</t>
  </si>
  <si>
    <t>572/2007</t>
  </si>
  <si>
    <t>4242/2007</t>
  </si>
  <si>
    <t>Affitto (canone di locazione mese di dicembre 2006)</t>
  </si>
  <si>
    <t xml:space="preserve">Imalto Srl </t>
  </si>
  <si>
    <t>Gas (4° trimestre 2006)</t>
  </si>
  <si>
    <t>Affitto (canone di locazione mese di gennaio 2007)</t>
  </si>
  <si>
    <t>38400 7006101</t>
  </si>
  <si>
    <t>add.C/C  SANPAOLO IMI S.p.A.</t>
  </si>
  <si>
    <t>N.ro 9 amministrativi</t>
  </si>
  <si>
    <t>N.ro 13 dipendenti e collab.</t>
  </si>
  <si>
    <t>Contratto di prestazione d'opera occasionale</t>
  </si>
  <si>
    <t>Raffaella Ferrari</t>
  </si>
  <si>
    <t>Pierpaolo Caricato</t>
  </si>
  <si>
    <t>Licenza per piattaforma software per sviluppo di applicazione di simulazione</t>
  </si>
  <si>
    <t>Eupolis</t>
  </si>
  <si>
    <t>SAL 6  01/04/2007 - 31/07/2007</t>
  </si>
  <si>
    <t>VI</t>
  </si>
  <si>
    <t>Contratto prestaz d'opera occasionale</t>
  </si>
  <si>
    <t xml:space="preserve">Vantaggiato Salvatore </t>
  </si>
  <si>
    <t>Notula</t>
  </si>
  <si>
    <t>Barba Letizia</t>
  </si>
  <si>
    <t>Ciullo Emanuela</t>
  </si>
  <si>
    <t>Mondonuovo srl</t>
  </si>
  <si>
    <t>Bonifico</t>
  </si>
  <si>
    <t xml:space="preserve">Mondonuovo </t>
  </si>
  <si>
    <t>Metro</t>
  </si>
  <si>
    <t>37/034/013272</t>
  </si>
  <si>
    <t>Cassiopea Comunication</t>
  </si>
  <si>
    <t>Maritens</t>
  </si>
  <si>
    <t>606-01</t>
  </si>
  <si>
    <t>Carra Editrice</t>
  </si>
  <si>
    <t>V. Maglio srl</t>
  </si>
  <si>
    <t>119 D</t>
  </si>
  <si>
    <t>Barrotta Giuseppe</t>
  </si>
  <si>
    <t>scontrino</t>
  </si>
  <si>
    <t>Incisoria Romano</t>
  </si>
  <si>
    <t>ric fisc 112</t>
  </si>
  <si>
    <t>Poste it.</t>
  </si>
  <si>
    <t>ricevuta</t>
  </si>
  <si>
    <t>Impresa Shining</t>
  </si>
  <si>
    <t>ricevuta n. 26</t>
  </si>
  <si>
    <t>HDI Assicuraz.</t>
  </si>
  <si>
    <t>N.ro 7 dipendenti</t>
  </si>
  <si>
    <t>8383/2007</t>
  </si>
  <si>
    <t>14955/2007</t>
  </si>
  <si>
    <t>16468/2007</t>
  </si>
  <si>
    <t>20650/2007</t>
  </si>
  <si>
    <t>Bochicchio, Russo, Toma</t>
  </si>
  <si>
    <t>Contratto di prestazione occasionale</t>
  </si>
  <si>
    <t>Sandro Zacchino</t>
  </si>
  <si>
    <t>Contratto di prestazione occasionale (versamento dell'IRAP)</t>
  </si>
  <si>
    <t>Contratto di prestazione occasionale (versamento inps)</t>
  </si>
  <si>
    <t>Paolo Preite</t>
  </si>
  <si>
    <t>Fatt. n. 3</t>
  </si>
  <si>
    <t>Missione a Chieti del 20-21/07/06</t>
  </si>
  <si>
    <t>Mand. 654/07</t>
  </si>
  <si>
    <t>Missione a Roma del 12-15/07/06</t>
  </si>
  <si>
    <t>Mand. 655/07</t>
  </si>
  <si>
    <t>Missione a Rende del 11e18/07/06</t>
  </si>
  <si>
    <t>Mand. 666/07</t>
  </si>
  <si>
    <t>Missione a Maglie del 03 e 07/7/06</t>
  </si>
  <si>
    <t>Mand. 656/07</t>
  </si>
  <si>
    <t>Missione a Maglie del 6 e 29/8/06</t>
  </si>
  <si>
    <t>Mand. 861/07</t>
  </si>
  <si>
    <t>Missione a Maglie del 4,5/8/07</t>
  </si>
  <si>
    <t>Mand. 661</t>
  </si>
  <si>
    <t>Missione a Maglie del 4,5/8/08</t>
  </si>
  <si>
    <t>Mand. 660</t>
  </si>
  <si>
    <t>Missione a Maglie del 4,11,18,25/06 e 11,17/10/06</t>
  </si>
  <si>
    <t>Mand. 1327/06</t>
  </si>
  <si>
    <t>Missione a Poggiardo del 1/9/2006</t>
  </si>
  <si>
    <t>Mand. 1326/07</t>
  </si>
  <si>
    <t>Missione a Rende del 26/9/06 e 23-30/10/06</t>
  </si>
  <si>
    <t>Arigliano Anna</t>
  </si>
  <si>
    <t>Mand. 1328/07</t>
  </si>
  <si>
    <t>Servizio di messaggistica</t>
  </si>
  <si>
    <t>Alicom Srl</t>
  </si>
  <si>
    <t>Fatt.1523</t>
  </si>
  <si>
    <t>Missione Cafagna a Firenze</t>
  </si>
  <si>
    <t>Cafagna Donato</t>
  </si>
  <si>
    <t>Mand. 1220</t>
  </si>
  <si>
    <t>Rigenerazione toner</t>
  </si>
  <si>
    <t>Seycoprint</t>
  </si>
  <si>
    <t>Fatt.16</t>
  </si>
  <si>
    <t>SAL 7  01/08/2007 - 26/10/2007</t>
  </si>
  <si>
    <t>VII</t>
  </si>
  <si>
    <t>N.ro 4 dipendenti</t>
  </si>
  <si>
    <t>25920/2007</t>
  </si>
  <si>
    <t>28572/2007</t>
  </si>
  <si>
    <t>31275/2007</t>
  </si>
  <si>
    <t>Bochicchio, Toma</t>
  </si>
  <si>
    <t>Prestazione occasionale</t>
  </si>
  <si>
    <t>Massimilino Chiuri</t>
  </si>
  <si>
    <t>Mand. 2168</t>
  </si>
  <si>
    <t>Nicola Carlino</t>
  </si>
  <si>
    <t>Prestazione occasionaleIRAP</t>
  </si>
  <si>
    <t xml:space="preserve">Nicola Carlino </t>
  </si>
  <si>
    <t>Prestazione occasionaleINPS</t>
  </si>
  <si>
    <t>Palmalisa Marra</t>
  </si>
  <si>
    <t>Prestazione occasionalevers. IRAP</t>
  </si>
  <si>
    <t>Prestazione occasionale vers inps</t>
  </si>
  <si>
    <t>Vinicio Russo</t>
  </si>
  <si>
    <t>Sw licenza x presenter learning platform 2.0 server</t>
  </si>
  <si>
    <t>Alba Project</t>
  </si>
  <si>
    <t>Sw HIGo</t>
  </si>
  <si>
    <t>Villarosa</t>
  </si>
  <si>
    <t>Mand. 2058</t>
  </si>
  <si>
    <t>Missione a Santeramo</t>
  </si>
  <si>
    <t>Mand. 1929</t>
  </si>
  <si>
    <t>Missione a Milano</t>
  </si>
  <si>
    <t>Mand. N. 2391</t>
  </si>
  <si>
    <t>Mand.2392</t>
  </si>
  <si>
    <t>7/1172007</t>
  </si>
  <si>
    <t>Manca il curriculum e il timesheet con le firme giornaliere</t>
  </si>
  <si>
    <t>Gianfreda,Arigliano,Ramundo, Fumarola, Mastrototaro, Toma, Russo vanno rendicontati alla voce consulenze con curriculum e timesheet.</t>
  </si>
  <si>
    <t>Spese già rendicontate nel s.a.l. precedente</t>
  </si>
  <si>
    <t>Manca firma su dimostrazione pagamento</t>
  </si>
  <si>
    <t>SAL 5</t>
  </si>
  <si>
    <t>SAL 6</t>
  </si>
  <si>
    <t>SAL 7</t>
  </si>
  <si>
    <t>Contanti non ammissibile</t>
  </si>
  <si>
    <t>abbonamento ammissibile sino ad ott.97</t>
  </si>
  <si>
    <t>Importo inferiore a euro 516,47</t>
  </si>
  <si>
    <t>Trattasi di missione a Roma dell'Ing. Prete Daniele</t>
  </si>
  <si>
    <t>Russo và rendicontato alla voce consulenze con curriculum e timesheet.</t>
  </si>
  <si>
    <t>Manca dichiarazione calcolo aliquota oraria ed i timesheet di Stomeo e Longo</t>
  </si>
  <si>
    <t>Manca firma su dimostrazione pagamento e LIBERATORIA</t>
  </si>
  <si>
    <t>ANT.</t>
  </si>
  <si>
    <t>Ammissibile dopo ok su consulena</t>
  </si>
  <si>
    <t>Collaudo</t>
  </si>
  <si>
    <t>Totale liquidato</t>
  </si>
  <si>
    <t>Totale contributo su spesa ammessa</t>
  </si>
  <si>
    <t xml:space="preserve">Saldo </t>
  </si>
  <si>
    <t>Disimpegno</t>
  </si>
  <si>
    <t>Missione a Milano del 02-03/04/06</t>
  </si>
  <si>
    <t>mand. N. 2436/06</t>
  </si>
  <si>
    <t>Qtek PDA Phone 9000UMTS+ Navigator</t>
  </si>
  <si>
    <t>Misco</t>
  </si>
  <si>
    <t>97994/06</t>
  </si>
  <si>
    <t>telefono cellulare nokia</t>
  </si>
  <si>
    <t>TRE M telefonia</t>
  </si>
  <si>
    <t>Facchinaggio</t>
  </si>
  <si>
    <t>Consorzio nazionale servizi soc.coop ARL</t>
  </si>
  <si>
    <t>Materiale di consumo</t>
  </si>
  <si>
    <r>
      <t xml:space="preserve">Manca </t>
    </r>
    <r>
      <rPr>
        <b/>
        <sz val="8"/>
        <color indexed="10"/>
        <rFont val="Tahoma"/>
        <family val="2"/>
      </rPr>
      <t xml:space="preserve">ancora </t>
    </r>
    <r>
      <rPr>
        <sz val="8"/>
        <color indexed="10"/>
        <rFont val="Tahoma"/>
        <family val="2"/>
      </rPr>
      <t>la pagina 1 della fattura</t>
    </r>
  </si>
  <si>
    <t>prestazione occasionale non ammissibile</t>
  </si>
  <si>
    <t>22/02/07 Manca curriculum e timesheet, prestazione occasionale non ammissibile</t>
  </si>
  <si>
    <t>Manca completamente la documentazione, prestazione occasionale non ammissibile</t>
  </si>
  <si>
    <t>Prestazione occasionale non ammissibile</t>
  </si>
  <si>
    <t>Non è stato trasmesso il file di dettaglio. Esiste solo cartaceo</t>
  </si>
  <si>
    <t>Consulenza</t>
  </si>
  <si>
    <t>???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</si>
</sst>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[$-410]dddd\ d\ mmmm\ yyyy"/>
    <numFmt numFmtId="176" formatCode="#,##0.000"/>
    <numFmt numFmtId="177" formatCode="#,##0.0000"/>
    <numFmt numFmtId="178" formatCode="h\.mm\.ss"/>
    <numFmt numFmtId="179" formatCode="dd/mm/yy;@"/>
    <numFmt numFmtId="180" formatCode="&quot;€&quot;\ #,##0.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20"/>
      <name val="Tahoma"/>
      <family val="2"/>
    </font>
    <font>
      <sz val="8"/>
      <color indexed="10"/>
      <name val="Tahoma"/>
      <family val="2"/>
    </font>
    <font>
      <b/>
      <sz val="8"/>
      <color indexed="61"/>
      <name val="Tahoma"/>
      <family val="2"/>
    </font>
    <font>
      <b/>
      <sz val="8"/>
      <color indexed="12"/>
      <name val="Tahoma"/>
      <family val="2"/>
    </font>
    <font>
      <b/>
      <sz val="8"/>
      <color indexed="16"/>
      <name val="Tahoma"/>
      <family val="2"/>
    </font>
    <font>
      <b/>
      <sz val="8"/>
      <color indexed="17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0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" fontId="9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1" fillId="24" borderId="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25" borderId="16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4" fontId="9" fillId="25" borderId="16" xfId="0" applyNumberFormat="1" applyFont="1" applyFill="1" applyBorder="1" applyAlignment="1">
      <alignment horizontal="center"/>
    </xf>
    <xf numFmtId="4" fontId="9" fillId="25" borderId="17" xfId="0" applyNumberFormat="1" applyFont="1" applyFill="1" applyBorder="1" applyAlignment="1">
      <alignment horizontal="center"/>
    </xf>
    <xf numFmtId="4" fontId="10" fillId="0" borderId="12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18" xfId="0" applyNumberFormat="1" applyFont="1" applyBorder="1" applyAlignment="1" applyProtection="1">
      <alignment horizontal="right"/>
      <protection/>
    </xf>
    <xf numFmtId="4" fontId="10" fillId="24" borderId="19" xfId="0" applyNumberFormat="1" applyFont="1" applyFill="1" applyBorder="1" applyAlignment="1" applyProtection="1">
      <alignment horizontal="right"/>
      <protection/>
    </xf>
    <xf numFmtId="4" fontId="10" fillId="0" borderId="0" xfId="0" applyNumberFormat="1" applyFont="1" applyFill="1" applyBorder="1" applyAlignment="1" applyProtection="1">
      <alignment vertical="top" wrapText="1"/>
      <protection locked="0"/>
    </xf>
    <xf numFmtId="4" fontId="10" fillId="24" borderId="10" xfId="0" applyNumberFormat="1" applyFont="1" applyFill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4" fillId="0" borderId="12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 horizontal="right"/>
      <protection/>
    </xf>
    <xf numFmtId="4" fontId="14" fillId="0" borderId="10" xfId="0" applyNumberFormat="1" applyFont="1" applyBorder="1" applyAlignment="1">
      <alignment/>
    </xf>
    <xf numFmtId="4" fontId="14" fillId="24" borderId="16" xfId="0" applyNumberFormat="1" applyFont="1" applyFill="1" applyBorder="1" applyAlignment="1" applyProtection="1">
      <alignment horizontal="right"/>
      <protection/>
    </xf>
    <xf numFmtId="4" fontId="14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4" fillId="0" borderId="18" xfId="0" applyNumberFormat="1" applyFont="1" applyBorder="1" applyAlignment="1" applyProtection="1">
      <alignment horizontal="right"/>
      <protection/>
    </xf>
    <xf numFmtId="4" fontId="14" fillId="24" borderId="10" xfId="0" applyNumberFormat="1" applyFont="1" applyFill="1" applyBorder="1" applyAlignment="1">
      <alignment/>
    </xf>
    <xf numFmtId="4" fontId="16" fillId="0" borderId="20" xfId="0" applyNumberFormat="1" applyFont="1" applyBorder="1" applyAlignment="1" applyProtection="1">
      <alignment horizontal="right"/>
      <protection/>
    </xf>
    <xf numFmtId="4" fontId="16" fillId="0" borderId="11" xfId="0" applyNumberFormat="1" applyFont="1" applyBorder="1" applyAlignment="1" applyProtection="1">
      <alignment horizontal="right"/>
      <protection/>
    </xf>
    <xf numFmtId="4" fontId="16" fillId="0" borderId="14" xfId="0" applyNumberFormat="1" applyFont="1" applyBorder="1" applyAlignment="1" applyProtection="1">
      <alignment horizontal="right"/>
      <protection/>
    </xf>
    <xf numFmtId="4" fontId="16" fillId="24" borderId="16" xfId="0" applyNumberFormat="1" applyFont="1" applyFill="1" applyBorder="1" applyAlignment="1" applyProtection="1">
      <alignment horizontal="right"/>
      <protection/>
    </xf>
    <xf numFmtId="4" fontId="16" fillId="0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/>
    </xf>
    <xf numFmtId="4" fontId="16" fillId="24" borderId="1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4" fontId="10" fillId="24" borderId="10" xfId="0" applyNumberFormat="1" applyFont="1" applyFill="1" applyBorder="1" applyAlignment="1" applyProtection="1">
      <alignment horizontal="right"/>
      <protection/>
    </xf>
    <xf numFmtId="4" fontId="10" fillId="0" borderId="19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14" fillId="24" borderId="10" xfId="0" applyNumberFormat="1" applyFont="1" applyFill="1" applyBorder="1" applyAlignment="1" applyProtection="1">
      <alignment horizontal="right"/>
      <protection/>
    </xf>
    <xf numFmtId="4" fontId="14" fillId="0" borderId="21" xfId="0" applyNumberFormat="1" applyFont="1" applyBorder="1" applyAlignment="1" applyProtection="1">
      <alignment horizontal="right"/>
      <protection/>
    </xf>
    <xf numFmtId="4" fontId="14" fillId="0" borderId="22" xfId="0" applyNumberFormat="1" applyFont="1" applyBorder="1" applyAlignment="1" applyProtection="1">
      <alignment horizontal="right"/>
      <protection/>
    </xf>
    <xf numFmtId="4" fontId="16" fillId="24" borderId="10" xfId="0" applyNumberFormat="1" applyFont="1" applyFill="1" applyBorder="1" applyAlignment="1" applyProtection="1">
      <alignment horizontal="right"/>
      <protection/>
    </xf>
    <xf numFmtId="14" fontId="6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24" borderId="17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24" borderId="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4" fontId="10" fillId="24" borderId="11" xfId="0" applyNumberFormat="1" applyFont="1" applyFill="1" applyBorder="1" applyAlignment="1" applyProtection="1">
      <alignment horizontal="right"/>
      <protection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right" wrapText="1"/>
    </xf>
    <xf numFmtId="170" fontId="6" fillId="24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14" fontId="6" fillId="26" borderId="10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justify" wrapText="1"/>
    </xf>
    <xf numFmtId="171" fontId="6" fillId="26" borderId="10" xfId="46" applyNumberFormat="1" applyFont="1" applyFill="1" applyBorder="1" applyAlignment="1">
      <alignment horizontal="right"/>
    </xf>
    <xf numFmtId="171" fontId="6" fillId="0" borderId="10" xfId="46" applyNumberFormat="1" applyFont="1" applyBorder="1" applyAlignment="1">
      <alignment horizontal="right"/>
    </xf>
    <xf numFmtId="171" fontId="6" fillId="24" borderId="10" xfId="46" applyNumberFormat="1" applyFont="1" applyFill="1" applyBorder="1" applyAlignment="1">
      <alignment horizontal="right"/>
    </xf>
    <xf numFmtId="170" fontId="6" fillId="0" borderId="10" xfId="0" applyNumberFormat="1" applyFont="1" applyBorder="1" applyAlignment="1">
      <alignment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7" fillId="24" borderId="10" xfId="0" applyNumberFormat="1" applyFont="1" applyFill="1" applyBorder="1" applyAlignment="1">
      <alignment horizontal="right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4" fontId="6" fillId="24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4" fontId="5" fillId="0" borderId="25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9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6" fillId="0" borderId="11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0" fontId="5" fillId="0" borderId="25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14" fontId="6" fillId="0" borderId="19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" fontId="36" fillId="0" borderId="0" xfId="0" applyNumberFormat="1" applyFont="1" applyAlignment="1">
      <alignment/>
    </xf>
    <xf numFmtId="4" fontId="14" fillId="0" borderId="17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 quotePrefix="1">
      <alignment/>
    </xf>
    <xf numFmtId="4" fontId="4" fillId="0" borderId="0" xfId="0" applyNumberFormat="1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24" borderId="0" xfId="0" applyNumberFormat="1" applyFont="1" applyFill="1" applyBorder="1" applyAlignment="1">
      <alignment/>
    </xf>
    <xf numFmtId="0" fontId="17" fillId="16" borderId="15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16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9" fillId="16" borderId="10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left" vertical="center" wrapText="1"/>
    </xf>
    <xf numFmtId="0" fontId="7" fillId="16" borderId="1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wrapText="1"/>
    </xf>
    <xf numFmtId="0" fontId="6" fillId="16" borderId="10" xfId="0" applyFont="1" applyFill="1" applyBorder="1" applyAlignment="1">
      <alignment/>
    </xf>
    <xf numFmtId="14" fontId="6" fillId="16" borderId="10" xfId="0" applyNumberFormat="1" applyFont="1" applyFill="1" applyBorder="1" applyAlignment="1">
      <alignment/>
    </xf>
    <xf numFmtId="14" fontId="6" fillId="16" borderId="10" xfId="0" applyNumberFormat="1" applyFont="1" applyFill="1" applyBorder="1" applyAlignment="1">
      <alignment/>
    </xf>
    <xf numFmtId="4" fontId="6" fillId="16" borderId="10" xfId="0" applyNumberFormat="1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10" xfId="0" applyFont="1" applyFill="1" applyBorder="1" applyAlignment="1">
      <alignment horizontal="left" wrapText="1"/>
    </xf>
    <xf numFmtId="14" fontId="6" fillId="16" borderId="10" xfId="0" applyNumberFormat="1" applyFont="1" applyFill="1" applyBorder="1" applyAlignment="1">
      <alignment horizontal="center"/>
    </xf>
    <xf numFmtId="14" fontId="6" fillId="16" borderId="10" xfId="0" applyNumberFormat="1" applyFont="1" applyFill="1" applyBorder="1" applyAlignment="1">
      <alignment horizontal="center" wrapText="1"/>
    </xf>
    <xf numFmtId="14" fontId="6" fillId="16" borderId="10" xfId="0" applyNumberFormat="1" applyFont="1" applyFill="1" applyBorder="1" applyAlignment="1">
      <alignment horizontal="right" wrapText="1"/>
    </xf>
    <xf numFmtId="170" fontId="6" fillId="16" borderId="10" xfId="0" applyNumberFormat="1" applyFont="1" applyFill="1" applyBorder="1" applyAlignment="1">
      <alignment/>
    </xf>
    <xf numFmtId="0" fontId="7" fillId="16" borderId="15" xfId="0" applyFont="1" applyFill="1" applyBorder="1" applyAlignment="1">
      <alignment horizontal="left" vertical="center" wrapText="1"/>
    </xf>
    <xf numFmtId="0" fontId="7" fillId="16" borderId="17" xfId="0" applyFont="1" applyFill="1" applyBorder="1" applyAlignment="1">
      <alignment horizontal="left" vertical="center" wrapText="1"/>
    </xf>
    <xf numFmtId="14" fontId="6" fillId="16" borderId="10" xfId="0" applyNumberFormat="1" applyFont="1" applyFill="1" applyBorder="1" applyAlignment="1">
      <alignment horizontal="justify" wrapText="1"/>
    </xf>
    <xf numFmtId="171" fontId="6" fillId="16" borderId="10" xfId="46" applyNumberFormat="1" applyFont="1" applyFill="1" applyBorder="1" applyAlignment="1">
      <alignment horizontal="right"/>
    </xf>
    <xf numFmtId="0" fontId="17" fillId="16" borderId="23" xfId="0" applyFont="1" applyFill="1" applyBorder="1" applyAlignment="1">
      <alignment horizontal="center" wrapText="1"/>
    </xf>
    <xf numFmtId="0" fontId="17" fillId="16" borderId="23" xfId="0" applyFont="1" applyFill="1" applyBorder="1" applyAlignment="1">
      <alignment horizontal="center" vertical="center" wrapText="1"/>
    </xf>
    <xf numFmtId="1" fontId="6" fillId="16" borderId="10" xfId="0" applyNumberFormat="1" applyFont="1" applyFill="1" applyBorder="1" applyAlignment="1">
      <alignment wrapText="1"/>
    </xf>
    <xf numFmtId="14" fontId="6" fillId="16" borderId="10" xfId="0" applyNumberFormat="1" applyFont="1" applyFill="1" applyBorder="1" applyAlignment="1">
      <alignment wrapText="1"/>
    </xf>
    <xf numFmtId="4" fontId="6" fillId="16" borderId="10" xfId="0" applyNumberFormat="1" applyFont="1" applyFill="1" applyBorder="1" applyAlignment="1">
      <alignment/>
    </xf>
    <xf numFmtId="4" fontId="7" fillId="16" borderId="10" xfId="0" applyNumberFormat="1" applyFont="1" applyFill="1" applyBorder="1" applyAlignment="1">
      <alignment horizontal="right" wrapText="1"/>
    </xf>
    <xf numFmtId="0" fontId="6" fillId="16" borderId="15" xfId="0" applyFont="1" applyFill="1" applyBorder="1" applyAlignment="1">
      <alignment/>
    </xf>
    <xf numFmtId="1" fontId="6" fillId="16" borderId="10" xfId="0" applyNumberFormat="1" applyFont="1" applyFill="1" applyBorder="1" applyAlignment="1">
      <alignment/>
    </xf>
    <xf numFmtId="0" fontId="17" fillId="16" borderId="15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1" fontId="6" fillId="16" borderId="10" xfId="0" applyNumberFormat="1" applyFont="1" applyFill="1" applyBorder="1" applyAlignment="1">
      <alignment horizontal="right"/>
    </xf>
    <xf numFmtId="0" fontId="6" fillId="16" borderId="15" xfId="0" applyFont="1" applyFill="1" applyBorder="1" applyAlignment="1">
      <alignment wrapText="1"/>
    </xf>
    <xf numFmtId="4" fontId="6" fillId="16" borderId="1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6" xfId="0" applyFont="1" applyBorder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16" borderId="15" xfId="0" applyFont="1" applyFill="1" applyBorder="1" applyAlignment="1">
      <alignment horizontal="left" wrapText="1"/>
    </xf>
    <xf numFmtId="0" fontId="6" fillId="16" borderId="17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" fontId="10" fillId="0" borderId="25" xfId="0" applyNumberFormat="1" applyFont="1" applyBorder="1" applyAlignment="1" applyProtection="1">
      <alignment horizontal="right"/>
      <protection/>
    </xf>
    <xf numFmtId="4" fontId="10" fillId="0" borderId="13" xfId="0" applyNumberFormat="1" applyFont="1" applyBorder="1" applyAlignment="1" applyProtection="1">
      <alignment horizontal="right"/>
      <protection/>
    </xf>
    <xf numFmtId="4" fontId="10" fillId="0" borderId="26" xfId="0" applyNumberFormat="1" applyFont="1" applyBorder="1" applyAlignment="1" applyProtection="1">
      <alignment horizontal="right"/>
      <protection/>
    </xf>
    <xf numFmtId="4" fontId="16" fillId="0" borderId="20" xfId="0" applyNumberFormat="1" applyFont="1" applyBorder="1" applyAlignment="1" applyProtection="1">
      <alignment horizontal="right"/>
      <protection/>
    </xf>
    <xf numFmtId="4" fontId="16" fillId="0" borderId="11" xfId="0" applyNumberFormat="1" applyFont="1" applyBorder="1" applyAlignment="1" applyProtection="1">
      <alignment horizontal="right"/>
      <protection/>
    </xf>
    <xf numFmtId="4" fontId="16" fillId="0" borderId="14" xfId="0" applyNumberFormat="1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18" xfId="0" applyNumberFormat="1" applyFont="1" applyBorder="1" applyAlignment="1" applyProtection="1">
      <alignment horizontal="right"/>
      <protection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25" borderId="15" xfId="0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0" fillId="25" borderId="17" xfId="0" applyFont="1" applyFill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2" width="9.140625" style="1" customWidth="1"/>
    <col min="3" max="3" width="8.8515625" style="1" customWidth="1"/>
    <col min="4" max="4" width="11.140625" style="1" customWidth="1"/>
    <col min="5" max="5" width="10.7109375" style="1" customWidth="1"/>
    <col min="6" max="6" width="11.7109375" style="1" customWidth="1"/>
    <col min="7" max="7" width="8.8515625" style="1" customWidth="1"/>
    <col min="8" max="8" width="8.421875" style="1" customWidth="1"/>
    <col min="9" max="10" width="10.00390625" style="1" customWidth="1"/>
    <col min="11" max="11" width="11.8515625" style="1" customWidth="1"/>
    <col min="12" max="12" width="12.28125" style="1" customWidth="1"/>
    <col min="13" max="13" width="11.421875" style="1" customWidth="1"/>
    <col min="14" max="16384" width="9.140625" style="1" customWidth="1"/>
  </cols>
  <sheetData>
    <row r="2" spans="1:11" ht="14.25">
      <c r="A2" s="239" t="s">
        <v>208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6" spans="1:10" ht="12.75">
      <c r="A6" s="134" t="s">
        <v>195</v>
      </c>
      <c r="B6" s="135"/>
      <c r="C6" s="135"/>
      <c r="D6" s="136" t="str">
        <f>+Complessivo!D2</f>
        <v>HEALT NET COMMUNITY</v>
      </c>
      <c r="E6" s="137"/>
      <c r="I6" s="1" t="s">
        <v>96</v>
      </c>
      <c r="J6" s="10">
        <v>38559</v>
      </c>
    </row>
    <row r="7" spans="1:10" ht="12.75">
      <c r="A7" s="138" t="s">
        <v>33</v>
      </c>
      <c r="B7" s="9"/>
      <c r="C7" s="9"/>
      <c r="D7" s="26">
        <f>+Complessivo!G2</f>
        <v>1499998</v>
      </c>
      <c r="E7" s="139">
        <f>+Complessivo!H2</f>
        <v>0.6845871982359224</v>
      </c>
      <c r="I7" s="1" t="s">
        <v>97</v>
      </c>
      <c r="J7" s="10">
        <v>39381</v>
      </c>
    </row>
    <row r="8" spans="1:9" ht="12.75">
      <c r="A8" s="138" t="s">
        <v>34</v>
      </c>
      <c r="B8" s="9"/>
      <c r="C8" s="9"/>
      <c r="D8" s="26">
        <f>+Complessivo!G3</f>
        <v>750000</v>
      </c>
      <c r="E8" s="139">
        <f>+Complessivo!H3</f>
        <v>0.6825039321196581</v>
      </c>
      <c r="I8" s="11" t="s">
        <v>403</v>
      </c>
    </row>
    <row r="9" spans="1:5" ht="12.75">
      <c r="A9" s="138" t="s">
        <v>35</v>
      </c>
      <c r="B9" s="9"/>
      <c r="C9" s="9"/>
      <c r="D9" s="26">
        <f>+Complessivo!G4</f>
        <v>58500</v>
      </c>
      <c r="E9" s="139">
        <f>+Complessivo!H4</f>
        <v>0.026696837606837606</v>
      </c>
    </row>
    <row r="10" spans="1:10" ht="12.75">
      <c r="A10" s="140" t="s">
        <v>36</v>
      </c>
      <c r="B10" s="8"/>
      <c r="C10" s="8"/>
      <c r="D10" s="141">
        <f>+Complessivo!G5</f>
        <v>808500</v>
      </c>
      <c r="E10" s="142">
        <f>+Complessivo!H5</f>
        <v>0.6350522128506414</v>
      </c>
      <c r="I10" s="11" t="s">
        <v>213</v>
      </c>
      <c r="J10" s="4">
        <v>0.5</v>
      </c>
    </row>
    <row r="12" spans="4:6" ht="12.75">
      <c r="D12" s="133" t="s">
        <v>196</v>
      </c>
      <c r="E12" s="133" t="s">
        <v>197</v>
      </c>
      <c r="F12" s="133" t="s">
        <v>198</v>
      </c>
    </row>
    <row r="13" spans="1:6" ht="12.75">
      <c r="A13" s="143" t="s">
        <v>6</v>
      </c>
      <c r="B13" s="135"/>
      <c r="C13" s="135"/>
      <c r="D13" s="144">
        <v>1062151</v>
      </c>
      <c r="E13" s="145">
        <f>+Complessivo!M22</f>
        <v>238291.33499999996</v>
      </c>
      <c r="F13" s="3">
        <f aca="true" t="shared" si="0" ref="F13:F19">+D13-E13</f>
        <v>823859.665</v>
      </c>
    </row>
    <row r="14" spans="1:6" ht="12.75">
      <c r="A14" s="138" t="s">
        <v>7</v>
      </c>
      <c r="B14" s="9"/>
      <c r="C14" s="9"/>
      <c r="D14" s="26">
        <v>115287</v>
      </c>
      <c r="E14" s="146">
        <f>+Complessivo!M67</f>
        <v>36874.33</v>
      </c>
      <c r="F14" s="3">
        <f t="shared" si="0"/>
        <v>78412.67</v>
      </c>
    </row>
    <row r="15" spans="1:6" ht="12.75">
      <c r="A15" s="138" t="s">
        <v>1</v>
      </c>
      <c r="B15" s="9"/>
      <c r="C15" s="9"/>
      <c r="D15" s="26">
        <f>+Complessivo!M99</f>
        <v>112511</v>
      </c>
      <c r="E15" s="146">
        <f>+Complessivo!M108</f>
        <v>83071</v>
      </c>
      <c r="F15" s="3">
        <f t="shared" si="0"/>
        <v>29440</v>
      </c>
    </row>
    <row r="16" spans="1:6" ht="12.75">
      <c r="A16" s="138" t="s">
        <v>8</v>
      </c>
      <c r="B16" s="9"/>
      <c r="C16" s="9"/>
      <c r="D16" s="26">
        <v>45629</v>
      </c>
      <c r="E16" s="146">
        <f>+Complessivo!M126</f>
        <v>17762</v>
      </c>
      <c r="F16" s="3">
        <f t="shared" si="0"/>
        <v>27867</v>
      </c>
    </row>
    <row r="17" spans="1:6" ht="12.75">
      <c r="A17" s="138" t="s">
        <v>23</v>
      </c>
      <c r="B17" s="9"/>
      <c r="C17" s="9"/>
      <c r="D17" s="26">
        <f>+Complessivo!M138</f>
        <v>37019</v>
      </c>
      <c r="E17" s="146">
        <f>+Complessivo!M147</f>
        <v>37019</v>
      </c>
      <c r="F17" s="3">
        <f t="shared" si="0"/>
        <v>0</v>
      </c>
    </row>
    <row r="18" spans="1:6" ht="12.75">
      <c r="A18" s="138" t="s">
        <v>9</v>
      </c>
      <c r="B18" s="9"/>
      <c r="C18" s="9"/>
      <c r="D18" s="26">
        <f>+Complessivo!M162</f>
        <v>52401</v>
      </c>
      <c r="E18" s="146">
        <f>+Complessivo!M171</f>
        <v>52401</v>
      </c>
      <c r="F18" s="3">
        <f t="shared" si="0"/>
        <v>0</v>
      </c>
    </row>
    <row r="19" spans="1:6" ht="12.75">
      <c r="A19" s="140" t="s">
        <v>10</v>
      </c>
      <c r="B19" s="8"/>
      <c r="C19" s="8"/>
      <c r="D19" s="141">
        <f>+Complessivo!M179</f>
        <v>75000</v>
      </c>
      <c r="E19" s="147">
        <f>+Complessivo!M188</f>
        <v>33426.42682051282</v>
      </c>
      <c r="F19" s="3">
        <f t="shared" si="0"/>
        <v>41573.57317948718</v>
      </c>
    </row>
    <row r="20" spans="4:10" ht="12.75">
      <c r="D20" s="3">
        <f>SUM(D13:D19)</f>
        <v>1499998</v>
      </c>
      <c r="E20" s="3">
        <f>SUM(E13:E19)</f>
        <v>498845.0918205128</v>
      </c>
      <c r="F20" s="3">
        <f>+D20-E20</f>
        <v>1001152.9081794872</v>
      </c>
      <c r="G20" s="171"/>
      <c r="I20" s="2"/>
      <c r="J20" s="148"/>
    </row>
    <row r="22" spans="4:11" ht="21">
      <c r="D22" s="5" t="s">
        <v>21</v>
      </c>
      <c r="E22" s="5" t="s">
        <v>79</v>
      </c>
      <c r="F22" s="149" t="s">
        <v>80</v>
      </c>
      <c r="G22" s="5" t="s">
        <v>22</v>
      </c>
      <c r="H22" s="5" t="s">
        <v>81</v>
      </c>
      <c r="I22" s="149" t="s">
        <v>82</v>
      </c>
      <c r="J22" s="5" t="s">
        <v>83</v>
      </c>
      <c r="K22" s="5" t="s">
        <v>84</v>
      </c>
    </row>
    <row r="23" spans="1:11" ht="12.75">
      <c r="A23" s="1" t="s">
        <v>85</v>
      </c>
      <c r="D23" s="3">
        <f>+Complessivo!M2</f>
        <v>1023755.8981794872</v>
      </c>
      <c r="E23" s="3">
        <f>+Complessivo!N2</f>
        <v>3123.5299999999997</v>
      </c>
      <c r="F23" s="3">
        <f>+Complessivo!O2</f>
        <v>1026879.4281794871</v>
      </c>
      <c r="G23" s="3">
        <f>+Complessivo!P2</f>
        <v>511877.9490897436</v>
      </c>
      <c r="H23" s="3">
        <f>+Complessivo!Q2</f>
        <v>1561.7649999999999</v>
      </c>
      <c r="I23" s="3">
        <f>+Complessivo!R2</f>
        <v>513439.71408974356</v>
      </c>
      <c r="J23" s="3">
        <f>+Complessivo!S2</f>
        <v>225000.00000000003</v>
      </c>
      <c r="K23" s="3">
        <f>+Complessivo!T2</f>
        <v>319980.69943108974</v>
      </c>
    </row>
    <row r="24" spans="1:12" ht="12.75">
      <c r="A24" s="2" t="str">
        <f>+Complessivo!C3</f>
        <v>SAL 1  26/07/2005 - 31/10/2005</v>
      </c>
      <c r="B24" s="2"/>
      <c r="D24" s="3">
        <f>+Complessivo!M3</f>
        <v>105997.54999999999</v>
      </c>
      <c r="E24" s="3">
        <f>+Complessivo!N3</f>
        <v>0</v>
      </c>
      <c r="F24" s="3">
        <f>+Complessivo!O3</f>
        <v>105997.54999999999</v>
      </c>
      <c r="G24" s="3">
        <f>+Complessivo!P3</f>
        <v>52998.774999999994</v>
      </c>
      <c r="H24" s="3">
        <f>+Complessivo!Q3</f>
        <v>0</v>
      </c>
      <c r="I24" s="3">
        <f>+Complessivo!R3</f>
        <v>52998.774999999994</v>
      </c>
      <c r="J24" s="3">
        <f>+Complessivo!S3</f>
        <v>19874.540624999998</v>
      </c>
      <c r="K24" s="3">
        <f>+Complessivo!T3</f>
        <v>33124.234375</v>
      </c>
      <c r="L24" s="2"/>
    </row>
    <row r="25" spans="1:12" ht="12.75">
      <c r="A25" s="2" t="str">
        <f>+Complessivo!C4</f>
        <v>SAL 2  01/11/2005 - 31/03/2006</v>
      </c>
      <c r="B25" s="3"/>
      <c r="D25" s="3">
        <f>+Complessivo!M4</f>
        <v>316296.61</v>
      </c>
      <c r="E25" s="3">
        <f>+Complessivo!N4</f>
        <v>800</v>
      </c>
      <c r="F25" s="3">
        <f>+Complessivo!O4</f>
        <v>317096.61</v>
      </c>
      <c r="G25" s="3">
        <f>+Complessivo!P4</f>
        <v>158148.305</v>
      </c>
      <c r="H25" s="3">
        <f>+Complessivo!Q4</f>
        <v>400</v>
      </c>
      <c r="I25" s="3">
        <f>+Complessivo!R4</f>
        <v>158548.305</v>
      </c>
      <c r="J25" s="3">
        <f>+Complessivo!S4</f>
        <v>59455.614375</v>
      </c>
      <c r="K25" s="3">
        <f>+Complessivo!T4</f>
        <v>99092.69062499999</v>
      </c>
      <c r="L25" s="2"/>
    </row>
    <row r="26" spans="1:12" ht="12.75">
      <c r="A26" s="2" t="str">
        <f>+Complessivo!C5</f>
        <v>SAL 3  01/04/2006 - 31/07/2006</v>
      </c>
      <c r="B26" s="3"/>
      <c r="D26" s="3">
        <f>+Complessivo!M5</f>
        <v>158463.174</v>
      </c>
      <c r="E26" s="3">
        <f>+Complessivo!N5</f>
        <v>0</v>
      </c>
      <c r="F26" s="3">
        <f>+Complessivo!O5</f>
        <v>158463.174</v>
      </c>
      <c r="G26" s="3">
        <f>+Complessivo!P5</f>
        <v>79231.587</v>
      </c>
      <c r="H26" s="3">
        <f>+Complessivo!Q5</f>
        <v>0</v>
      </c>
      <c r="I26" s="3">
        <f>+Complessivo!R5</f>
        <v>79231.587</v>
      </c>
      <c r="J26" s="3">
        <f>+Complessivo!S5</f>
        <v>29711.845125000003</v>
      </c>
      <c r="K26" s="3">
        <f>+Complessivo!T5</f>
        <v>49519.741875</v>
      </c>
      <c r="L26" s="2"/>
    </row>
    <row r="27" spans="1:12" ht="12.75">
      <c r="A27" s="2" t="str">
        <f>+Complessivo!C6</f>
        <v>SAL 4  01/08/2006 - 30/11/2006</v>
      </c>
      <c r="B27" s="3"/>
      <c r="D27" s="3">
        <f>+Complessivo!M6</f>
        <v>171751.085</v>
      </c>
      <c r="E27" s="3">
        <f>+Complessivo!N6</f>
        <v>0</v>
      </c>
      <c r="F27" s="3">
        <f>+Complessivo!O6</f>
        <v>171751.085</v>
      </c>
      <c r="G27" s="3">
        <f>+Complessivo!P6</f>
        <v>85875.5425</v>
      </c>
      <c r="H27" s="3">
        <f>+Complessivo!Q6</f>
        <v>0</v>
      </c>
      <c r="I27" s="3">
        <f>+Complessivo!R6</f>
        <v>85875.5425</v>
      </c>
      <c r="J27" s="3">
        <f>+Complessivo!S6</f>
        <v>32203.328437499997</v>
      </c>
      <c r="K27" s="3">
        <f>+Complessivo!T6</f>
        <v>53672.2140625</v>
      </c>
      <c r="L27" s="229"/>
    </row>
    <row r="28" spans="1:14" ht="12.75">
      <c r="A28" s="167" t="s">
        <v>407</v>
      </c>
      <c r="B28" s="3"/>
      <c r="D28" s="3">
        <f>+Complessivo!M7</f>
        <v>114624.25584615384</v>
      </c>
      <c r="E28" s="3">
        <f>+Complessivo!N7</f>
        <v>0</v>
      </c>
      <c r="F28" s="3">
        <f>+Complessivo!O7</f>
        <v>114624.25584615384</v>
      </c>
      <c r="G28" s="3">
        <f>+Complessivo!P7</f>
        <v>57312.12792307692</v>
      </c>
      <c r="H28" s="3">
        <f>+Complessivo!Q7</f>
        <v>0</v>
      </c>
      <c r="I28" s="3">
        <f>+Complessivo!R7</f>
        <v>57312.12792307692</v>
      </c>
      <c r="J28" s="3">
        <f>+Complessivo!S7</f>
        <v>21492.047971153846</v>
      </c>
      <c r="K28" s="3">
        <f>+Complessivo!T7</f>
        <v>35820.07995192307</v>
      </c>
      <c r="L28" s="229"/>
      <c r="M28" s="3"/>
      <c r="N28" s="3"/>
    </row>
    <row r="29" spans="1:14" ht="12.75">
      <c r="A29" s="167" t="s">
        <v>428</v>
      </c>
      <c r="B29" s="3"/>
      <c r="D29" s="3">
        <f>+Complessivo!M8</f>
        <v>65237.17333333333</v>
      </c>
      <c r="E29" s="3">
        <f>+Complessivo!N8</f>
        <v>490.2</v>
      </c>
      <c r="F29" s="3">
        <f>+Complessivo!O8</f>
        <v>65727.37333333334</v>
      </c>
      <c r="G29" s="3">
        <f>+Complessivo!P8</f>
        <v>32618.586666666666</v>
      </c>
      <c r="H29" s="3">
        <f>+Complessivo!Q8</f>
        <v>245.1</v>
      </c>
      <c r="I29" s="3">
        <f>+Complessivo!R8</f>
        <v>32863.68666666667</v>
      </c>
      <c r="J29" s="3">
        <f>+Complessivo!S8</f>
        <v>11772.409375</v>
      </c>
      <c r="K29" s="3">
        <f>+Complessivo!T8</f>
        <v>19620.682291666668</v>
      </c>
      <c r="L29" s="229"/>
      <c r="M29" s="3"/>
      <c r="N29" s="3"/>
    </row>
    <row r="30" spans="1:14" ht="12.75">
      <c r="A30" s="167" t="s">
        <v>497</v>
      </c>
      <c r="B30" s="3"/>
      <c r="D30" s="3">
        <f>+Complessivo!M9</f>
        <v>91386.05</v>
      </c>
      <c r="E30" s="3">
        <f>+Complessivo!N9</f>
        <v>1833.33</v>
      </c>
      <c r="F30" s="3">
        <f>+Complessivo!O9</f>
        <v>93219.37999999999</v>
      </c>
      <c r="G30" s="3">
        <f>+Complessivo!P9</f>
        <v>45693.025</v>
      </c>
      <c r="H30" s="3">
        <f>+Complessivo!Q9</f>
        <v>916.665</v>
      </c>
      <c r="I30" s="3">
        <f>+Complessivo!R9</f>
        <v>46609.689999999995</v>
      </c>
      <c r="J30" s="3">
        <f>+Complessivo!S9</f>
        <v>50490.21409134619</v>
      </c>
      <c r="K30" s="3">
        <f>+Complessivo!T9</f>
        <v>29131.05625</v>
      </c>
      <c r="L30" s="229"/>
      <c r="M30" s="3"/>
      <c r="N30" s="3"/>
    </row>
    <row r="31" spans="1:14" ht="12.75">
      <c r="A31" s="167"/>
      <c r="B31" s="3"/>
      <c r="D31" s="3"/>
      <c r="E31" s="3"/>
      <c r="F31" s="3"/>
      <c r="G31" s="3"/>
      <c r="H31" s="3"/>
      <c r="I31" s="3"/>
      <c r="J31" s="3"/>
      <c r="K31" s="151"/>
      <c r="L31" s="172"/>
      <c r="M31" s="3"/>
      <c r="N31" s="3"/>
    </row>
    <row r="32" spans="1:14" ht="12.75">
      <c r="A32" s="167"/>
      <c r="B32" s="3"/>
      <c r="D32" s="3"/>
      <c r="E32" s="3"/>
      <c r="F32" s="3"/>
      <c r="G32" s="3" t="s">
        <v>543</v>
      </c>
      <c r="H32" s="3"/>
      <c r="I32" s="3"/>
      <c r="J32" s="3"/>
      <c r="K32" s="3">
        <f>SUM(Complessivo!U3:U6)+Complessivo!V2</f>
        <v>590766.62</v>
      </c>
      <c r="L32" s="172"/>
      <c r="M32" s="3"/>
      <c r="N32" s="3"/>
    </row>
    <row r="33" spans="1:14" ht="12.75">
      <c r="A33" s="167"/>
      <c r="B33" s="3"/>
      <c r="D33" s="3"/>
      <c r="E33" s="3"/>
      <c r="F33" s="3"/>
      <c r="G33" s="3" t="s">
        <v>544</v>
      </c>
      <c r="H33" s="3"/>
      <c r="I33" s="3"/>
      <c r="J33" s="3"/>
      <c r="K33" s="3">
        <f>+I23</f>
        <v>513439.71408974356</v>
      </c>
      <c r="L33" s="172"/>
      <c r="M33" s="3"/>
      <c r="N33" s="3"/>
    </row>
    <row r="34" spans="1:14" ht="12.75">
      <c r="A34" s="167"/>
      <c r="B34" s="3"/>
      <c r="D34" s="3"/>
      <c r="E34" s="3"/>
      <c r="F34" s="3"/>
      <c r="G34" s="3" t="s">
        <v>545</v>
      </c>
      <c r="H34" s="3"/>
      <c r="I34" s="3"/>
      <c r="J34" s="3"/>
      <c r="K34" s="151">
        <f>+K33-K32</f>
        <v>-77326.90591025644</v>
      </c>
      <c r="L34" s="172"/>
      <c r="M34" s="3"/>
      <c r="N34" s="3"/>
    </row>
    <row r="35" spans="1:14" ht="12.75">
      <c r="A35" s="167"/>
      <c r="B35" s="3"/>
      <c r="D35" s="3"/>
      <c r="E35" s="3"/>
      <c r="F35" s="3"/>
      <c r="G35" s="3"/>
      <c r="H35" s="3"/>
      <c r="I35" s="3"/>
      <c r="J35" s="3"/>
      <c r="K35" s="151"/>
      <c r="L35" s="172"/>
      <c r="M35" s="3"/>
      <c r="N35" s="3"/>
    </row>
    <row r="36" spans="1:14" ht="12.75">
      <c r="A36" s="167"/>
      <c r="B36" s="3"/>
      <c r="D36" s="3"/>
      <c r="E36" s="3"/>
      <c r="F36" s="3"/>
      <c r="G36" s="3" t="s">
        <v>546</v>
      </c>
      <c r="H36" s="3"/>
      <c r="I36" s="3"/>
      <c r="J36" s="3"/>
      <c r="K36" s="151">
        <f>+D10-K33</f>
        <v>295060.28591025644</v>
      </c>
      <c r="L36" s="172"/>
      <c r="M36" s="3"/>
      <c r="N36" s="3"/>
    </row>
    <row r="37" spans="5:10" ht="12.75">
      <c r="E37" s="6"/>
      <c r="F37" s="2"/>
      <c r="I37" s="2"/>
      <c r="J37" s="2"/>
    </row>
    <row r="38" spans="1:12" ht="25.5">
      <c r="A38" s="242" t="s">
        <v>199</v>
      </c>
      <c r="B38" s="243"/>
      <c r="C38" s="243"/>
      <c r="D38" s="243"/>
      <c r="E38" s="243"/>
      <c r="F38" s="243"/>
      <c r="G38" s="243"/>
      <c r="H38" s="244"/>
      <c r="I38" s="150" t="s">
        <v>90</v>
      </c>
      <c r="J38" s="7" t="s">
        <v>206</v>
      </c>
      <c r="K38" s="9"/>
      <c r="L38" s="2"/>
    </row>
    <row r="39" spans="1:11" ht="12.75">
      <c r="A39" s="9" t="s">
        <v>200</v>
      </c>
      <c r="B39" s="9"/>
      <c r="C39" s="9"/>
      <c r="D39" s="9"/>
      <c r="E39" s="9"/>
      <c r="F39" s="9"/>
      <c r="G39" s="9"/>
      <c r="H39" s="9"/>
      <c r="I39" s="9"/>
      <c r="J39" s="152"/>
      <c r="K39" s="9"/>
    </row>
    <row r="40" spans="1:11" ht="12.75">
      <c r="A40" s="9" t="s">
        <v>337</v>
      </c>
      <c r="B40" s="9"/>
      <c r="C40" s="9"/>
      <c r="D40" s="9"/>
      <c r="E40" s="9"/>
      <c r="F40" s="170"/>
      <c r="G40" s="9"/>
      <c r="H40" s="9"/>
      <c r="I40" s="9"/>
      <c r="J40" s="152"/>
      <c r="K40" s="9"/>
    </row>
    <row r="41" spans="1:11" ht="12.75">
      <c r="A41" s="9" t="s">
        <v>201</v>
      </c>
      <c r="B41" s="9"/>
      <c r="C41" s="9"/>
      <c r="D41" s="9"/>
      <c r="E41" s="9"/>
      <c r="F41" s="9"/>
      <c r="G41" s="9"/>
      <c r="H41" s="9"/>
      <c r="I41" s="9"/>
      <c r="J41" s="152"/>
      <c r="K41" s="9"/>
    </row>
    <row r="42" spans="1:11" ht="12.75">
      <c r="A42" s="9" t="s">
        <v>207</v>
      </c>
      <c r="B42" s="9"/>
      <c r="C42" s="9"/>
      <c r="D42" s="9"/>
      <c r="E42" s="9"/>
      <c r="F42" s="9"/>
      <c r="G42" s="9"/>
      <c r="H42" s="9"/>
      <c r="I42" s="9"/>
      <c r="J42" s="152"/>
      <c r="K42" s="9"/>
    </row>
    <row r="43" spans="1:11" ht="12.75">
      <c r="A43" s="9" t="s">
        <v>202</v>
      </c>
      <c r="B43" s="9"/>
      <c r="C43" s="9"/>
      <c r="D43" s="9"/>
      <c r="E43" s="9"/>
      <c r="F43" s="9"/>
      <c r="G43" s="9"/>
      <c r="H43" s="9"/>
      <c r="I43" s="9"/>
      <c r="J43" s="152"/>
      <c r="K43" s="9"/>
    </row>
    <row r="44" spans="1:11" ht="12.75">
      <c r="A44" s="9" t="s">
        <v>203</v>
      </c>
      <c r="B44" s="9"/>
      <c r="C44" s="9"/>
      <c r="D44" s="9"/>
      <c r="E44" s="9"/>
      <c r="F44" s="9"/>
      <c r="G44" s="9"/>
      <c r="H44" s="9"/>
      <c r="I44" s="9"/>
      <c r="J44" s="153"/>
      <c r="K44" s="9"/>
    </row>
    <row r="45" spans="1:11" ht="12.75">
      <c r="A45" s="9" t="s">
        <v>204</v>
      </c>
      <c r="B45" s="9"/>
      <c r="C45" s="9"/>
      <c r="D45" s="9"/>
      <c r="E45" s="9"/>
      <c r="F45" s="9"/>
      <c r="G45" s="9"/>
      <c r="H45" s="9"/>
      <c r="I45" s="9"/>
      <c r="J45" s="152"/>
      <c r="K45" s="9"/>
    </row>
    <row r="46" ht="12.75">
      <c r="E46" s="6"/>
    </row>
    <row r="47" ht="12.75">
      <c r="E47" s="6"/>
    </row>
    <row r="48" spans="1:11" ht="12.75">
      <c r="A48" s="240" t="s">
        <v>86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51" spans="1:11" ht="23.25" customHeight="1">
      <c r="A51" s="241" t="s">
        <v>87</v>
      </c>
      <c r="B51" s="241"/>
      <c r="C51" s="241"/>
      <c r="D51" s="241"/>
      <c r="E51" s="241"/>
      <c r="F51" s="241"/>
      <c r="G51" s="230" t="s">
        <v>88</v>
      </c>
      <c r="H51" s="230"/>
      <c r="I51" s="230"/>
      <c r="J51" s="230"/>
      <c r="K51" s="230"/>
    </row>
    <row r="52" spans="1:11" ht="25.5" customHeight="1">
      <c r="A52" s="248" t="s">
        <v>89</v>
      </c>
      <c r="B52" s="249"/>
      <c r="C52" s="249"/>
      <c r="D52" s="249"/>
      <c r="E52" s="249"/>
      <c r="F52" s="250"/>
      <c r="G52" s="245" t="s">
        <v>211</v>
      </c>
      <c r="H52" s="246"/>
      <c r="I52" s="246"/>
      <c r="J52" s="246"/>
      <c r="K52" s="247"/>
    </row>
    <row r="53" spans="1:11" ht="27.75" customHeight="1">
      <c r="A53" s="233" t="s">
        <v>91</v>
      </c>
      <c r="B53" s="234"/>
      <c r="C53" s="234"/>
      <c r="D53" s="234"/>
      <c r="E53" s="234"/>
      <c r="F53" s="235"/>
      <c r="G53" s="236" t="s">
        <v>92</v>
      </c>
      <c r="H53" s="237"/>
      <c r="I53" s="237"/>
      <c r="J53" s="237"/>
      <c r="K53" s="238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6" spans="1:1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9" t="s">
        <v>205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3.5" customHeight="1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2" spans="1:9" ht="12.75">
      <c r="A62" s="230" t="s">
        <v>93</v>
      </c>
      <c r="B62" s="230"/>
      <c r="C62" s="230"/>
      <c r="D62" s="230" t="s">
        <v>94</v>
      </c>
      <c r="E62" s="230"/>
      <c r="F62" s="230"/>
      <c r="G62" s="230" t="s">
        <v>95</v>
      </c>
      <c r="H62" s="230"/>
      <c r="I62" s="230"/>
    </row>
    <row r="63" spans="1:9" ht="23.25" customHeight="1">
      <c r="A63" s="230"/>
      <c r="B63" s="230"/>
      <c r="C63" s="230"/>
      <c r="D63" s="230"/>
      <c r="E63" s="230"/>
      <c r="F63" s="230"/>
      <c r="G63" s="230"/>
      <c r="H63" s="230"/>
      <c r="I63" s="230"/>
    </row>
    <row r="64" spans="1:9" ht="23.25" customHeight="1">
      <c r="A64" s="230"/>
      <c r="B64" s="230"/>
      <c r="C64" s="230"/>
      <c r="D64" s="230"/>
      <c r="E64" s="230"/>
      <c r="F64" s="230"/>
      <c r="G64" s="230"/>
      <c r="H64" s="230"/>
      <c r="I64" s="230"/>
    </row>
  </sheetData>
  <sheetProtection/>
  <mergeCells count="20">
    <mergeCell ref="G62:I62"/>
    <mergeCell ref="A53:F53"/>
    <mergeCell ref="G53:K53"/>
    <mergeCell ref="A2:K2"/>
    <mergeCell ref="A48:K48"/>
    <mergeCell ref="A51:F51"/>
    <mergeCell ref="G51:K51"/>
    <mergeCell ref="A38:H38"/>
    <mergeCell ref="G52:K52"/>
    <mergeCell ref="A52:F52"/>
    <mergeCell ref="L27:L30"/>
    <mergeCell ref="A64:C64"/>
    <mergeCell ref="D64:F64"/>
    <mergeCell ref="G64:I64"/>
    <mergeCell ref="A63:C63"/>
    <mergeCell ref="D63:F63"/>
    <mergeCell ref="G63:I63"/>
    <mergeCell ref="A58:K58"/>
    <mergeCell ref="A62:C62"/>
    <mergeCell ref="D62:F62"/>
  </mergeCell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&amp;CPagina &amp;P&amp;D&amp;N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8"/>
  <sheetViews>
    <sheetView showGridLines="0" showZeros="0" zoomScale="85" zoomScaleNormal="85" zoomScalePageLayoutView="0" workbookViewId="0" topLeftCell="A1">
      <pane xSplit="3" ySplit="10" topLeftCell="I24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60" sqref="M260"/>
    </sheetView>
  </sheetViews>
  <sheetFormatPr defaultColWidth="9.140625" defaultRowHeight="12.75"/>
  <cols>
    <col min="1" max="1" width="3.28125" style="12" customWidth="1"/>
    <col min="2" max="2" width="3.57421875" style="84" customWidth="1"/>
    <col min="3" max="3" width="13.140625" style="27" customWidth="1"/>
    <col min="4" max="4" width="23.140625" style="27" customWidth="1"/>
    <col min="5" max="5" width="16.7109375" style="27" customWidth="1"/>
    <col min="6" max="6" width="10.28125" style="27" customWidth="1"/>
    <col min="7" max="7" width="15.00390625" style="27" customWidth="1"/>
    <col min="8" max="8" width="10.28125" style="27" customWidth="1"/>
    <col min="9" max="9" width="9.421875" style="27" customWidth="1"/>
    <col min="10" max="11" width="10.140625" style="27" customWidth="1"/>
    <col min="12" max="12" width="11.421875" style="85" customWidth="1"/>
    <col min="13" max="13" width="13.140625" style="86" customWidth="1"/>
    <col min="14" max="14" width="12.140625" style="27" customWidth="1"/>
    <col min="15" max="15" width="13.140625" style="85" customWidth="1"/>
    <col min="16" max="16" width="12.7109375" style="27" customWidth="1"/>
    <col min="17" max="17" width="12.00390625" style="27" customWidth="1"/>
    <col min="18" max="18" width="13.421875" style="85" customWidth="1"/>
    <col min="19" max="19" width="11.140625" style="27" bestFit="1" customWidth="1"/>
    <col min="20" max="20" width="11.8515625" style="87" customWidth="1"/>
    <col min="21" max="21" width="13.140625" style="27" customWidth="1"/>
    <col min="22" max="16384" width="9.140625" style="27" customWidth="1"/>
  </cols>
  <sheetData>
    <row r="1" spans="1:20" s="12" customFormat="1" ht="15">
      <c r="A1" s="282" t="s">
        <v>48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4"/>
    </row>
    <row r="2" spans="1:22" ht="10.5">
      <c r="A2" s="13"/>
      <c r="B2" s="14"/>
      <c r="C2" s="15" t="s">
        <v>0</v>
      </c>
      <c r="D2" s="16" t="s">
        <v>49</v>
      </c>
      <c r="E2" s="285" t="s">
        <v>33</v>
      </c>
      <c r="F2" s="285"/>
      <c r="G2" s="17">
        <f>+M13+M58+M99+M117+M138+M162+M179</f>
        <v>1499998</v>
      </c>
      <c r="H2" s="18">
        <f>+O2/G2</f>
        <v>0.6845871982359224</v>
      </c>
      <c r="I2" s="19" t="s">
        <v>32</v>
      </c>
      <c r="J2" s="20">
        <v>38559</v>
      </c>
      <c r="K2" s="21">
        <f>G4</f>
        <v>58500</v>
      </c>
      <c r="L2" s="22" t="s">
        <v>29</v>
      </c>
      <c r="M2" s="23">
        <f>SUM(M3:M11)</f>
        <v>1023755.8981794872</v>
      </c>
      <c r="N2" s="24">
        <f aca="true" t="shared" si="0" ref="N2:T2">SUM(N3:N11)</f>
        <v>3123.5299999999997</v>
      </c>
      <c r="O2" s="25">
        <f t="shared" si="0"/>
        <v>1026879.4281794871</v>
      </c>
      <c r="P2" s="24">
        <f t="shared" si="0"/>
        <v>511877.9490897436</v>
      </c>
      <c r="Q2" s="24">
        <f t="shared" si="0"/>
        <v>1561.7649999999999</v>
      </c>
      <c r="R2" s="25">
        <f t="shared" si="0"/>
        <v>513439.71408974356</v>
      </c>
      <c r="S2" s="24">
        <f t="shared" si="0"/>
        <v>225000.00000000003</v>
      </c>
      <c r="T2" s="24">
        <f t="shared" si="0"/>
        <v>319980.69943108974</v>
      </c>
      <c r="U2" s="169" t="s">
        <v>540</v>
      </c>
      <c r="V2" s="26">
        <v>225000</v>
      </c>
    </row>
    <row r="3" spans="1:21" s="33" customFormat="1" ht="10.5">
      <c r="A3" s="28"/>
      <c r="B3" s="14"/>
      <c r="C3" s="29" t="s">
        <v>98</v>
      </c>
      <c r="D3" s="30"/>
      <c r="E3" s="286" t="s">
        <v>34</v>
      </c>
      <c r="F3" s="286"/>
      <c r="G3" s="32">
        <v>750000</v>
      </c>
      <c r="H3" s="18">
        <f>P2/G3</f>
        <v>0.6825039321196581</v>
      </c>
      <c r="J3" s="32" t="s">
        <v>37</v>
      </c>
      <c r="K3" s="24">
        <f>Q2</f>
        <v>1561.7649999999999</v>
      </c>
      <c r="L3" s="22" t="s">
        <v>30</v>
      </c>
      <c r="M3" s="23">
        <f aca="true" t="shared" si="1" ref="M3:T4">M14+M59+M100+M118+M139+M163+M180</f>
        <v>105997.54999999999</v>
      </c>
      <c r="N3" s="23">
        <f t="shared" si="1"/>
        <v>0</v>
      </c>
      <c r="O3" s="25">
        <f t="shared" si="1"/>
        <v>105997.54999999999</v>
      </c>
      <c r="P3" s="24">
        <f t="shared" si="1"/>
        <v>52998.774999999994</v>
      </c>
      <c r="Q3" s="24">
        <f t="shared" si="1"/>
        <v>0</v>
      </c>
      <c r="R3" s="25">
        <f t="shared" si="1"/>
        <v>52998.774999999994</v>
      </c>
      <c r="S3" s="24">
        <f t="shared" si="1"/>
        <v>19874.540624999998</v>
      </c>
      <c r="T3" s="24">
        <f t="shared" si="1"/>
        <v>33124.234375</v>
      </c>
      <c r="U3" s="34">
        <v>37286.94</v>
      </c>
    </row>
    <row r="4" spans="1:21" s="33" customFormat="1" ht="10.5">
      <c r="A4" s="28"/>
      <c r="B4" s="14"/>
      <c r="C4" s="29" t="s">
        <v>100</v>
      </c>
      <c r="D4" s="30"/>
      <c r="E4" s="286" t="s">
        <v>35</v>
      </c>
      <c r="F4" s="286"/>
      <c r="G4" s="32">
        <v>58500</v>
      </c>
      <c r="H4" s="18">
        <f>Q2/G4</f>
        <v>0.026696837606837606</v>
      </c>
      <c r="J4" s="31" t="s">
        <v>38</v>
      </c>
      <c r="K4" s="34">
        <f>K2-K3</f>
        <v>56938.235</v>
      </c>
      <c r="L4" s="22" t="s">
        <v>31</v>
      </c>
      <c r="M4" s="23">
        <f t="shared" si="1"/>
        <v>316296.61</v>
      </c>
      <c r="N4" s="23">
        <f t="shared" si="1"/>
        <v>800</v>
      </c>
      <c r="O4" s="25">
        <f t="shared" si="1"/>
        <v>317096.61</v>
      </c>
      <c r="P4" s="23">
        <f t="shared" si="1"/>
        <v>158148.305</v>
      </c>
      <c r="Q4" s="23">
        <f t="shared" si="1"/>
        <v>400</v>
      </c>
      <c r="R4" s="25">
        <f t="shared" si="1"/>
        <v>158548.305</v>
      </c>
      <c r="S4" s="23">
        <f t="shared" si="1"/>
        <v>59455.614375</v>
      </c>
      <c r="T4" s="23">
        <f t="shared" si="1"/>
        <v>99092.69062499999</v>
      </c>
      <c r="U4" s="34">
        <v>123708.74</v>
      </c>
    </row>
    <row r="5" spans="1:21" s="33" customFormat="1" ht="10.5">
      <c r="A5" s="28"/>
      <c r="B5" s="14"/>
      <c r="C5" s="29" t="s">
        <v>297</v>
      </c>
      <c r="D5" s="30"/>
      <c r="E5" s="286" t="s">
        <v>36</v>
      </c>
      <c r="F5" s="286"/>
      <c r="G5" s="32">
        <f>SUM(G3:G4)</f>
        <v>808500</v>
      </c>
      <c r="H5" s="18">
        <f>R2/G5</f>
        <v>0.6350522128506414</v>
      </c>
      <c r="L5" s="22" t="s">
        <v>298</v>
      </c>
      <c r="M5" s="23">
        <f aca="true" t="shared" si="2" ref="M5:N9">M16+M61+M102+M120+M141+M165+M182</f>
        <v>158463.174</v>
      </c>
      <c r="N5" s="23">
        <f t="shared" si="2"/>
        <v>0</v>
      </c>
      <c r="O5" s="25">
        <f aca="true" t="shared" si="3" ref="O5:T5">O16+O61+O102+O120+O141+O165+O182</f>
        <v>158463.174</v>
      </c>
      <c r="P5" s="23">
        <f t="shared" si="3"/>
        <v>79231.587</v>
      </c>
      <c r="Q5" s="23">
        <f t="shared" si="3"/>
        <v>0</v>
      </c>
      <c r="R5" s="25">
        <f t="shared" si="3"/>
        <v>79231.587</v>
      </c>
      <c r="S5" s="23">
        <f t="shared" si="3"/>
        <v>29711.845125000003</v>
      </c>
      <c r="T5" s="23">
        <f t="shared" si="3"/>
        <v>49519.741875</v>
      </c>
      <c r="U5" s="34">
        <v>65488.76</v>
      </c>
    </row>
    <row r="6" spans="1:21" s="33" customFormat="1" ht="10.5">
      <c r="A6" s="28"/>
      <c r="B6" s="14"/>
      <c r="C6" s="29" t="s">
        <v>302</v>
      </c>
      <c r="D6" s="30"/>
      <c r="E6" s="31"/>
      <c r="F6" s="31"/>
      <c r="G6" s="32"/>
      <c r="H6" s="18"/>
      <c r="L6" s="22" t="s">
        <v>401</v>
      </c>
      <c r="M6" s="23">
        <f t="shared" si="2"/>
        <v>171751.085</v>
      </c>
      <c r="N6" s="23">
        <f t="shared" si="2"/>
        <v>0</v>
      </c>
      <c r="O6" s="25">
        <f aca="true" t="shared" si="4" ref="O6:Q9">O17+O62+O103+O121+O142+O166+O183</f>
        <v>171751.085</v>
      </c>
      <c r="P6" s="23">
        <f t="shared" si="4"/>
        <v>85875.5425</v>
      </c>
      <c r="Q6" s="23">
        <f t="shared" si="4"/>
        <v>0</v>
      </c>
      <c r="R6" s="25">
        <f aca="true" t="shared" si="5" ref="R6:T8">R17+R62+R103+R121+R142+R166+R183</f>
        <v>85875.5425</v>
      </c>
      <c r="S6" s="23">
        <f t="shared" si="5"/>
        <v>32203.328437499997</v>
      </c>
      <c r="T6" s="23">
        <f t="shared" si="5"/>
        <v>53672.2140625</v>
      </c>
      <c r="U6" s="34">
        <v>139282.18</v>
      </c>
    </row>
    <row r="7" spans="1:21" s="33" customFormat="1" ht="10.5">
      <c r="A7" s="28"/>
      <c r="B7" s="14"/>
      <c r="C7" s="29" t="s">
        <v>407</v>
      </c>
      <c r="D7" s="30"/>
      <c r="E7" s="31"/>
      <c r="F7" s="31"/>
      <c r="G7" s="32"/>
      <c r="H7" s="18"/>
      <c r="L7" s="22" t="s">
        <v>404</v>
      </c>
      <c r="M7" s="23">
        <f t="shared" si="2"/>
        <v>114624.25584615384</v>
      </c>
      <c r="N7" s="23">
        <f t="shared" si="2"/>
        <v>0</v>
      </c>
      <c r="O7" s="25">
        <f t="shared" si="4"/>
        <v>114624.25584615384</v>
      </c>
      <c r="P7" s="23">
        <f t="shared" si="4"/>
        <v>57312.12792307692</v>
      </c>
      <c r="Q7" s="23">
        <f t="shared" si="4"/>
        <v>0</v>
      </c>
      <c r="R7" s="25">
        <f t="shared" si="5"/>
        <v>57312.12792307692</v>
      </c>
      <c r="S7" s="23">
        <f t="shared" si="5"/>
        <v>21492.047971153846</v>
      </c>
      <c r="T7" s="23">
        <f t="shared" si="5"/>
        <v>35820.07995192307</v>
      </c>
      <c r="U7" s="34"/>
    </row>
    <row r="8" spans="1:21" s="33" customFormat="1" ht="10.5">
      <c r="A8" s="28"/>
      <c r="B8" s="14"/>
      <c r="C8" s="29" t="s">
        <v>428</v>
      </c>
      <c r="D8" s="30"/>
      <c r="E8" s="31"/>
      <c r="F8" s="31"/>
      <c r="G8" s="32"/>
      <c r="H8" s="18"/>
      <c r="L8" s="22" t="s">
        <v>405</v>
      </c>
      <c r="M8" s="23">
        <f t="shared" si="2"/>
        <v>65237.17333333333</v>
      </c>
      <c r="N8" s="23">
        <f t="shared" si="2"/>
        <v>490.2</v>
      </c>
      <c r="O8" s="25">
        <f t="shared" si="4"/>
        <v>65727.37333333334</v>
      </c>
      <c r="P8" s="23">
        <f t="shared" si="4"/>
        <v>32618.586666666666</v>
      </c>
      <c r="Q8" s="23">
        <f t="shared" si="4"/>
        <v>245.1</v>
      </c>
      <c r="R8" s="25">
        <f t="shared" si="5"/>
        <v>32863.68666666667</v>
      </c>
      <c r="S8" s="23">
        <f t="shared" si="5"/>
        <v>11772.409375</v>
      </c>
      <c r="T8" s="23">
        <f t="shared" si="5"/>
        <v>19620.682291666668</v>
      </c>
      <c r="U8" s="34"/>
    </row>
    <row r="9" spans="1:21" s="33" customFormat="1" ht="10.5">
      <c r="A9" s="28"/>
      <c r="B9" s="14"/>
      <c r="C9" s="29" t="s">
        <v>497</v>
      </c>
      <c r="D9" s="30"/>
      <c r="E9" s="31"/>
      <c r="F9" s="31"/>
      <c r="G9" s="32"/>
      <c r="H9" s="18"/>
      <c r="L9" s="22" t="s">
        <v>406</v>
      </c>
      <c r="M9" s="23">
        <f t="shared" si="2"/>
        <v>91386.05</v>
      </c>
      <c r="N9" s="23">
        <f t="shared" si="2"/>
        <v>1833.33</v>
      </c>
      <c r="O9" s="25">
        <f t="shared" si="4"/>
        <v>93219.37999999999</v>
      </c>
      <c r="P9" s="23">
        <f t="shared" si="4"/>
        <v>45693.025</v>
      </c>
      <c r="Q9" s="23">
        <f t="shared" si="4"/>
        <v>916.665</v>
      </c>
      <c r="R9" s="25">
        <f>R20+R65+R106+R124+R145+R169+R186</f>
        <v>46609.689999999995</v>
      </c>
      <c r="S9" s="23">
        <f>+V2-S8-S7-S6-S5-S4-S3</f>
        <v>50490.21409134619</v>
      </c>
      <c r="T9" s="23">
        <f>T20+T65+T106+T124+T145+T169+T186</f>
        <v>29131.05625</v>
      </c>
      <c r="U9" s="34"/>
    </row>
    <row r="10" spans="1:21" s="33" customFormat="1" ht="10.5">
      <c r="A10" s="28"/>
      <c r="B10" s="14"/>
      <c r="C10" s="29" t="s">
        <v>542</v>
      </c>
      <c r="D10" s="30"/>
      <c r="E10" s="35"/>
      <c r="F10" s="36"/>
      <c r="G10" s="32"/>
      <c r="H10" s="37"/>
      <c r="L10" s="22" t="s">
        <v>542</v>
      </c>
      <c r="M10" s="23"/>
      <c r="N10" s="24"/>
      <c r="O10" s="25"/>
      <c r="P10" s="23"/>
      <c r="Q10" s="23"/>
      <c r="R10" s="25"/>
      <c r="S10" s="23"/>
      <c r="T10" s="23"/>
      <c r="U10" s="34"/>
    </row>
    <row r="11" spans="1:20" s="33" customFormat="1" ht="10.5">
      <c r="A11" s="28"/>
      <c r="B11" s="38"/>
      <c r="C11" s="29"/>
      <c r="D11" s="30"/>
      <c r="E11" s="35"/>
      <c r="F11" s="36"/>
      <c r="G11" s="36"/>
      <c r="H11" s="37"/>
      <c r="L11" s="22"/>
      <c r="M11" s="23"/>
      <c r="N11" s="24"/>
      <c r="O11" s="25"/>
      <c r="P11" s="24"/>
      <c r="Q11" s="24"/>
      <c r="R11" s="25"/>
      <c r="S11" s="24"/>
      <c r="T11" s="24"/>
    </row>
    <row r="12" spans="1:20" ht="10.5">
      <c r="A12" s="39"/>
      <c r="B12" s="40"/>
      <c r="C12" s="278" t="s">
        <v>6</v>
      </c>
      <c r="D12" s="278"/>
      <c r="E12" s="278"/>
      <c r="F12" s="278"/>
      <c r="G12" s="278"/>
      <c r="H12" s="278"/>
      <c r="I12" s="278"/>
      <c r="J12" s="278"/>
      <c r="K12" s="278"/>
      <c r="L12" s="279"/>
      <c r="M12" s="41" t="s">
        <v>43</v>
      </c>
      <c r="N12" s="42" t="s">
        <v>44</v>
      </c>
      <c r="O12" s="43" t="s">
        <v>45</v>
      </c>
      <c r="P12" s="42" t="s">
        <v>46</v>
      </c>
      <c r="Q12" s="42" t="s">
        <v>47</v>
      </c>
      <c r="R12" s="43" t="s">
        <v>42</v>
      </c>
      <c r="S12" s="44" t="s">
        <v>25</v>
      </c>
      <c r="T12" s="45" t="s">
        <v>26</v>
      </c>
    </row>
    <row r="13" spans="1:18" s="12" customFormat="1" ht="10.5">
      <c r="A13" s="270"/>
      <c r="B13" s="271"/>
      <c r="C13" s="46"/>
      <c r="D13" s="47"/>
      <c r="E13" s="47"/>
      <c r="F13" s="47"/>
      <c r="G13" s="47"/>
      <c r="H13" s="47"/>
      <c r="I13" s="47"/>
      <c r="J13" s="47"/>
      <c r="K13" s="48"/>
      <c r="L13" s="49" t="s">
        <v>12</v>
      </c>
      <c r="M13" s="50">
        <v>1104518</v>
      </c>
      <c r="N13" s="50"/>
      <c r="O13" s="51"/>
      <c r="P13" s="52"/>
      <c r="Q13" s="53"/>
      <c r="R13" s="51"/>
    </row>
    <row r="14" spans="1:20" s="12" customFormat="1" ht="10.5">
      <c r="A14" s="270"/>
      <c r="B14" s="271"/>
      <c r="C14" s="54"/>
      <c r="D14" s="55"/>
      <c r="E14" s="55"/>
      <c r="F14" s="55"/>
      <c r="G14" s="55"/>
      <c r="H14" s="55"/>
      <c r="I14" s="55"/>
      <c r="J14" s="55"/>
      <c r="K14" s="56">
        <f>SUM(K24:K55)</f>
        <v>0</v>
      </c>
      <c r="L14" s="57" t="s">
        <v>28</v>
      </c>
      <c r="M14" s="58">
        <f aca="true" t="shared" si="6" ref="M14:R14">SUM(M24:M27)</f>
        <v>105997.54999999999</v>
      </c>
      <c r="N14" s="58">
        <f t="shared" si="6"/>
        <v>0</v>
      </c>
      <c r="O14" s="61">
        <f t="shared" si="6"/>
        <v>105997.54999999999</v>
      </c>
      <c r="P14" s="58">
        <f t="shared" si="6"/>
        <v>52998.774999999994</v>
      </c>
      <c r="Q14" s="58">
        <f t="shared" si="6"/>
        <v>0</v>
      </c>
      <c r="R14" s="61">
        <f t="shared" si="6"/>
        <v>52998.774999999994</v>
      </c>
      <c r="S14" s="59">
        <f aca="true" t="shared" si="7" ref="S14:S20">R14*0.375</f>
        <v>19874.540624999998</v>
      </c>
      <c r="T14" s="59">
        <f aca="true" t="shared" si="8" ref="T14:T20">R14-S14</f>
        <v>33124.234375</v>
      </c>
    </row>
    <row r="15" spans="1:20" s="12" customFormat="1" ht="10.5">
      <c r="A15" s="270"/>
      <c r="B15" s="271"/>
      <c r="C15" s="54"/>
      <c r="D15" s="55"/>
      <c r="E15" s="55"/>
      <c r="F15" s="55"/>
      <c r="G15" s="55"/>
      <c r="H15" s="55"/>
      <c r="I15" s="55"/>
      <c r="J15" s="55"/>
      <c r="K15" s="60"/>
      <c r="L15" s="57" t="s">
        <v>212</v>
      </c>
      <c r="M15" s="58">
        <f>SUM(M28:M32)</f>
        <v>310006.61</v>
      </c>
      <c r="N15" s="58">
        <f>SUM(N28:N32)</f>
        <v>0</v>
      </c>
      <c r="O15" s="61">
        <f aca="true" t="shared" si="9" ref="O15:O20">+N15+M15</f>
        <v>310006.61</v>
      </c>
      <c r="P15" s="58">
        <f>SUM(P28:P32)</f>
        <v>155003.305</v>
      </c>
      <c r="Q15" s="58">
        <f>SUM(Q28:Q32)</f>
        <v>0</v>
      </c>
      <c r="R15" s="61">
        <f aca="true" t="shared" si="10" ref="R15:R20">+Q15+P15</f>
        <v>155003.305</v>
      </c>
      <c r="S15" s="59">
        <f t="shared" si="7"/>
        <v>58126.239375</v>
      </c>
      <c r="T15" s="59">
        <f t="shared" si="8"/>
        <v>96877.06562499999</v>
      </c>
    </row>
    <row r="16" spans="1:20" s="12" customFormat="1" ht="10.5">
      <c r="A16" s="270"/>
      <c r="B16" s="271"/>
      <c r="C16" s="54"/>
      <c r="D16" s="55"/>
      <c r="E16" s="55"/>
      <c r="F16" s="55"/>
      <c r="G16" s="55"/>
      <c r="H16" s="55"/>
      <c r="I16" s="55"/>
      <c r="J16" s="55"/>
      <c r="K16" s="60"/>
      <c r="L16" s="57" t="s">
        <v>299</v>
      </c>
      <c r="M16" s="58">
        <f>SUM(M33:M37)</f>
        <v>145041.1</v>
      </c>
      <c r="N16" s="56"/>
      <c r="O16" s="61">
        <f t="shared" si="9"/>
        <v>145041.1</v>
      </c>
      <c r="P16" s="58">
        <f>SUM(P33:P37)</f>
        <v>72520.55</v>
      </c>
      <c r="Q16" s="56"/>
      <c r="R16" s="61">
        <f t="shared" si="10"/>
        <v>72520.55</v>
      </c>
      <c r="S16" s="59">
        <f t="shared" si="7"/>
        <v>27195.206250000003</v>
      </c>
      <c r="T16" s="59">
        <f t="shared" si="8"/>
        <v>45325.34375</v>
      </c>
    </row>
    <row r="17" spans="1:20" s="12" customFormat="1" ht="10.5">
      <c r="A17" s="270"/>
      <c r="B17" s="271"/>
      <c r="C17" s="54"/>
      <c r="D17" s="55"/>
      <c r="E17" s="55"/>
      <c r="F17" s="55"/>
      <c r="G17" s="55"/>
      <c r="H17" s="55"/>
      <c r="I17" s="55"/>
      <c r="J17" s="55"/>
      <c r="K17" s="60"/>
      <c r="L17" s="57" t="s">
        <v>402</v>
      </c>
      <c r="M17" s="58">
        <f>SUM(M38:M43)</f>
        <v>125097.405</v>
      </c>
      <c r="N17" s="56"/>
      <c r="O17" s="61">
        <f t="shared" si="9"/>
        <v>125097.405</v>
      </c>
      <c r="P17" s="58">
        <f>SUM(P38:P43)</f>
        <v>62548.7025</v>
      </c>
      <c r="Q17" s="56"/>
      <c r="R17" s="61">
        <f t="shared" si="10"/>
        <v>62548.7025</v>
      </c>
      <c r="S17" s="59">
        <f t="shared" si="7"/>
        <v>23455.763437499998</v>
      </c>
      <c r="T17" s="59">
        <f t="shared" si="8"/>
        <v>39092.9390625</v>
      </c>
    </row>
    <row r="18" spans="1:20" s="12" customFormat="1" ht="10.5">
      <c r="A18" s="270"/>
      <c r="B18" s="271"/>
      <c r="C18" s="54"/>
      <c r="D18" s="55"/>
      <c r="E18" s="55"/>
      <c r="F18" s="55"/>
      <c r="G18" s="55"/>
      <c r="H18" s="55"/>
      <c r="I18" s="55"/>
      <c r="J18" s="55"/>
      <c r="K18" s="60"/>
      <c r="L18" s="57" t="s">
        <v>530</v>
      </c>
      <c r="M18" s="58">
        <f>SUM(M44:M47)</f>
        <v>88307.70999999999</v>
      </c>
      <c r="N18" s="56"/>
      <c r="O18" s="61">
        <f t="shared" si="9"/>
        <v>88307.70999999999</v>
      </c>
      <c r="P18" s="58">
        <f>SUM(P44:P47)</f>
        <v>44153.854999999996</v>
      </c>
      <c r="Q18" s="56"/>
      <c r="R18" s="61">
        <f t="shared" si="10"/>
        <v>44153.854999999996</v>
      </c>
      <c r="S18" s="59">
        <f t="shared" si="7"/>
        <v>16557.695625</v>
      </c>
      <c r="T18" s="59">
        <f t="shared" si="8"/>
        <v>27596.159374999996</v>
      </c>
    </row>
    <row r="19" spans="1:20" s="12" customFormat="1" ht="10.5">
      <c r="A19" s="270"/>
      <c r="B19" s="271"/>
      <c r="C19" s="54"/>
      <c r="D19" s="55"/>
      <c r="E19" s="55"/>
      <c r="F19" s="55"/>
      <c r="G19" s="55"/>
      <c r="H19" s="55"/>
      <c r="I19" s="55"/>
      <c r="J19" s="55"/>
      <c r="K19" s="60"/>
      <c r="L19" s="57" t="s">
        <v>531</v>
      </c>
      <c r="M19" s="58">
        <f>SUM(M48:M50)</f>
        <v>57511.64</v>
      </c>
      <c r="N19" s="58">
        <f>SUM(N48:N50)</f>
        <v>0</v>
      </c>
      <c r="O19" s="61">
        <f t="shared" si="9"/>
        <v>57511.64</v>
      </c>
      <c r="P19" s="58">
        <f>SUM(P48:P50)</f>
        <v>28755.82</v>
      </c>
      <c r="Q19" s="58">
        <f>SUM(Q48:Q50)</f>
        <v>0</v>
      </c>
      <c r="R19" s="61">
        <f t="shared" si="10"/>
        <v>28755.82</v>
      </c>
      <c r="S19" s="59">
        <f t="shared" si="7"/>
        <v>10783.432499999999</v>
      </c>
      <c r="T19" s="59">
        <f t="shared" si="8"/>
        <v>17972.3875</v>
      </c>
    </row>
    <row r="20" spans="1:20" s="12" customFormat="1" ht="10.5">
      <c r="A20" s="270"/>
      <c r="B20" s="271"/>
      <c r="C20" s="54"/>
      <c r="D20" s="55"/>
      <c r="E20" s="55"/>
      <c r="F20" s="55"/>
      <c r="G20" s="55"/>
      <c r="H20" s="55"/>
      <c r="I20" s="55"/>
      <c r="J20" s="55"/>
      <c r="K20" s="60"/>
      <c r="L20" s="57" t="s">
        <v>532</v>
      </c>
      <c r="M20" s="58">
        <f>SUM(M51:M53)</f>
        <v>34264.65</v>
      </c>
      <c r="N20" s="58">
        <f>SUM(N51:N53)</f>
        <v>0</v>
      </c>
      <c r="O20" s="61">
        <f t="shared" si="9"/>
        <v>34264.65</v>
      </c>
      <c r="P20" s="58">
        <f>SUM(P51:P53)</f>
        <v>17132.325</v>
      </c>
      <c r="Q20" s="58">
        <f>SUM(Q51:Q53)</f>
        <v>0</v>
      </c>
      <c r="R20" s="61">
        <f t="shared" si="10"/>
        <v>17132.325</v>
      </c>
      <c r="S20" s="59">
        <f t="shared" si="7"/>
        <v>6424.621875000001</v>
      </c>
      <c r="T20" s="59">
        <f t="shared" si="8"/>
        <v>10707.703125</v>
      </c>
    </row>
    <row r="21" spans="1:20" s="12" customFormat="1" ht="10.5">
      <c r="A21" s="270"/>
      <c r="B21" s="271"/>
      <c r="C21" s="54"/>
      <c r="D21" s="55"/>
      <c r="E21" s="55"/>
      <c r="F21" s="55"/>
      <c r="G21" s="55"/>
      <c r="H21" s="55"/>
      <c r="I21" s="55"/>
      <c r="J21" s="55"/>
      <c r="K21" s="60"/>
      <c r="L21" s="57"/>
      <c r="M21" s="58"/>
      <c r="N21" s="58"/>
      <c r="O21" s="61"/>
      <c r="P21" s="58"/>
      <c r="Q21" s="58"/>
      <c r="R21" s="61"/>
      <c r="S21" s="175"/>
      <c r="T21" s="175"/>
    </row>
    <row r="22" spans="1:20" s="12" customFormat="1" ht="10.5">
      <c r="A22" s="272"/>
      <c r="B22" s="273"/>
      <c r="C22" s="62"/>
      <c r="D22" s="63"/>
      <c r="E22" s="63"/>
      <c r="F22" s="63"/>
      <c r="G22" s="63"/>
      <c r="H22" s="63"/>
      <c r="I22" s="63"/>
      <c r="J22" s="63"/>
      <c r="K22" s="64"/>
      <c r="L22" s="65" t="s">
        <v>13</v>
      </c>
      <c r="M22" s="66">
        <f>M13-M14-M15-M16-M17-M20-M18-M19</f>
        <v>238291.33499999996</v>
      </c>
      <c r="N22" s="67">
        <f>N13-N14-N15-N16-N17-N20</f>
        <v>0</v>
      </c>
      <c r="O22" s="68"/>
      <c r="P22" s="67"/>
      <c r="Q22" s="67"/>
      <c r="R22" s="68"/>
      <c r="S22" s="69"/>
      <c r="T22" s="69"/>
    </row>
    <row r="23" spans="1:20" ht="29.25" customHeight="1">
      <c r="A23" s="70" t="s">
        <v>14</v>
      </c>
      <c r="B23" s="70" t="s">
        <v>11</v>
      </c>
      <c r="C23" s="71" t="s">
        <v>24</v>
      </c>
      <c r="D23" s="71" t="s">
        <v>20</v>
      </c>
      <c r="E23" s="72" t="s">
        <v>2</v>
      </c>
      <c r="F23" s="71" t="s">
        <v>19</v>
      </c>
      <c r="G23" s="71" t="s">
        <v>18</v>
      </c>
      <c r="H23" s="72" t="s">
        <v>17</v>
      </c>
      <c r="I23" s="72" t="s">
        <v>16</v>
      </c>
      <c r="J23" s="71" t="s">
        <v>3</v>
      </c>
      <c r="K23" s="71" t="s">
        <v>4</v>
      </c>
      <c r="L23" s="73" t="s">
        <v>5</v>
      </c>
      <c r="M23" s="74" t="s">
        <v>21</v>
      </c>
      <c r="N23" s="70" t="s">
        <v>39</v>
      </c>
      <c r="O23" s="73" t="s">
        <v>40</v>
      </c>
      <c r="P23" s="70" t="s">
        <v>22</v>
      </c>
      <c r="Q23" s="70" t="s">
        <v>41</v>
      </c>
      <c r="R23" s="73" t="s">
        <v>42</v>
      </c>
      <c r="S23" s="181" t="s">
        <v>27</v>
      </c>
      <c r="T23" s="181"/>
    </row>
    <row r="24" spans="1:20" ht="21">
      <c r="A24" s="75" t="s">
        <v>15</v>
      </c>
      <c r="B24" s="76"/>
      <c r="C24" s="77" t="s">
        <v>50</v>
      </c>
      <c r="D24" s="78" t="s">
        <v>51</v>
      </c>
      <c r="E24" s="78"/>
      <c r="F24" s="78"/>
      <c r="G24" s="79"/>
      <c r="H24" s="80"/>
      <c r="I24" s="80"/>
      <c r="J24" s="81">
        <f>38.51*155+26.42*105+16.06*280+26.42*105+42.55*77+32.17*281+18.07*228+20.6*77+37.45*317+23.15*317+32.57*259+19.53*77+28.58*77+19.53*54+28.58*246</f>
        <v>73471.92999999998</v>
      </c>
      <c r="K24" s="81"/>
      <c r="L24" s="82">
        <f>SUM(J24:K24)</f>
        <v>73471.92999999998</v>
      </c>
      <c r="M24" s="83">
        <v>73471.93</v>
      </c>
      <c r="N24" s="83"/>
      <c r="O24" s="82">
        <f aca="true" t="shared" si="11" ref="O24:O29">+M24+N24</f>
        <v>73471.93</v>
      </c>
      <c r="P24" s="81">
        <f aca="true" t="shared" si="12" ref="P24:P33">M24*0.5</f>
        <v>36735.965</v>
      </c>
      <c r="Q24" s="81"/>
      <c r="R24" s="82">
        <f aca="true" t="shared" si="13" ref="R24:R33">+Q24+P24</f>
        <v>36735.965</v>
      </c>
      <c r="S24" s="185"/>
      <c r="T24" s="185"/>
    </row>
    <row r="25" spans="1:20" s="206" customFormat="1" ht="21">
      <c r="A25" s="191" t="s">
        <v>15</v>
      </c>
      <c r="B25" s="200"/>
      <c r="C25" s="201" t="s">
        <v>53</v>
      </c>
      <c r="D25" s="202" t="s">
        <v>52</v>
      </c>
      <c r="E25" s="202"/>
      <c r="F25" s="202"/>
      <c r="G25" s="203"/>
      <c r="H25" s="204"/>
      <c r="I25" s="204"/>
      <c r="J25" s="205">
        <f>21.82*195+22.82*166+15.44*206</f>
        <v>11223.66</v>
      </c>
      <c r="K25" s="205"/>
      <c r="L25" s="205">
        <f aca="true" t="shared" si="14" ref="L25:L42">+K25+J25</f>
        <v>11223.66</v>
      </c>
      <c r="M25" s="205"/>
      <c r="N25" s="205"/>
      <c r="O25" s="205">
        <f t="shared" si="11"/>
        <v>0</v>
      </c>
      <c r="P25" s="205">
        <f t="shared" si="12"/>
        <v>0</v>
      </c>
      <c r="Q25" s="205"/>
      <c r="R25" s="205">
        <f t="shared" si="13"/>
        <v>0</v>
      </c>
      <c r="S25" s="186"/>
      <c r="T25" s="186"/>
    </row>
    <row r="26" spans="1:20" ht="21" customHeight="1">
      <c r="A26" s="75" t="s">
        <v>15</v>
      </c>
      <c r="B26" s="76"/>
      <c r="C26" s="77" t="s">
        <v>54</v>
      </c>
      <c r="D26" s="78" t="s">
        <v>55</v>
      </c>
      <c r="E26" s="78"/>
      <c r="F26" s="78"/>
      <c r="G26" s="79"/>
      <c r="H26" s="80"/>
      <c r="I26" s="80"/>
      <c r="J26" s="81">
        <f>34*230+18*190+18*170</f>
        <v>14300</v>
      </c>
      <c r="K26" s="81"/>
      <c r="L26" s="82">
        <f t="shared" si="14"/>
        <v>14300</v>
      </c>
      <c r="M26" s="83">
        <f>14300-7820</f>
        <v>6480</v>
      </c>
      <c r="N26" s="83"/>
      <c r="O26" s="82">
        <f t="shared" si="11"/>
        <v>6480</v>
      </c>
      <c r="P26" s="81">
        <f t="shared" si="12"/>
        <v>3240</v>
      </c>
      <c r="Q26" s="81"/>
      <c r="R26" s="82">
        <f t="shared" si="13"/>
        <v>3240</v>
      </c>
      <c r="S26" s="185" t="s">
        <v>56</v>
      </c>
      <c r="T26" s="185"/>
    </row>
    <row r="27" spans="1:20" ht="21">
      <c r="A27" s="75" t="s">
        <v>15</v>
      </c>
      <c r="B27" s="76"/>
      <c r="C27" s="77" t="s">
        <v>173</v>
      </c>
      <c r="D27" s="77" t="s">
        <v>57</v>
      </c>
      <c r="E27" s="78"/>
      <c r="F27" s="78"/>
      <c r="G27" s="79"/>
      <c r="H27" s="80"/>
      <c r="I27" s="80"/>
      <c r="J27" s="81">
        <f>192*32.33+185*31.69+134*38.24+211*41.95</f>
        <v>26045.62</v>
      </c>
      <c r="K27" s="81"/>
      <c r="L27" s="82">
        <f t="shared" si="14"/>
        <v>26045.62</v>
      </c>
      <c r="M27" s="83">
        <v>26045.62</v>
      </c>
      <c r="N27" s="83"/>
      <c r="O27" s="82">
        <f t="shared" si="11"/>
        <v>26045.62</v>
      </c>
      <c r="P27" s="81">
        <f t="shared" si="12"/>
        <v>13022.81</v>
      </c>
      <c r="Q27" s="81"/>
      <c r="R27" s="82">
        <f t="shared" si="13"/>
        <v>13022.81</v>
      </c>
      <c r="S27" s="185"/>
      <c r="T27" s="185"/>
    </row>
    <row r="28" spans="1:20" ht="21">
      <c r="A28" s="75" t="s">
        <v>78</v>
      </c>
      <c r="B28" s="76"/>
      <c r="C28" s="77" t="s">
        <v>54</v>
      </c>
      <c r="D28" s="77" t="s">
        <v>99</v>
      </c>
      <c r="E28" s="78"/>
      <c r="F28" s="78"/>
      <c r="G28" s="79"/>
      <c r="H28" s="80"/>
      <c r="I28" s="80"/>
      <c r="J28" s="81">
        <v>49450</v>
      </c>
      <c r="K28" s="81"/>
      <c r="L28" s="82">
        <f t="shared" si="14"/>
        <v>49450</v>
      </c>
      <c r="M28" s="83">
        <f>34*430+18*450+18*450+18*505+18*530</f>
        <v>49450</v>
      </c>
      <c r="N28" s="83"/>
      <c r="O28" s="82">
        <f t="shared" si="11"/>
        <v>49450</v>
      </c>
      <c r="P28" s="81">
        <f t="shared" si="12"/>
        <v>24725</v>
      </c>
      <c r="Q28" s="81"/>
      <c r="R28" s="82">
        <f t="shared" si="13"/>
        <v>24725</v>
      </c>
      <c r="S28" s="185"/>
      <c r="T28" s="185"/>
    </row>
    <row r="29" spans="1:20" ht="21">
      <c r="A29" s="75" t="s">
        <v>78</v>
      </c>
      <c r="B29" s="76"/>
      <c r="C29" s="77" t="s">
        <v>126</v>
      </c>
      <c r="D29" s="77" t="s">
        <v>127</v>
      </c>
      <c r="E29" s="78"/>
      <c r="F29" s="78"/>
      <c r="G29" s="79"/>
      <c r="H29" s="80"/>
      <c r="I29" s="80"/>
      <c r="J29" s="81">
        <v>2822</v>
      </c>
      <c r="K29" s="81"/>
      <c r="L29" s="82">
        <f t="shared" si="14"/>
        <v>2822</v>
      </c>
      <c r="M29" s="83">
        <f>20*111+14*43</f>
        <v>2822</v>
      </c>
      <c r="N29" s="83"/>
      <c r="O29" s="82">
        <f t="shared" si="11"/>
        <v>2822</v>
      </c>
      <c r="P29" s="81">
        <f t="shared" si="12"/>
        <v>1411</v>
      </c>
      <c r="Q29" s="81"/>
      <c r="R29" s="82">
        <f t="shared" si="13"/>
        <v>1411</v>
      </c>
      <c r="S29" s="185"/>
      <c r="T29" s="185"/>
    </row>
    <row r="30" spans="1:20" s="206" customFormat="1" ht="21">
      <c r="A30" s="191" t="s">
        <v>78</v>
      </c>
      <c r="B30" s="200"/>
      <c r="C30" s="201" t="s">
        <v>53</v>
      </c>
      <c r="D30" s="201" t="s">
        <v>138</v>
      </c>
      <c r="E30" s="202"/>
      <c r="F30" s="202"/>
      <c r="G30" s="203"/>
      <c r="H30" s="204"/>
      <c r="I30" s="204"/>
      <c r="J30" s="205">
        <v>80530.38</v>
      </c>
      <c r="K30" s="205"/>
      <c r="L30" s="205">
        <f t="shared" si="14"/>
        <v>80530.38</v>
      </c>
      <c r="M30" s="205"/>
      <c r="N30" s="205"/>
      <c r="O30" s="205">
        <f aca="true" t="shared" si="15" ref="O30:O37">+N30+M30</f>
        <v>0</v>
      </c>
      <c r="P30" s="205">
        <f t="shared" si="12"/>
        <v>0</v>
      </c>
      <c r="Q30" s="205"/>
      <c r="R30" s="205">
        <f t="shared" si="13"/>
        <v>0</v>
      </c>
      <c r="S30" s="186"/>
      <c r="T30" s="186"/>
    </row>
    <row r="31" spans="1:20" ht="21">
      <c r="A31" s="75" t="s">
        <v>78</v>
      </c>
      <c r="B31" s="76"/>
      <c r="C31" s="77" t="s">
        <v>173</v>
      </c>
      <c r="D31" s="77" t="s">
        <v>168</v>
      </c>
      <c r="E31" s="78"/>
      <c r="F31" s="78"/>
      <c r="G31" s="79"/>
      <c r="H31" s="80"/>
      <c r="I31" s="80"/>
      <c r="J31" s="81">
        <v>47158.5</v>
      </c>
      <c r="K31" s="81"/>
      <c r="L31" s="82">
        <f t="shared" si="14"/>
        <v>47158.5</v>
      </c>
      <c r="M31" s="83">
        <f>31.22*250+78.85*170+38.24*250+54.63*300</f>
        <v>47158.5</v>
      </c>
      <c r="N31" s="83"/>
      <c r="O31" s="82">
        <f t="shared" si="15"/>
        <v>47158.5</v>
      </c>
      <c r="P31" s="81">
        <f t="shared" si="12"/>
        <v>23579.25</v>
      </c>
      <c r="Q31" s="81"/>
      <c r="R31" s="82">
        <f t="shared" si="13"/>
        <v>23579.25</v>
      </c>
      <c r="S31" s="185"/>
      <c r="T31" s="185"/>
    </row>
    <row r="32" spans="1:20" ht="21">
      <c r="A32" s="75" t="s">
        <v>78</v>
      </c>
      <c r="B32" s="76"/>
      <c r="C32" s="77" t="s">
        <v>50</v>
      </c>
      <c r="D32" s="78"/>
      <c r="E32" s="78"/>
      <c r="F32" s="78"/>
      <c r="G32" s="79"/>
      <c r="H32" s="80"/>
      <c r="I32" s="80"/>
      <c r="J32" s="81">
        <v>210576.11</v>
      </c>
      <c r="K32" s="81"/>
      <c r="L32" s="82">
        <f t="shared" si="14"/>
        <v>210576.11</v>
      </c>
      <c r="M32" s="83">
        <f>10.2*83+18.58*198+10.2*90+13.97*144+10.2*88+29.38*50+21.64*234+29.99*50+21.64*70+32.57*50+23.5*140+43.05*120+26.42*130+34.34*150+42.55*43+20.6*43+28.58*252+19.53*164+28.58*43+19.53*43+158816.97</f>
        <v>210576.11000000002</v>
      </c>
      <c r="N32" s="83"/>
      <c r="O32" s="82">
        <f t="shared" si="15"/>
        <v>210576.11000000002</v>
      </c>
      <c r="P32" s="81">
        <f t="shared" si="12"/>
        <v>105288.05500000001</v>
      </c>
      <c r="Q32" s="81"/>
      <c r="R32" s="82">
        <f t="shared" si="13"/>
        <v>105288.05500000001</v>
      </c>
      <c r="S32" s="185"/>
      <c r="T32" s="185"/>
    </row>
    <row r="33" spans="1:20" ht="21">
      <c r="A33" s="75" t="s">
        <v>214</v>
      </c>
      <c r="B33" s="76"/>
      <c r="C33" s="77" t="s">
        <v>54</v>
      </c>
      <c r="D33" s="77" t="s">
        <v>338</v>
      </c>
      <c r="E33" s="78"/>
      <c r="F33" s="78"/>
      <c r="G33" s="79"/>
      <c r="H33" s="80"/>
      <c r="I33" s="80"/>
      <c r="J33" s="81">
        <v>30240</v>
      </c>
      <c r="K33" s="81"/>
      <c r="L33" s="82">
        <f t="shared" si="14"/>
        <v>30240</v>
      </c>
      <c r="M33" s="81">
        <v>30240</v>
      </c>
      <c r="N33" s="83"/>
      <c r="O33" s="82">
        <f t="shared" si="15"/>
        <v>30240</v>
      </c>
      <c r="P33" s="81">
        <f t="shared" si="12"/>
        <v>15120</v>
      </c>
      <c r="Q33" s="81"/>
      <c r="R33" s="82">
        <f t="shared" si="13"/>
        <v>15120</v>
      </c>
      <c r="S33" s="185"/>
      <c r="T33" s="185"/>
    </row>
    <row r="34" spans="1:20" s="206" customFormat="1" ht="21">
      <c r="A34" s="191" t="s">
        <v>214</v>
      </c>
      <c r="B34" s="200"/>
      <c r="C34" s="201" t="s">
        <v>53</v>
      </c>
      <c r="D34" s="202" t="s">
        <v>138</v>
      </c>
      <c r="E34" s="202"/>
      <c r="F34" s="202"/>
      <c r="G34" s="203"/>
      <c r="H34" s="204"/>
      <c r="I34" s="204"/>
      <c r="J34" s="205">
        <v>52024.47</v>
      </c>
      <c r="K34" s="205"/>
      <c r="L34" s="205">
        <f t="shared" si="14"/>
        <v>52024.47</v>
      </c>
      <c r="M34" s="205"/>
      <c r="N34" s="205"/>
      <c r="O34" s="205">
        <f t="shared" si="15"/>
        <v>0</v>
      </c>
      <c r="P34" s="205">
        <f aca="true" t="shared" si="16" ref="P34:P39">M34*0.5</f>
        <v>0</v>
      </c>
      <c r="Q34" s="205"/>
      <c r="R34" s="205">
        <f aca="true" t="shared" si="17" ref="R34:R39">+Q34+P34</f>
        <v>0</v>
      </c>
      <c r="S34" s="186"/>
      <c r="T34" s="186"/>
    </row>
    <row r="35" spans="1:20" ht="21">
      <c r="A35" s="75" t="s">
        <v>214</v>
      </c>
      <c r="B35" s="76"/>
      <c r="C35" s="77" t="s">
        <v>173</v>
      </c>
      <c r="D35" s="77" t="s">
        <v>168</v>
      </c>
      <c r="E35" s="78"/>
      <c r="F35" s="78"/>
      <c r="G35" s="79"/>
      <c r="H35" s="80"/>
      <c r="I35" s="80"/>
      <c r="J35" s="81">
        <v>19599.4</v>
      </c>
      <c r="K35" s="81"/>
      <c r="L35" s="82">
        <f t="shared" si="14"/>
        <v>19599.4</v>
      </c>
      <c r="M35" s="81">
        <v>19599.4</v>
      </c>
      <c r="N35" s="83"/>
      <c r="O35" s="82">
        <f t="shared" si="15"/>
        <v>19599.4</v>
      </c>
      <c r="P35" s="81">
        <f t="shared" si="16"/>
        <v>9799.7</v>
      </c>
      <c r="Q35" s="81"/>
      <c r="R35" s="82">
        <f t="shared" si="17"/>
        <v>9799.7</v>
      </c>
      <c r="S35" s="185"/>
      <c r="T35" s="185"/>
    </row>
    <row r="36" spans="1:20" ht="21">
      <c r="A36" s="75" t="s">
        <v>214</v>
      </c>
      <c r="B36" s="76"/>
      <c r="C36" s="77" t="s">
        <v>50</v>
      </c>
      <c r="D36" s="78" t="s">
        <v>268</v>
      </c>
      <c r="E36" s="78"/>
      <c r="F36" s="78"/>
      <c r="G36" s="79"/>
      <c r="H36" s="80"/>
      <c r="I36" s="80"/>
      <c r="J36" s="81">
        <v>91035.7</v>
      </c>
      <c r="K36" s="81"/>
      <c r="L36" s="82">
        <f t="shared" si="14"/>
        <v>91035.7</v>
      </c>
      <c r="M36" s="81">
        <v>91035.7</v>
      </c>
      <c r="N36" s="83"/>
      <c r="O36" s="82">
        <f t="shared" si="15"/>
        <v>91035.7</v>
      </c>
      <c r="P36" s="81">
        <f t="shared" si="16"/>
        <v>45517.85</v>
      </c>
      <c r="Q36" s="81"/>
      <c r="R36" s="82">
        <f t="shared" si="17"/>
        <v>45517.85</v>
      </c>
      <c r="S36" s="185"/>
      <c r="T36" s="185"/>
    </row>
    <row r="37" spans="1:20" ht="21">
      <c r="A37" s="75" t="s">
        <v>214</v>
      </c>
      <c r="B37" s="76"/>
      <c r="C37" s="77" t="s">
        <v>126</v>
      </c>
      <c r="D37" s="77" t="s">
        <v>127</v>
      </c>
      <c r="E37" s="78"/>
      <c r="F37" s="78"/>
      <c r="G37" s="79"/>
      <c r="H37" s="80"/>
      <c r="I37" s="80"/>
      <c r="J37" s="81">
        <v>4166</v>
      </c>
      <c r="K37" s="81"/>
      <c r="L37" s="82">
        <f t="shared" si="14"/>
        <v>4166</v>
      </c>
      <c r="M37" s="81">
        <v>4166</v>
      </c>
      <c r="N37" s="83"/>
      <c r="O37" s="82">
        <f t="shared" si="15"/>
        <v>4166</v>
      </c>
      <c r="P37" s="81">
        <f t="shared" si="16"/>
        <v>2083</v>
      </c>
      <c r="Q37" s="81"/>
      <c r="R37" s="82">
        <f t="shared" si="17"/>
        <v>2083</v>
      </c>
      <c r="S37" s="185"/>
      <c r="T37" s="185"/>
    </row>
    <row r="38" spans="1:20" ht="21">
      <c r="A38" s="75" t="s">
        <v>303</v>
      </c>
      <c r="B38" s="76"/>
      <c r="C38" s="77" t="s">
        <v>126</v>
      </c>
      <c r="D38" s="77" t="s">
        <v>127</v>
      </c>
      <c r="E38" s="78"/>
      <c r="F38" s="78"/>
      <c r="G38" s="79"/>
      <c r="H38" s="80"/>
      <c r="I38" s="80"/>
      <c r="J38" s="81">
        <v>2511</v>
      </c>
      <c r="K38" s="81"/>
      <c r="L38" s="82">
        <f t="shared" si="14"/>
        <v>2511</v>
      </c>
      <c r="M38" s="81">
        <v>2511</v>
      </c>
      <c r="N38" s="83"/>
      <c r="O38" s="82">
        <f aca="true" t="shared" si="18" ref="O38:O43">+N38+M38</f>
        <v>2511</v>
      </c>
      <c r="P38" s="81">
        <f t="shared" si="16"/>
        <v>1255.5</v>
      </c>
      <c r="Q38" s="81"/>
      <c r="R38" s="82">
        <f t="shared" si="17"/>
        <v>1255.5</v>
      </c>
      <c r="S38" s="185"/>
      <c r="T38" s="185"/>
    </row>
    <row r="39" spans="1:20" s="206" customFormat="1" ht="21">
      <c r="A39" s="191" t="s">
        <v>303</v>
      </c>
      <c r="B39" s="200"/>
      <c r="C39" s="201" t="s">
        <v>53</v>
      </c>
      <c r="D39" s="201" t="s">
        <v>138</v>
      </c>
      <c r="E39" s="202"/>
      <c r="F39" s="202"/>
      <c r="G39" s="203"/>
      <c r="H39" s="204"/>
      <c r="I39" s="204"/>
      <c r="J39" s="205">
        <v>50270.44</v>
      </c>
      <c r="K39" s="205"/>
      <c r="L39" s="205">
        <f t="shared" si="14"/>
        <v>50270.44</v>
      </c>
      <c r="M39" s="205"/>
      <c r="N39" s="205"/>
      <c r="O39" s="205">
        <f t="shared" si="18"/>
        <v>0</v>
      </c>
      <c r="P39" s="205">
        <f t="shared" si="16"/>
        <v>0</v>
      </c>
      <c r="Q39" s="205"/>
      <c r="R39" s="205">
        <f t="shared" si="17"/>
        <v>0</v>
      </c>
      <c r="S39" s="186"/>
      <c r="T39" s="186"/>
    </row>
    <row r="40" spans="1:20" ht="24" customHeight="1">
      <c r="A40" s="75" t="s">
        <v>303</v>
      </c>
      <c r="B40" s="76"/>
      <c r="C40" s="77" t="s">
        <v>337</v>
      </c>
      <c r="D40" s="77" t="s">
        <v>138</v>
      </c>
      <c r="E40" s="78"/>
      <c r="F40" s="78"/>
      <c r="G40" s="79"/>
      <c r="H40" s="80"/>
      <c r="I40" s="80"/>
      <c r="J40" s="81">
        <v>26513.365</v>
      </c>
      <c r="K40" s="81"/>
      <c r="L40" s="82">
        <f t="shared" si="14"/>
        <v>26513.365</v>
      </c>
      <c r="M40" s="81">
        <v>26513.365</v>
      </c>
      <c r="N40" s="83"/>
      <c r="O40" s="82">
        <f t="shared" si="18"/>
        <v>26513.365</v>
      </c>
      <c r="P40" s="81">
        <f aca="true" t="shared" si="19" ref="P40:P53">M40*0.5</f>
        <v>13256.6825</v>
      </c>
      <c r="Q40" s="81"/>
      <c r="R40" s="82">
        <f aca="true" t="shared" si="20" ref="R40:R53">+Q40+P40</f>
        <v>13256.6825</v>
      </c>
      <c r="S40" s="251"/>
      <c r="T40" s="252"/>
    </row>
    <row r="41" spans="1:20" ht="21">
      <c r="A41" s="75" t="s">
        <v>303</v>
      </c>
      <c r="B41" s="76"/>
      <c r="C41" s="77" t="s">
        <v>54</v>
      </c>
      <c r="D41" s="77" t="s">
        <v>338</v>
      </c>
      <c r="E41" s="78"/>
      <c r="F41" s="78"/>
      <c r="G41" s="79"/>
      <c r="H41" s="80"/>
      <c r="I41" s="80"/>
      <c r="J41" s="81">
        <v>8640</v>
      </c>
      <c r="K41" s="81"/>
      <c r="L41" s="82">
        <f t="shared" si="14"/>
        <v>8640</v>
      </c>
      <c r="M41" s="81">
        <v>8640</v>
      </c>
      <c r="N41" s="83"/>
      <c r="O41" s="82">
        <f t="shared" si="18"/>
        <v>8640</v>
      </c>
      <c r="P41" s="81">
        <f t="shared" si="19"/>
        <v>4320</v>
      </c>
      <c r="Q41" s="81"/>
      <c r="R41" s="82">
        <f t="shared" si="20"/>
        <v>4320</v>
      </c>
      <c r="S41" s="251"/>
      <c r="T41" s="252"/>
    </row>
    <row r="42" spans="1:20" ht="21">
      <c r="A42" s="75" t="s">
        <v>303</v>
      </c>
      <c r="B42" s="76"/>
      <c r="C42" s="77" t="s">
        <v>173</v>
      </c>
      <c r="D42" s="77" t="s">
        <v>351</v>
      </c>
      <c r="E42" s="78"/>
      <c r="F42" s="78"/>
      <c r="G42" s="79"/>
      <c r="H42" s="80"/>
      <c r="I42" s="80"/>
      <c r="J42" s="81">
        <v>8805.16</v>
      </c>
      <c r="K42" s="81"/>
      <c r="L42" s="82">
        <f t="shared" si="14"/>
        <v>8805.16</v>
      </c>
      <c r="M42" s="81">
        <v>8805.16</v>
      </c>
      <c r="N42" s="81"/>
      <c r="O42" s="82">
        <f t="shared" si="18"/>
        <v>8805.16</v>
      </c>
      <c r="P42" s="81">
        <f t="shared" si="19"/>
        <v>4402.58</v>
      </c>
      <c r="Q42" s="81"/>
      <c r="R42" s="82">
        <f t="shared" si="20"/>
        <v>4402.58</v>
      </c>
      <c r="S42" s="251"/>
      <c r="T42" s="252"/>
    </row>
    <row r="43" spans="1:20" s="86" customFormat="1" ht="40.5" customHeight="1">
      <c r="A43" s="163" t="s">
        <v>303</v>
      </c>
      <c r="B43" s="164"/>
      <c r="C43" s="159" t="s">
        <v>50</v>
      </c>
      <c r="D43" s="160" t="s">
        <v>364</v>
      </c>
      <c r="E43" s="160"/>
      <c r="F43" s="160"/>
      <c r="G43" s="161"/>
      <c r="H43" s="162"/>
      <c r="I43" s="162"/>
      <c r="J43" s="83">
        <v>88867.48</v>
      </c>
      <c r="K43" s="83"/>
      <c r="L43" s="82">
        <f aca="true" t="shared" si="21" ref="L43:L53">+J43+K43</f>
        <v>88867.48</v>
      </c>
      <c r="M43" s="83">
        <f>88867.48-10239.6</f>
        <v>78627.87999999999</v>
      </c>
      <c r="N43" s="83"/>
      <c r="O43" s="82">
        <f t="shared" si="18"/>
        <v>78627.87999999999</v>
      </c>
      <c r="P43" s="83">
        <f t="shared" si="19"/>
        <v>39313.939999999995</v>
      </c>
      <c r="Q43" s="83"/>
      <c r="R43" s="82">
        <f t="shared" si="20"/>
        <v>39313.939999999995</v>
      </c>
      <c r="S43" s="255" t="s">
        <v>399</v>
      </c>
      <c r="T43" s="256"/>
    </row>
    <row r="44" spans="1:20" s="86" customFormat="1" ht="22.5" customHeight="1">
      <c r="A44" s="163" t="s">
        <v>408</v>
      </c>
      <c r="B44" s="164"/>
      <c r="C44" s="77" t="s">
        <v>337</v>
      </c>
      <c r="D44" s="77" t="s">
        <v>138</v>
      </c>
      <c r="E44" s="160"/>
      <c r="F44" s="160"/>
      <c r="G44" s="161"/>
      <c r="H44" s="162"/>
      <c r="I44" s="162"/>
      <c r="J44" s="83">
        <v>39958.54</v>
      </c>
      <c r="K44" s="83"/>
      <c r="L44" s="82">
        <f t="shared" si="21"/>
        <v>39958.54</v>
      </c>
      <c r="M44" s="83">
        <v>39958.54</v>
      </c>
      <c r="N44" s="83"/>
      <c r="O44" s="82">
        <f aca="true" t="shared" si="22" ref="O44:O53">+N44+M44</f>
        <v>39958.54</v>
      </c>
      <c r="P44" s="83">
        <f t="shared" si="19"/>
        <v>19979.27</v>
      </c>
      <c r="Q44" s="83"/>
      <c r="R44" s="82">
        <f t="shared" si="20"/>
        <v>19979.27</v>
      </c>
      <c r="S44" s="255"/>
      <c r="T44" s="256"/>
    </row>
    <row r="45" spans="1:20" s="206" customFormat="1" ht="21.75" customHeight="1">
      <c r="A45" s="191" t="s">
        <v>408</v>
      </c>
      <c r="B45" s="200"/>
      <c r="C45" s="201" t="s">
        <v>53</v>
      </c>
      <c r="D45" s="201" t="s">
        <v>138</v>
      </c>
      <c r="E45" s="202"/>
      <c r="F45" s="202"/>
      <c r="G45" s="203"/>
      <c r="H45" s="204"/>
      <c r="I45" s="204"/>
      <c r="J45" s="205">
        <v>33221.125</v>
      </c>
      <c r="K45" s="205"/>
      <c r="L45" s="205">
        <f t="shared" si="21"/>
        <v>33221.125</v>
      </c>
      <c r="M45" s="205"/>
      <c r="N45" s="205"/>
      <c r="O45" s="205">
        <f t="shared" si="22"/>
        <v>0</v>
      </c>
      <c r="P45" s="205">
        <f t="shared" si="19"/>
        <v>0</v>
      </c>
      <c r="Q45" s="205"/>
      <c r="R45" s="205">
        <f t="shared" si="20"/>
        <v>0</v>
      </c>
      <c r="S45" s="253" t="s">
        <v>350</v>
      </c>
      <c r="T45" s="254"/>
    </row>
    <row r="46" spans="1:20" s="86" customFormat="1" ht="21">
      <c r="A46" s="163" t="s">
        <v>408</v>
      </c>
      <c r="B46" s="164"/>
      <c r="C46" s="77" t="s">
        <v>173</v>
      </c>
      <c r="D46" s="77" t="s">
        <v>351</v>
      </c>
      <c r="E46" s="160"/>
      <c r="F46" s="160"/>
      <c r="G46" s="161"/>
      <c r="H46" s="162"/>
      <c r="I46" s="162"/>
      <c r="J46" s="83">
        <v>10584.55</v>
      </c>
      <c r="K46" s="83"/>
      <c r="L46" s="82">
        <f t="shared" si="21"/>
        <v>10584.55</v>
      </c>
      <c r="M46" s="83">
        <v>10584.55</v>
      </c>
      <c r="N46" s="83"/>
      <c r="O46" s="82">
        <f t="shared" si="22"/>
        <v>10584.55</v>
      </c>
      <c r="P46" s="83">
        <f t="shared" si="19"/>
        <v>5292.275</v>
      </c>
      <c r="Q46" s="83"/>
      <c r="R46" s="82">
        <f t="shared" si="20"/>
        <v>5292.275</v>
      </c>
      <c r="S46" s="255"/>
      <c r="T46" s="256"/>
    </row>
    <row r="47" spans="1:20" s="86" customFormat="1" ht="54.75" customHeight="1">
      <c r="A47" s="163" t="s">
        <v>408</v>
      </c>
      <c r="B47" s="164"/>
      <c r="C47" s="159" t="s">
        <v>50</v>
      </c>
      <c r="D47" s="160" t="s">
        <v>422</v>
      </c>
      <c r="E47" s="160"/>
      <c r="F47" s="160"/>
      <c r="G47" s="161"/>
      <c r="H47" s="162"/>
      <c r="I47" s="162"/>
      <c r="J47" s="83">
        <v>70423.23</v>
      </c>
      <c r="K47" s="83"/>
      <c r="L47" s="82">
        <f t="shared" si="21"/>
        <v>70423.23</v>
      </c>
      <c r="M47" s="83">
        <f>70423.23-6208.37-6510-6730.56-3766.74-3827.6-2936.46-202.56-2476.32</f>
        <v>37764.62</v>
      </c>
      <c r="N47" s="83"/>
      <c r="O47" s="82">
        <f t="shared" si="22"/>
        <v>37764.62</v>
      </c>
      <c r="P47" s="83">
        <f t="shared" si="19"/>
        <v>18882.31</v>
      </c>
      <c r="Q47" s="83"/>
      <c r="R47" s="82">
        <f t="shared" si="20"/>
        <v>18882.31</v>
      </c>
      <c r="S47" s="255" t="s">
        <v>527</v>
      </c>
      <c r="T47" s="256"/>
    </row>
    <row r="48" spans="1:20" s="206" customFormat="1" ht="33.75" customHeight="1">
      <c r="A48" s="191" t="s">
        <v>429</v>
      </c>
      <c r="B48" s="200"/>
      <c r="C48" s="201" t="s">
        <v>53</v>
      </c>
      <c r="D48" s="201" t="s">
        <v>455</v>
      </c>
      <c r="E48" s="202"/>
      <c r="F48" s="202"/>
      <c r="G48" s="203"/>
      <c r="H48" s="204"/>
      <c r="I48" s="204"/>
      <c r="J48" s="205">
        <v>20622.555</v>
      </c>
      <c r="K48" s="205"/>
      <c r="L48" s="205">
        <f t="shared" si="21"/>
        <v>20622.555</v>
      </c>
      <c r="M48" s="205"/>
      <c r="N48" s="205"/>
      <c r="O48" s="205">
        <f t="shared" si="22"/>
        <v>0</v>
      </c>
      <c r="P48" s="205">
        <f t="shared" si="19"/>
        <v>0</v>
      </c>
      <c r="Q48" s="205"/>
      <c r="R48" s="205">
        <f t="shared" si="20"/>
        <v>0</v>
      </c>
      <c r="S48" s="253" t="s">
        <v>538</v>
      </c>
      <c r="T48" s="254"/>
    </row>
    <row r="49" spans="1:20" s="86" customFormat="1" ht="31.5" customHeight="1">
      <c r="A49" s="163" t="s">
        <v>429</v>
      </c>
      <c r="B49" s="164"/>
      <c r="C49" s="159" t="s">
        <v>50</v>
      </c>
      <c r="D49" s="160" t="s">
        <v>460</v>
      </c>
      <c r="E49" s="160"/>
      <c r="F49" s="160"/>
      <c r="G49" s="161"/>
      <c r="H49" s="162"/>
      <c r="I49" s="162"/>
      <c r="J49" s="83">
        <v>30159.4</v>
      </c>
      <c r="K49" s="83"/>
      <c r="L49" s="82">
        <f t="shared" si="21"/>
        <v>30159.4</v>
      </c>
      <c r="M49" s="83">
        <f>+J49-10998.2</f>
        <v>19161.2</v>
      </c>
      <c r="N49" s="83"/>
      <c r="O49" s="82">
        <f t="shared" si="22"/>
        <v>19161.2</v>
      </c>
      <c r="P49" s="83">
        <f t="shared" si="19"/>
        <v>9580.6</v>
      </c>
      <c r="Q49" s="83"/>
      <c r="R49" s="82">
        <f t="shared" si="20"/>
        <v>9580.6</v>
      </c>
      <c r="S49" s="255" t="s">
        <v>537</v>
      </c>
      <c r="T49" s="256"/>
    </row>
    <row r="50" spans="1:20" s="86" customFormat="1" ht="25.5" customHeight="1">
      <c r="A50" s="163" t="s">
        <v>429</v>
      </c>
      <c r="B50" s="164"/>
      <c r="C50" s="77" t="s">
        <v>337</v>
      </c>
      <c r="D50" s="77" t="s">
        <v>138</v>
      </c>
      <c r="E50" s="160"/>
      <c r="F50" s="160"/>
      <c r="G50" s="161"/>
      <c r="H50" s="162"/>
      <c r="I50" s="162"/>
      <c r="J50" s="83">
        <v>38350.44</v>
      </c>
      <c r="K50" s="83"/>
      <c r="L50" s="82">
        <f t="shared" si="21"/>
        <v>38350.44</v>
      </c>
      <c r="M50" s="83">
        <v>38350.44</v>
      </c>
      <c r="N50" s="83"/>
      <c r="O50" s="82">
        <f t="shared" si="22"/>
        <v>38350.44</v>
      </c>
      <c r="P50" s="83">
        <f t="shared" si="19"/>
        <v>19175.22</v>
      </c>
      <c r="Q50" s="83"/>
      <c r="R50" s="82">
        <f t="shared" si="20"/>
        <v>19175.22</v>
      </c>
      <c r="S50" s="255"/>
      <c r="T50" s="256"/>
    </row>
    <row r="51" spans="1:20" s="206" customFormat="1" ht="23.25" customHeight="1">
      <c r="A51" s="191" t="s">
        <v>498</v>
      </c>
      <c r="B51" s="200"/>
      <c r="C51" s="201" t="s">
        <v>53</v>
      </c>
      <c r="D51" s="201" t="s">
        <v>499</v>
      </c>
      <c r="E51" s="202"/>
      <c r="F51" s="202"/>
      <c r="G51" s="203"/>
      <c r="H51" s="204"/>
      <c r="I51" s="204"/>
      <c r="J51" s="205">
        <v>2415.495</v>
      </c>
      <c r="K51" s="205"/>
      <c r="L51" s="205">
        <f t="shared" si="21"/>
        <v>2415.495</v>
      </c>
      <c r="M51" s="205"/>
      <c r="N51" s="205"/>
      <c r="O51" s="205">
        <f t="shared" si="22"/>
        <v>0</v>
      </c>
      <c r="P51" s="205">
        <f t="shared" si="19"/>
        <v>0</v>
      </c>
      <c r="Q51" s="205"/>
      <c r="R51" s="205">
        <f t="shared" si="20"/>
        <v>0</v>
      </c>
      <c r="S51" s="253" t="s">
        <v>350</v>
      </c>
      <c r="T51" s="254"/>
    </row>
    <row r="52" spans="1:20" s="86" customFormat="1" ht="21">
      <c r="A52" s="163" t="s">
        <v>498</v>
      </c>
      <c r="B52" s="164"/>
      <c r="C52" s="159" t="s">
        <v>50</v>
      </c>
      <c r="D52" s="160" t="s">
        <v>503</v>
      </c>
      <c r="E52" s="160"/>
      <c r="F52" s="160"/>
      <c r="G52" s="161"/>
      <c r="H52" s="162"/>
      <c r="I52" s="162"/>
      <c r="J52" s="83">
        <v>9164.02</v>
      </c>
      <c r="K52" s="83"/>
      <c r="L52" s="82">
        <f t="shared" si="21"/>
        <v>9164.02</v>
      </c>
      <c r="M52" s="83">
        <v>9164.02</v>
      </c>
      <c r="N52" s="83"/>
      <c r="O52" s="82">
        <f t="shared" si="22"/>
        <v>9164.02</v>
      </c>
      <c r="P52" s="83">
        <f t="shared" si="19"/>
        <v>4582.01</v>
      </c>
      <c r="Q52" s="83"/>
      <c r="R52" s="82">
        <f t="shared" si="20"/>
        <v>4582.01</v>
      </c>
      <c r="S52" s="255"/>
      <c r="T52" s="256"/>
    </row>
    <row r="53" spans="1:20" s="86" customFormat="1" ht="24" customHeight="1">
      <c r="A53" s="163" t="s">
        <v>498</v>
      </c>
      <c r="B53" s="164"/>
      <c r="C53" s="77" t="s">
        <v>337</v>
      </c>
      <c r="D53" s="77" t="s">
        <v>138</v>
      </c>
      <c r="E53" s="160"/>
      <c r="F53" s="160"/>
      <c r="G53" s="161"/>
      <c r="H53" s="162"/>
      <c r="I53" s="162"/>
      <c r="J53" s="83">
        <v>25100.63</v>
      </c>
      <c r="K53" s="83"/>
      <c r="L53" s="82">
        <f t="shared" si="21"/>
        <v>25100.63</v>
      </c>
      <c r="M53" s="83">
        <v>25100.63</v>
      </c>
      <c r="N53" s="83"/>
      <c r="O53" s="82">
        <f t="shared" si="22"/>
        <v>25100.63</v>
      </c>
      <c r="P53" s="83">
        <f t="shared" si="19"/>
        <v>12550.315</v>
      </c>
      <c r="Q53" s="83"/>
      <c r="R53" s="82">
        <f t="shared" si="20"/>
        <v>12550.315</v>
      </c>
      <c r="S53" s="255"/>
      <c r="T53" s="256"/>
    </row>
    <row r="54" spans="1:20" s="86" customFormat="1" ht="24" customHeight="1">
      <c r="A54" s="163"/>
      <c r="B54" s="164"/>
      <c r="C54" s="77"/>
      <c r="D54" s="77"/>
      <c r="E54" s="160"/>
      <c r="F54" s="160"/>
      <c r="G54" s="161"/>
      <c r="H54" s="162"/>
      <c r="I54" s="162"/>
      <c r="J54" s="83"/>
      <c r="K54" s="83"/>
      <c r="L54" s="82"/>
      <c r="M54" s="83"/>
      <c r="N54" s="83"/>
      <c r="O54" s="82"/>
      <c r="P54" s="83"/>
      <c r="Q54" s="83"/>
      <c r="R54" s="82"/>
      <c r="S54" s="173"/>
      <c r="T54" s="174"/>
    </row>
    <row r="55" spans="1:20" ht="10.5" customHeight="1">
      <c r="A55" s="75"/>
      <c r="B55" s="76"/>
      <c r="C55" s="77"/>
      <c r="D55" s="78"/>
      <c r="E55" s="78"/>
      <c r="F55" s="78"/>
      <c r="G55" s="79"/>
      <c r="H55" s="80"/>
      <c r="I55" s="80"/>
      <c r="J55" s="81"/>
      <c r="K55" s="81"/>
      <c r="L55" s="82">
        <f>SUM(J55:K55)</f>
        <v>0</v>
      </c>
      <c r="M55" s="83">
        <f>L55</f>
        <v>0</v>
      </c>
      <c r="N55" s="81"/>
      <c r="O55" s="82"/>
      <c r="P55" s="81">
        <f>M55*0.65</f>
        <v>0</v>
      </c>
      <c r="Q55" s="81"/>
      <c r="R55" s="82"/>
      <c r="S55" s="185"/>
      <c r="T55" s="185"/>
    </row>
    <row r="56" ht="10.5"/>
    <row r="57" spans="1:20" ht="10.5">
      <c r="A57" s="287" t="s">
        <v>7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9"/>
      <c r="M57" s="41" t="s">
        <v>43</v>
      </c>
      <c r="N57" s="42" t="s">
        <v>44</v>
      </c>
      <c r="O57" s="43" t="s">
        <v>45</v>
      </c>
      <c r="P57" s="42" t="s">
        <v>46</v>
      </c>
      <c r="Q57" s="42" t="s">
        <v>47</v>
      </c>
      <c r="R57" s="43" t="s">
        <v>42</v>
      </c>
      <c r="S57" s="44" t="s">
        <v>25</v>
      </c>
      <c r="T57" s="45" t="s">
        <v>26</v>
      </c>
    </row>
    <row r="58" spans="1:21" ht="10.5">
      <c r="A58" s="280"/>
      <c r="B58" s="281"/>
      <c r="C58" s="264"/>
      <c r="D58" s="265"/>
      <c r="E58" s="265"/>
      <c r="F58" s="265"/>
      <c r="G58" s="265"/>
      <c r="H58" s="265"/>
      <c r="I58" s="265"/>
      <c r="J58" s="265"/>
      <c r="K58" s="266"/>
      <c r="L58" s="88" t="s">
        <v>12</v>
      </c>
      <c r="M58" s="89">
        <v>72921</v>
      </c>
      <c r="N58" s="52"/>
      <c r="O58" s="51"/>
      <c r="P58" s="52"/>
      <c r="Q58" s="52"/>
      <c r="R58" s="51">
        <f>SUM(P58:Q58)</f>
        <v>0</v>
      </c>
      <c r="S58" s="90"/>
      <c r="T58" s="90"/>
      <c r="U58" s="87"/>
    </row>
    <row r="59" spans="1:21" ht="10.5">
      <c r="A59" s="270"/>
      <c r="B59" s="271"/>
      <c r="C59" s="54"/>
      <c r="D59" s="55"/>
      <c r="E59" s="55"/>
      <c r="F59" s="55"/>
      <c r="G59" s="55"/>
      <c r="H59" s="55"/>
      <c r="I59" s="55"/>
      <c r="J59" s="55"/>
      <c r="K59" s="56">
        <v>0</v>
      </c>
      <c r="L59" s="91" t="s">
        <v>28</v>
      </c>
      <c r="M59" s="58"/>
      <c r="N59" s="58"/>
      <c r="O59" s="61"/>
      <c r="P59" s="58"/>
      <c r="Q59" s="58"/>
      <c r="R59" s="61"/>
      <c r="S59" s="59">
        <f>R59*0.375</f>
        <v>0</v>
      </c>
      <c r="T59" s="59">
        <f>R59-S59</f>
        <v>0</v>
      </c>
      <c r="U59" s="87"/>
    </row>
    <row r="60" spans="1:21" ht="10.5">
      <c r="A60" s="270"/>
      <c r="B60" s="271"/>
      <c r="C60" s="54"/>
      <c r="D60" s="55"/>
      <c r="E60" s="55"/>
      <c r="F60" s="92"/>
      <c r="G60" s="93"/>
      <c r="H60" s="55"/>
      <c r="I60" s="55"/>
      <c r="J60" s="55"/>
      <c r="K60" s="60"/>
      <c r="L60" s="91" t="s">
        <v>212</v>
      </c>
      <c r="M60" s="58">
        <f>+M70</f>
        <v>4000</v>
      </c>
      <c r="N60" s="58">
        <f>+N70</f>
        <v>800</v>
      </c>
      <c r="O60" s="61">
        <f>+N60+M60</f>
        <v>4800</v>
      </c>
      <c r="P60" s="58">
        <f>+P70</f>
        <v>2000</v>
      </c>
      <c r="Q60" s="58">
        <f>+Q70</f>
        <v>400</v>
      </c>
      <c r="R60" s="61">
        <f>+Q60+P60</f>
        <v>2400</v>
      </c>
      <c r="S60" s="59">
        <f>R60*0.375</f>
        <v>900</v>
      </c>
      <c r="T60" s="59">
        <f>R60-S60</f>
        <v>1500</v>
      </c>
      <c r="U60" s="87"/>
    </row>
    <row r="61" spans="1:21" ht="10.5">
      <c r="A61" s="270"/>
      <c r="B61" s="271"/>
      <c r="C61" s="54"/>
      <c r="D61" s="55"/>
      <c r="E61" s="55"/>
      <c r="F61" s="55"/>
      <c r="G61" s="55"/>
      <c r="H61" s="55"/>
      <c r="I61" s="55"/>
      <c r="J61" s="55"/>
      <c r="K61" s="60"/>
      <c r="L61" s="91" t="s">
        <v>299</v>
      </c>
      <c r="M61" s="58"/>
      <c r="N61" s="56"/>
      <c r="O61" s="61"/>
      <c r="P61" s="56"/>
      <c r="Q61" s="56"/>
      <c r="R61" s="61"/>
      <c r="S61" s="59">
        <f>R61*0.375</f>
        <v>0</v>
      </c>
      <c r="T61" s="59">
        <f>R61-S61</f>
        <v>0</v>
      </c>
      <c r="U61" s="87"/>
    </row>
    <row r="62" spans="1:21" ht="10.5">
      <c r="A62" s="270"/>
      <c r="B62" s="271"/>
      <c r="C62" s="54"/>
      <c r="D62" s="55"/>
      <c r="E62" s="55"/>
      <c r="F62" s="55"/>
      <c r="G62" s="55"/>
      <c r="H62" s="55"/>
      <c r="I62" s="55"/>
      <c r="J62" s="55"/>
      <c r="K62" s="60"/>
      <c r="L62" s="91" t="s">
        <v>402</v>
      </c>
      <c r="M62" s="58">
        <f>+M74</f>
        <v>22880</v>
      </c>
      <c r="N62" s="58">
        <f>+N74</f>
        <v>0</v>
      </c>
      <c r="O62" s="61">
        <f>+N62+M62</f>
        <v>22880</v>
      </c>
      <c r="P62" s="58">
        <f>+P74</f>
        <v>11440</v>
      </c>
      <c r="Q62" s="58">
        <f>+Q74</f>
        <v>0</v>
      </c>
      <c r="R62" s="61">
        <f>+Q62+P62</f>
        <v>11440</v>
      </c>
      <c r="S62" s="59">
        <f>R62*0.375</f>
        <v>4290</v>
      </c>
      <c r="T62" s="59">
        <f>R62-S62</f>
        <v>7150</v>
      </c>
      <c r="U62" s="87"/>
    </row>
    <row r="63" spans="1:21" ht="10.5">
      <c r="A63" s="270"/>
      <c r="B63" s="271"/>
      <c r="C63" s="54"/>
      <c r="D63" s="55"/>
      <c r="E63" s="55"/>
      <c r="F63" s="55"/>
      <c r="G63" s="55"/>
      <c r="H63" s="55"/>
      <c r="I63" s="55"/>
      <c r="J63" s="55"/>
      <c r="K63" s="60"/>
      <c r="L63" s="91" t="s">
        <v>530</v>
      </c>
      <c r="M63" s="58"/>
      <c r="N63" s="56"/>
      <c r="O63" s="61"/>
      <c r="P63" s="56"/>
      <c r="Q63" s="56"/>
      <c r="R63" s="61"/>
      <c r="S63" s="59"/>
      <c r="T63" s="59"/>
      <c r="U63" s="87"/>
    </row>
    <row r="64" spans="1:21" ht="10.5">
      <c r="A64" s="270"/>
      <c r="B64" s="271"/>
      <c r="C64" s="54"/>
      <c r="D64" s="55"/>
      <c r="E64" s="55"/>
      <c r="F64" s="55"/>
      <c r="G64" s="55"/>
      <c r="H64" s="55"/>
      <c r="I64" s="55"/>
      <c r="J64" s="55"/>
      <c r="K64" s="60"/>
      <c r="L64" s="91" t="s">
        <v>531</v>
      </c>
      <c r="M64" s="58">
        <f>+M85</f>
        <v>2450.99</v>
      </c>
      <c r="N64" s="58">
        <f>+N85</f>
        <v>490.2</v>
      </c>
      <c r="O64" s="61">
        <f>+N64+M64</f>
        <v>2941.1899999999996</v>
      </c>
      <c r="P64" s="58">
        <f>+P85</f>
        <v>1225.495</v>
      </c>
      <c r="Q64" s="58">
        <f>+Q85</f>
        <v>245.1</v>
      </c>
      <c r="R64" s="61">
        <f>+Q64+P64</f>
        <v>1470.5949999999998</v>
      </c>
      <c r="S64" s="59"/>
      <c r="T64" s="59"/>
      <c r="U64" s="87"/>
    </row>
    <row r="65" spans="1:21" ht="10.5">
      <c r="A65" s="270"/>
      <c r="B65" s="271"/>
      <c r="C65" s="54"/>
      <c r="D65" s="55"/>
      <c r="E65" s="55"/>
      <c r="F65" s="55"/>
      <c r="G65" s="55"/>
      <c r="H65" s="55"/>
      <c r="I65" s="55"/>
      <c r="J65" s="55"/>
      <c r="K65" s="60"/>
      <c r="L65" s="91" t="s">
        <v>532</v>
      </c>
      <c r="M65" s="58">
        <f>+M93</f>
        <v>9166.67</v>
      </c>
      <c r="N65" s="58">
        <f>+N93</f>
        <v>1833.33</v>
      </c>
      <c r="O65" s="61">
        <f>+N65+M65</f>
        <v>11000</v>
      </c>
      <c r="P65" s="58">
        <f>+P93</f>
        <v>4583.335</v>
      </c>
      <c r="Q65" s="58">
        <f>+Q93</f>
        <v>916.665</v>
      </c>
      <c r="R65" s="61">
        <f>+Q65+P65</f>
        <v>5500</v>
      </c>
      <c r="S65" s="59">
        <f>R65*0.375</f>
        <v>2062.5</v>
      </c>
      <c r="T65" s="59">
        <f>R65-S65</f>
        <v>3437.5</v>
      </c>
      <c r="U65" s="87"/>
    </row>
    <row r="66" spans="1:21" ht="10.5">
      <c r="A66" s="270"/>
      <c r="B66" s="271"/>
      <c r="C66" s="54"/>
      <c r="D66" s="55"/>
      <c r="E66" s="55"/>
      <c r="F66" s="55"/>
      <c r="G66" s="55"/>
      <c r="H66" s="55"/>
      <c r="I66" s="55"/>
      <c r="J66" s="55"/>
      <c r="K66" s="60"/>
      <c r="L66" s="91" t="s">
        <v>542</v>
      </c>
      <c r="M66" s="58"/>
      <c r="N66" s="56"/>
      <c r="O66" s="61"/>
      <c r="P66" s="56"/>
      <c r="Q66" s="56"/>
      <c r="R66" s="61"/>
      <c r="S66" s="59"/>
      <c r="T66" s="59"/>
      <c r="U66" s="87"/>
    </row>
    <row r="67" spans="1:21" ht="10.5">
      <c r="A67" s="272"/>
      <c r="B67" s="273"/>
      <c r="C67" s="267"/>
      <c r="D67" s="268"/>
      <c r="E67" s="268"/>
      <c r="F67" s="268"/>
      <c r="G67" s="268"/>
      <c r="H67" s="268"/>
      <c r="I67" s="268"/>
      <c r="J67" s="268"/>
      <c r="K67" s="269"/>
      <c r="L67" s="94" t="s">
        <v>13</v>
      </c>
      <c r="M67" s="66">
        <f>M58-M59-M60-M61-M62-M65</f>
        <v>36874.33</v>
      </c>
      <c r="N67" s="67">
        <f>N58-N59-N60-N61-N62-N65</f>
        <v>-2633.33</v>
      </c>
      <c r="O67" s="68"/>
      <c r="P67" s="67"/>
      <c r="Q67" s="67"/>
      <c r="R67" s="68"/>
      <c r="S67" s="59"/>
      <c r="T67" s="59"/>
      <c r="U67" s="87"/>
    </row>
    <row r="68" spans="1:20" ht="21">
      <c r="A68" s="70" t="s">
        <v>14</v>
      </c>
      <c r="B68" s="70" t="s">
        <v>11</v>
      </c>
      <c r="C68" s="71" t="s">
        <v>24</v>
      </c>
      <c r="D68" s="71" t="s">
        <v>20</v>
      </c>
      <c r="E68" s="72" t="s">
        <v>2</v>
      </c>
      <c r="F68" s="71" t="s">
        <v>19</v>
      </c>
      <c r="G68" s="71" t="s">
        <v>18</v>
      </c>
      <c r="H68" s="72" t="s">
        <v>17</v>
      </c>
      <c r="I68" s="72" t="s">
        <v>16</v>
      </c>
      <c r="J68" s="71" t="s">
        <v>3</v>
      </c>
      <c r="K68" s="71" t="s">
        <v>4</v>
      </c>
      <c r="L68" s="73" t="s">
        <v>5</v>
      </c>
      <c r="M68" s="74" t="s">
        <v>21</v>
      </c>
      <c r="N68" s="70" t="s">
        <v>39</v>
      </c>
      <c r="O68" s="73" t="s">
        <v>40</v>
      </c>
      <c r="P68" s="70" t="s">
        <v>22</v>
      </c>
      <c r="Q68" s="70" t="s">
        <v>41</v>
      </c>
      <c r="R68" s="73" t="s">
        <v>42</v>
      </c>
      <c r="S68" s="181" t="s">
        <v>27</v>
      </c>
      <c r="T68" s="181"/>
    </row>
    <row r="69" spans="1:20" ht="56.25" customHeight="1">
      <c r="A69" s="75" t="s">
        <v>78</v>
      </c>
      <c r="B69" s="76"/>
      <c r="C69" s="77" t="s">
        <v>50</v>
      </c>
      <c r="D69" s="77" t="s">
        <v>174</v>
      </c>
      <c r="E69" s="77" t="s">
        <v>175</v>
      </c>
      <c r="F69" s="77" t="s">
        <v>176</v>
      </c>
      <c r="G69" s="95">
        <v>38750</v>
      </c>
      <c r="H69" s="95">
        <v>38761</v>
      </c>
      <c r="I69" s="95" t="s">
        <v>177</v>
      </c>
      <c r="J69" s="132">
        <f>1380+117.3</f>
        <v>1497.3</v>
      </c>
      <c r="K69" s="132">
        <v>0</v>
      </c>
      <c r="L69" s="130">
        <v>1497.3</v>
      </c>
      <c r="M69" s="129"/>
      <c r="N69" s="129"/>
      <c r="O69" s="82"/>
      <c r="P69" s="81"/>
      <c r="Q69" s="81"/>
      <c r="R69" s="82"/>
      <c r="S69" s="251" t="s">
        <v>559</v>
      </c>
      <c r="T69" s="252"/>
    </row>
    <row r="70" spans="1:20" ht="69" customHeight="1">
      <c r="A70" s="75" t="s">
        <v>78</v>
      </c>
      <c r="B70" s="76"/>
      <c r="C70" s="77" t="s">
        <v>50</v>
      </c>
      <c r="D70" s="77" t="s">
        <v>178</v>
      </c>
      <c r="E70" s="77" t="s">
        <v>179</v>
      </c>
      <c r="F70" s="77" t="s">
        <v>180</v>
      </c>
      <c r="G70" s="95">
        <v>38754</v>
      </c>
      <c r="H70" s="95">
        <v>38761</v>
      </c>
      <c r="I70" s="95" t="s">
        <v>177</v>
      </c>
      <c r="J70" s="132">
        <v>4000</v>
      </c>
      <c r="K70" s="132">
        <v>800</v>
      </c>
      <c r="L70" s="130">
        <v>4800</v>
      </c>
      <c r="M70" s="132">
        <v>4000</v>
      </c>
      <c r="N70" s="132">
        <v>800</v>
      </c>
      <c r="O70" s="130">
        <v>4800</v>
      </c>
      <c r="P70" s="81">
        <f>+M70*0.5</f>
        <v>2000</v>
      </c>
      <c r="Q70" s="81">
        <f>+N70*0.5</f>
        <v>400</v>
      </c>
      <c r="R70" s="82">
        <f>+Q70+P70</f>
        <v>2400</v>
      </c>
      <c r="S70" s="251"/>
      <c r="T70" s="252"/>
    </row>
    <row r="71" spans="1:20" ht="52.5" customHeight="1">
      <c r="A71" s="75" t="s">
        <v>78</v>
      </c>
      <c r="B71" s="76"/>
      <c r="C71" s="77" t="s">
        <v>50</v>
      </c>
      <c r="D71" s="77" t="s">
        <v>181</v>
      </c>
      <c r="E71" s="77" t="s">
        <v>182</v>
      </c>
      <c r="F71" s="77" t="s">
        <v>176</v>
      </c>
      <c r="G71" s="95">
        <v>38743</v>
      </c>
      <c r="H71" s="95">
        <v>38761</v>
      </c>
      <c r="I71" s="95" t="s">
        <v>177</v>
      </c>
      <c r="J71" s="132">
        <f>2760+234.6</f>
        <v>2994.6</v>
      </c>
      <c r="K71" s="132">
        <v>0</v>
      </c>
      <c r="L71" s="130">
        <v>2994.6</v>
      </c>
      <c r="M71" s="129"/>
      <c r="N71" s="129"/>
      <c r="O71" s="82"/>
      <c r="P71" s="81"/>
      <c r="Q71" s="81"/>
      <c r="R71" s="82"/>
      <c r="S71" s="251" t="s">
        <v>559</v>
      </c>
      <c r="T71" s="252"/>
    </row>
    <row r="72" spans="1:20" ht="52.5" customHeight="1">
      <c r="A72" s="75" t="s">
        <v>214</v>
      </c>
      <c r="B72" s="76"/>
      <c r="C72" s="77" t="s">
        <v>50</v>
      </c>
      <c r="D72" s="154" t="s">
        <v>269</v>
      </c>
      <c r="E72" s="154" t="s">
        <v>270</v>
      </c>
      <c r="F72" s="154" t="s">
        <v>176</v>
      </c>
      <c r="G72" s="155">
        <v>38811</v>
      </c>
      <c r="H72" s="155">
        <v>38811</v>
      </c>
      <c r="I72" s="155" t="s">
        <v>177</v>
      </c>
      <c r="J72" s="156">
        <v>1843.32</v>
      </c>
      <c r="K72" s="156"/>
      <c r="L72" s="130">
        <v>1843.32</v>
      </c>
      <c r="M72" s="129"/>
      <c r="N72" s="129"/>
      <c r="O72" s="82"/>
      <c r="P72" s="81"/>
      <c r="Q72" s="81"/>
      <c r="R72" s="82"/>
      <c r="S72" s="189" t="s">
        <v>560</v>
      </c>
      <c r="T72" s="190"/>
    </row>
    <row r="73" spans="1:20" ht="52.5" customHeight="1">
      <c r="A73" s="75" t="s">
        <v>214</v>
      </c>
      <c r="B73" s="76"/>
      <c r="C73" s="77" t="s">
        <v>50</v>
      </c>
      <c r="D73" s="154" t="s">
        <v>271</v>
      </c>
      <c r="E73" s="154" t="s">
        <v>272</v>
      </c>
      <c r="F73" s="154" t="s">
        <v>176</v>
      </c>
      <c r="G73" s="155">
        <v>38810</v>
      </c>
      <c r="H73" s="155">
        <v>38811</v>
      </c>
      <c r="I73" s="155" t="s">
        <v>177</v>
      </c>
      <c r="J73" s="156">
        <v>2300</v>
      </c>
      <c r="K73" s="156">
        <v>0</v>
      </c>
      <c r="L73" s="130">
        <v>2300</v>
      </c>
      <c r="M73" s="129"/>
      <c r="N73" s="129"/>
      <c r="O73" s="82"/>
      <c r="P73" s="81"/>
      <c r="Q73" s="81"/>
      <c r="R73" s="82"/>
      <c r="S73" s="189" t="s">
        <v>560</v>
      </c>
      <c r="T73" s="190"/>
    </row>
    <row r="74" spans="1:20" ht="30" customHeight="1">
      <c r="A74" s="75" t="s">
        <v>303</v>
      </c>
      <c r="B74" s="76"/>
      <c r="C74" s="77" t="s">
        <v>173</v>
      </c>
      <c r="D74" s="154"/>
      <c r="E74" s="154" t="s">
        <v>352</v>
      </c>
      <c r="F74" s="154" t="s">
        <v>353</v>
      </c>
      <c r="G74" s="155">
        <v>38979</v>
      </c>
      <c r="H74" s="155">
        <v>39009</v>
      </c>
      <c r="I74" s="155" t="s">
        <v>185</v>
      </c>
      <c r="J74" s="156">
        <v>22880</v>
      </c>
      <c r="K74" s="156"/>
      <c r="L74" s="130">
        <v>22880</v>
      </c>
      <c r="M74" s="156">
        <v>22880</v>
      </c>
      <c r="N74" s="129"/>
      <c r="O74" s="82">
        <f>+N74+M74</f>
        <v>22880</v>
      </c>
      <c r="P74" s="81">
        <f>+M74*0.5</f>
        <v>11440</v>
      </c>
      <c r="Q74" s="81">
        <f>+N74*0.5</f>
        <v>0</v>
      </c>
      <c r="R74" s="82">
        <f>+Q74+P74</f>
        <v>11440</v>
      </c>
      <c r="S74" s="251"/>
      <c r="T74" s="252"/>
    </row>
    <row r="75" spans="1:20" ht="31.5">
      <c r="A75" s="75" t="s">
        <v>408</v>
      </c>
      <c r="B75" s="76"/>
      <c r="C75" s="77" t="s">
        <v>126</v>
      </c>
      <c r="D75" s="154" t="s">
        <v>409</v>
      </c>
      <c r="E75" s="154" t="s">
        <v>410</v>
      </c>
      <c r="F75" s="154">
        <v>39038</v>
      </c>
      <c r="G75" s="155">
        <v>39038</v>
      </c>
      <c r="H75" s="155">
        <v>39051</v>
      </c>
      <c r="I75" s="155" t="s">
        <v>185</v>
      </c>
      <c r="J75" s="156">
        <v>3913.88</v>
      </c>
      <c r="K75" s="156"/>
      <c r="L75" s="130">
        <v>5172.24</v>
      </c>
      <c r="M75" s="129"/>
      <c r="N75" s="129"/>
      <c r="O75" s="82"/>
      <c r="P75" s="81"/>
      <c r="Q75" s="81"/>
      <c r="R75" s="82"/>
      <c r="S75" s="251" t="s">
        <v>558</v>
      </c>
      <c r="T75" s="252"/>
    </row>
    <row r="76" spans="1:20" ht="21" customHeight="1">
      <c r="A76" s="75" t="s">
        <v>408</v>
      </c>
      <c r="B76" s="76"/>
      <c r="C76" s="77" t="s">
        <v>126</v>
      </c>
      <c r="D76" s="154" t="s">
        <v>411</v>
      </c>
      <c r="E76" s="154" t="s">
        <v>410</v>
      </c>
      <c r="F76" s="154">
        <v>39148</v>
      </c>
      <c r="G76" s="155">
        <v>39148</v>
      </c>
      <c r="H76" s="155">
        <v>39157</v>
      </c>
      <c r="I76" s="155" t="s">
        <v>185</v>
      </c>
      <c r="J76" s="156">
        <v>3862.21</v>
      </c>
      <c r="K76" s="156"/>
      <c r="L76" s="130">
        <v>4827.76</v>
      </c>
      <c r="M76" s="129"/>
      <c r="N76" s="129"/>
      <c r="O76" s="82"/>
      <c r="P76" s="81"/>
      <c r="Q76" s="81"/>
      <c r="R76" s="82"/>
      <c r="S76" s="251" t="s">
        <v>558</v>
      </c>
      <c r="T76" s="252"/>
    </row>
    <row r="77" spans="1:20" ht="21">
      <c r="A77" s="163" t="s">
        <v>408</v>
      </c>
      <c r="B77" s="164"/>
      <c r="C77" s="159" t="s">
        <v>50</v>
      </c>
      <c r="D77" s="154" t="s">
        <v>423</v>
      </c>
      <c r="E77" s="154" t="s">
        <v>424</v>
      </c>
      <c r="F77" s="154" t="s">
        <v>176</v>
      </c>
      <c r="G77" s="155">
        <v>39133</v>
      </c>
      <c r="H77" s="155">
        <v>39133</v>
      </c>
      <c r="I77" s="155" t="s">
        <v>142</v>
      </c>
      <c r="J77" s="156">
        <v>5475</v>
      </c>
      <c r="K77" s="156"/>
      <c r="L77" s="130">
        <v>5475</v>
      </c>
      <c r="M77" s="129"/>
      <c r="N77" s="129"/>
      <c r="O77" s="82"/>
      <c r="P77" s="81"/>
      <c r="Q77" s="81"/>
      <c r="R77" s="82"/>
      <c r="S77" s="251" t="s">
        <v>526</v>
      </c>
      <c r="T77" s="252"/>
    </row>
    <row r="78" spans="1:20" ht="21">
      <c r="A78" s="163" t="s">
        <v>408</v>
      </c>
      <c r="B78" s="164"/>
      <c r="C78" s="159" t="s">
        <v>50</v>
      </c>
      <c r="D78" s="154" t="s">
        <v>423</v>
      </c>
      <c r="E78" s="154" t="s">
        <v>425</v>
      </c>
      <c r="F78" s="154" t="s">
        <v>176</v>
      </c>
      <c r="G78" s="155">
        <v>39133</v>
      </c>
      <c r="H78" s="155">
        <v>39133</v>
      </c>
      <c r="I78" s="155" t="s">
        <v>142</v>
      </c>
      <c r="J78" s="156">
        <v>8800</v>
      </c>
      <c r="K78" s="156"/>
      <c r="L78" s="130">
        <v>8800</v>
      </c>
      <c r="M78" s="129"/>
      <c r="N78" s="129"/>
      <c r="O78" s="82"/>
      <c r="P78" s="81"/>
      <c r="Q78" s="81"/>
      <c r="R78" s="82"/>
      <c r="S78" s="251" t="s">
        <v>526</v>
      </c>
      <c r="T78" s="252"/>
    </row>
    <row r="79" spans="1:20" ht="21" customHeight="1">
      <c r="A79" s="75" t="s">
        <v>429</v>
      </c>
      <c r="B79" s="76"/>
      <c r="C79" s="77" t="s">
        <v>126</v>
      </c>
      <c r="D79" s="154" t="s">
        <v>430</v>
      </c>
      <c r="E79" s="154" t="s">
        <v>431</v>
      </c>
      <c r="F79" s="154" t="s">
        <v>432</v>
      </c>
      <c r="G79" s="155">
        <v>39162</v>
      </c>
      <c r="H79" s="155">
        <v>39182</v>
      </c>
      <c r="I79" s="155" t="s">
        <v>177</v>
      </c>
      <c r="J79" s="156">
        <v>4500</v>
      </c>
      <c r="K79" s="156"/>
      <c r="L79" s="130">
        <v>4500</v>
      </c>
      <c r="M79" s="129"/>
      <c r="N79" s="129"/>
      <c r="O79" s="82"/>
      <c r="P79" s="81"/>
      <c r="Q79" s="81"/>
      <c r="R79" s="82"/>
      <c r="S79" s="251" t="s">
        <v>558</v>
      </c>
      <c r="T79" s="252"/>
    </row>
    <row r="80" spans="1:20" ht="21" customHeight="1">
      <c r="A80" s="75" t="s">
        <v>429</v>
      </c>
      <c r="B80" s="76"/>
      <c r="C80" s="77" t="s">
        <v>126</v>
      </c>
      <c r="D80" s="154" t="s">
        <v>430</v>
      </c>
      <c r="E80" s="154" t="s">
        <v>433</v>
      </c>
      <c r="F80" s="154" t="s">
        <v>432</v>
      </c>
      <c r="G80" s="155">
        <v>39168</v>
      </c>
      <c r="H80" s="155">
        <v>39182</v>
      </c>
      <c r="I80" s="155" t="s">
        <v>177</v>
      </c>
      <c r="J80" s="156">
        <v>3500</v>
      </c>
      <c r="K80" s="156"/>
      <c r="L80" s="130">
        <v>3500</v>
      </c>
      <c r="M80" s="129"/>
      <c r="N80" s="129"/>
      <c r="O80" s="82"/>
      <c r="P80" s="81"/>
      <c r="Q80" s="81"/>
      <c r="R80" s="82"/>
      <c r="S80" s="251" t="s">
        <v>558</v>
      </c>
      <c r="T80" s="252"/>
    </row>
    <row r="81" spans="1:20" ht="21" customHeight="1">
      <c r="A81" s="75" t="s">
        <v>429</v>
      </c>
      <c r="B81" s="76"/>
      <c r="C81" s="77" t="s">
        <v>126</v>
      </c>
      <c r="D81" s="154" t="s">
        <v>430</v>
      </c>
      <c r="E81" s="154" t="s">
        <v>434</v>
      </c>
      <c r="F81" s="154" t="s">
        <v>432</v>
      </c>
      <c r="G81" s="155">
        <v>39170</v>
      </c>
      <c r="H81" s="155">
        <v>39182</v>
      </c>
      <c r="I81" s="155" t="s">
        <v>177</v>
      </c>
      <c r="J81" s="156">
        <v>4000</v>
      </c>
      <c r="K81" s="156"/>
      <c r="L81" s="130">
        <v>4000</v>
      </c>
      <c r="M81" s="129"/>
      <c r="N81" s="129"/>
      <c r="O81" s="82"/>
      <c r="P81" s="81"/>
      <c r="Q81" s="81"/>
      <c r="R81" s="82"/>
      <c r="S81" s="251" t="s">
        <v>558</v>
      </c>
      <c r="T81" s="252"/>
    </row>
    <row r="82" spans="1:20" ht="34.5" customHeight="1">
      <c r="A82" s="163" t="s">
        <v>429</v>
      </c>
      <c r="B82" s="164"/>
      <c r="C82" s="159" t="s">
        <v>50</v>
      </c>
      <c r="D82" s="154" t="s">
        <v>461</v>
      </c>
      <c r="E82" s="154" t="s">
        <v>462</v>
      </c>
      <c r="F82" s="154" t="s">
        <v>432</v>
      </c>
      <c r="G82" s="155"/>
      <c r="H82" s="155">
        <v>39274</v>
      </c>
      <c r="I82" s="155" t="s">
        <v>177</v>
      </c>
      <c r="J82" s="156">
        <v>10770</v>
      </c>
      <c r="K82" s="156"/>
      <c r="L82" s="130">
        <v>10770</v>
      </c>
      <c r="M82" s="129"/>
      <c r="N82" s="129"/>
      <c r="O82" s="82"/>
      <c r="P82" s="81"/>
      <c r="Q82" s="81"/>
      <c r="R82" s="82"/>
      <c r="S82" s="251" t="s">
        <v>561</v>
      </c>
      <c r="T82" s="252"/>
    </row>
    <row r="83" spans="1:20" ht="31.5" customHeight="1">
      <c r="A83" s="163" t="s">
        <v>429</v>
      </c>
      <c r="B83" s="164"/>
      <c r="C83" s="159" t="s">
        <v>50</v>
      </c>
      <c r="D83" s="154" t="s">
        <v>463</v>
      </c>
      <c r="E83" s="154" t="s">
        <v>462</v>
      </c>
      <c r="F83" s="154" t="s">
        <v>432</v>
      </c>
      <c r="G83" s="155"/>
      <c r="H83" s="155">
        <v>39274</v>
      </c>
      <c r="I83" s="155" t="s">
        <v>177</v>
      </c>
      <c r="J83" s="156">
        <v>903.97</v>
      </c>
      <c r="K83" s="156"/>
      <c r="L83" s="130">
        <v>903.97</v>
      </c>
      <c r="M83" s="129"/>
      <c r="N83" s="129"/>
      <c r="O83" s="82"/>
      <c r="P83" s="81"/>
      <c r="Q83" s="81"/>
      <c r="R83" s="82"/>
      <c r="S83" s="251" t="s">
        <v>561</v>
      </c>
      <c r="T83" s="252"/>
    </row>
    <row r="84" spans="1:20" ht="21" customHeight="1">
      <c r="A84" s="163" t="s">
        <v>429</v>
      </c>
      <c r="B84" s="164"/>
      <c r="C84" s="159" t="s">
        <v>50</v>
      </c>
      <c r="D84" s="154" t="s">
        <v>464</v>
      </c>
      <c r="E84" s="154" t="s">
        <v>462</v>
      </c>
      <c r="F84" s="154" t="s">
        <v>432</v>
      </c>
      <c r="G84" s="155"/>
      <c r="H84" s="155">
        <v>39274</v>
      </c>
      <c r="I84" s="155" t="s">
        <v>177</v>
      </c>
      <c r="J84" s="156">
        <v>915.45</v>
      </c>
      <c r="K84" s="156"/>
      <c r="L84" s="130">
        <v>915.45</v>
      </c>
      <c r="M84" s="129"/>
      <c r="N84" s="129"/>
      <c r="O84" s="82"/>
      <c r="P84" s="81"/>
      <c r="Q84" s="81"/>
      <c r="R84" s="82"/>
      <c r="S84" s="251" t="s">
        <v>561</v>
      </c>
      <c r="T84" s="252"/>
    </row>
    <row r="85" spans="1:20" ht="21" customHeight="1">
      <c r="A85" s="163" t="s">
        <v>429</v>
      </c>
      <c r="B85" s="164"/>
      <c r="C85" s="159" t="s">
        <v>50</v>
      </c>
      <c r="D85" s="154" t="s">
        <v>461</v>
      </c>
      <c r="E85" s="154" t="s">
        <v>465</v>
      </c>
      <c r="F85" s="154" t="s">
        <v>466</v>
      </c>
      <c r="G85" s="155">
        <v>39050</v>
      </c>
      <c r="H85" s="155">
        <v>39057</v>
      </c>
      <c r="I85" s="155" t="s">
        <v>177</v>
      </c>
      <c r="J85" s="156">
        <v>2450.99</v>
      </c>
      <c r="K85" s="156">
        <v>490.2</v>
      </c>
      <c r="L85" s="130">
        <v>2941.19</v>
      </c>
      <c r="M85" s="156">
        <v>2450.99</v>
      </c>
      <c r="N85" s="156">
        <v>490.2</v>
      </c>
      <c r="O85" s="130">
        <v>2941.19</v>
      </c>
      <c r="P85" s="81">
        <f>+M85*0.5</f>
        <v>1225.495</v>
      </c>
      <c r="Q85" s="81">
        <f>+N85*0.5</f>
        <v>245.1</v>
      </c>
      <c r="R85" s="82">
        <f>+Q85+P85</f>
        <v>1470.5949999999998</v>
      </c>
      <c r="S85" s="251"/>
      <c r="T85" s="252"/>
    </row>
    <row r="86" spans="1:20" ht="21" customHeight="1">
      <c r="A86" s="163" t="s">
        <v>498</v>
      </c>
      <c r="B86" s="164"/>
      <c r="C86" s="159" t="s">
        <v>50</v>
      </c>
      <c r="D86" s="154" t="s">
        <v>504</v>
      </c>
      <c r="E86" s="154" t="s">
        <v>505</v>
      </c>
      <c r="F86" s="154"/>
      <c r="G86" s="155" t="s">
        <v>506</v>
      </c>
      <c r="H86" s="155">
        <v>39373</v>
      </c>
      <c r="I86" s="155" t="s">
        <v>185</v>
      </c>
      <c r="J86" s="156">
        <v>3680</v>
      </c>
      <c r="K86" s="156"/>
      <c r="L86" s="130">
        <v>3680</v>
      </c>
      <c r="M86" s="129"/>
      <c r="N86" s="129"/>
      <c r="O86" s="82"/>
      <c r="P86" s="81"/>
      <c r="Q86" s="81"/>
      <c r="R86" s="82"/>
      <c r="S86" s="251" t="s">
        <v>561</v>
      </c>
      <c r="T86" s="252"/>
    </row>
    <row r="87" spans="1:20" ht="21" customHeight="1">
      <c r="A87" s="163" t="s">
        <v>498</v>
      </c>
      <c r="B87" s="164"/>
      <c r="C87" s="159" t="s">
        <v>50</v>
      </c>
      <c r="D87" s="154" t="s">
        <v>504</v>
      </c>
      <c r="E87" s="154" t="s">
        <v>507</v>
      </c>
      <c r="F87" s="154"/>
      <c r="G87" s="155">
        <v>2550</v>
      </c>
      <c r="H87" s="155">
        <v>39406</v>
      </c>
      <c r="I87" s="155" t="s">
        <v>185</v>
      </c>
      <c r="J87" s="156">
        <v>5620</v>
      </c>
      <c r="K87" s="156"/>
      <c r="L87" s="130">
        <v>5620</v>
      </c>
      <c r="M87" s="129"/>
      <c r="N87" s="129"/>
      <c r="O87" s="82"/>
      <c r="P87" s="81"/>
      <c r="Q87" s="81"/>
      <c r="R87" s="82"/>
      <c r="S87" s="251" t="s">
        <v>561</v>
      </c>
      <c r="T87" s="252"/>
    </row>
    <row r="88" spans="1:20" ht="21" customHeight="1">
      <c r="A88" s="163" t="s">
        <v>498</v>
      </c>
      <c r="B88" s="164"/>
      <c r="C88" s="159" t="s">
        <v>50</v>
      </c>
      <c r="D88" s="154" t="s">
        <v>508</v>
      </c>
      <c r="E88" s="154" t="s">
        <v>509</v>
      </c>
      <c r="F88" s="154"/>
      <c r="G88" s="155">
        <v>2550</v>
      </c>
      <c r="H88" s="155">
        <v>39407</v>
      </c>
      <c r="I88" s="155" t="s">
        <v>185</v>
      </c>
      <c r="J88" s="156">
        <v>477.7</v>
      </c>
      <c r="K88" s="156"/>
      <c r="L88" s="130">
        <v>477.7</v>
      </c>
      <c r="M88" s="129"/>
      <c r="N88" s="129"/>
      <c r="O88" s="82"/>
      <c r="P88" s="81"/>
      <c r="Q88" s="81"/>
      <c r="R88" s="82"/>
      <c r="S88" s="251" t="s">
        <v>561</v>
      </c>
      <c r="T88" s="252"/>
    </row>
    <row r="89" spans="1:20" ht="21" customHeight="1">
      <c r="A89" s="163" t="s">
        <v>498</v>
      </c>
      <c r="B89" s="164"/>
      <c r="C89" s="159" t="s">
        <v>50</v>
      </c>
      <c r="D89" s="154" t="s">
        <v>510</v>
      </c>
      <c r="E89" s="154" t="s">
        <v>507</v>
      </c>
      <c r="F89" s="154"/>
      <c r="G89" s="155">
        <v>2550</v>
      </c>
      <c r="H89" s="155">
        <v>39408</v>
      </c>
      <c r="I89" s="155" t="s">
        <v>185</v>
      </c>
      <c r="J89" s="156">
        <v>888.71</v>
      </c>
      <c r="K89" s="156"/>
      <c r="L89" s="130">
        <v>888.71</v>
      </c>
      <c r="M89" s="129"/>
      <c r="N89" s="129"/>
      <c r="O89" s="82"/>
      <c r="P89" s="81"/>
      <c r="Q89" s="81"/>
      <c r="R89" s="82"/>
      <c r="S89" s="251" t="s">
        <v>561</v>
      </c>
      <c r="T89" s="252"/>
    </row>
    <row r="90" spans="1:20" ht="21" customHeight="1">
      <c r="A90" s="163" t="s">
        <v>498</v>
      </c>
      <c r="B90" s="164"/>
      <c r="C90" s="159" t="s">
        <v>50</v>
      </c>
      <c r="D90" s="154" t="s">
        <v>504</v>
      </c>
      <c r="E90" s="154" t="s">
        <v>511</v>
      </c>
      <c r="F90" s="154"/>
      <c r="G90" s="155">
        <v>2560</v>
      </c>
      <c r="H90" s="155">
        <v>39406</v>
      </c>
      <c r="I90" s="155" t="s">
        <v>185</v>
      </c>
      <c r="J90" s="156">
        <v>9150</v>
      </c>
      <c r="K90" s="156"/>
      <c r="L90" s="130">
        <v>9150</v>
      </c>
      <c r="M90" s="129"/>
      <c r="N90" s="129"/>
      <c r="O90" s="82"/>
      <c r="P90" s="81"/>
      <c r="Q90" s="81"/>
      <c r="R90" s="82"/>
      <c r="S90" s="251" t="s">
        <v>561</v>
      </c>
      <c r="T90" s="252"/>
    </row>
    <row r="91" spans="1:20" ht="21" customHeight="1">
      <c r="A91" s="163" t="s">
        <v>498</v>
      </c>
      <c r="B91" s="164"/>
      <c r="C91" s="159" t="s">
        <v>50</v>
      </c>
      <c r="D91" s="154" t="s">
        <v>512</v>
      </c>
      <c r="E91" s="154" t="s">
        <v>511</v>
      </c>
      <c r="F91" s="154"/>
      <c r="G91" s="155">
        <v>2560</v>
      </c>
      <c r="H91" s="155">
        <v>39406</v>
      </c>
      <c r="I91" s="155" t="s">
        <v>185</v>
      </c>
      <c r="J91" s="156">
        <v>777.75</v>
      </c>
      <c r="K91" s="156"/>
      <c r="L91" s="130">
        <v>777.75</v>
      </c>
      <c r="M91" s="129"/>
      <c r="N91" s="129"/>
      <c r="O91" s="82"/>
      <c r="P91" s="81"/>
      <c r="Q91" s="81"/>
      <c r="R91" s="82"/>
      <c r="S91" s="251" t="s">
        <v>561</v>
      </c>
      <c r="T91" s="252"/>
    </row>
    <row r="92" spans="1:20" ht="21" customHeight="1">
      <c r="A92" s="163" t="s">
        <v>498</v>
      </c>
      <c r="B92" s="164"/>
      <c r="C92" s="159" t="s">
        <v>50</v>
      </c>
      <c r="D92" s="154" t="s">
        <v>513</v>
      </c>
      <c r="E92" s="154" t="s">
        <v>511</v>
      </c>
      <c r="F92" s="154"/>
      <c r="G92" s="155">
        <v>2560</v>
      </c>
      <c r="H92" s="155">
        <v>39406</v>
      </c>
      <c r="I92" s="155" t="s">
        <v>185</v>
      </c>
      <c r="J92" s="156">
        <v>656.25</v>
      </c>
      <c r="K92" s="156"/>
      <c r="L92" s="130">
        <v>656.25</v>
      </c>
      <c r="M92" s="129"/>
      <c r="N92" s="129"/>
      <c r="O92" s="82"/>
      <c r="P92" s="81"/>
      <c r="Q92" s="81"/>
      <c r="R92" s="82"/>
      <c r="S92" s="251" t="s">
        <v>561</v>
      </c>
      <c r="T92" s="252"/>
    </row>
    <row r="93" spans="1:20" ht="21" customHeight="1">
      <c r="A93" s="163" t="s">
        <v>498</v>
      </c>
      <c r="B93" s="164"/>
      <c r="C93" s="159" t="s">
        <v>50</v>
      </c>
      <c r="D93" s="154" t="s">
        <v>563</v>
      </c>
      <c r="E93" s="154" t="s">
        <v>514</v>
      </c>
      <c r="F93" s="154">
        <v>9</v>
      </c>
      <c r="G93" s="155">
        <v>39379</v>
      </c>
      <c r="H93" s="155">
        <v>39406</v>
      </c>
      <c r="I93" s="155" t="s">
        <v>185</v>
      </c>
      <c r="J93" s="156">
        <v>9166.67</v>
      </c>
      <c r="K93" s="156">
        <v>1833.33</v>
      </c>
      <c r="L93" s="130">
        <v>11000</v>
      </c>
      <c r="M93" s="156">
        <v>9166.67</v>
      </c>
      <c r="N93" s="156">
        <v>1833.33</v>
      </c>
      <c r="O93" s="130">
        <v>11000</v>
      </c>
      <c r="P93" s="81">
        <f>+M93*0.5</f>
        <v>4583.335</v>
      </c>
      <c r="Q93" s="81">
        <f>+N93*0.5</f>
        <v>916.665</v>
      </c>
      <c r="R93" s="82">
        <f>+Q93+P93</f>
        <v>5500</v>
      </c>
      <c r="S93" s="251"/>
      <c r="T93" s="252"/>
    </row>
    <row r="94" spans="1:20" ht="21" customHeight="1">
      <c r="A94" s="163" t="s">
        <v>498</v>
      </c>
      <c r="B94" s="164"/>
      <c r="C94" s="159" t="s">
        <v>50</v>
      </c>
      <c r="D94" s="154" t="s">
        <v>563</v>
      </c>
      <c r="E94" s="154" t="s">
        <v>514</v>
      </c>
      <c r="F94" s="154">
        <v>9</v>
      </c>
      <c r="G94" s="155">
        <v>39379</v>
      </c>
      <c r="H94" s="155">
        <v>39406</v>
      </c>
      <c r="I94" s="155" t="s">
        <v>185</v>
      </c>
      <c r="J94" s="156">
        <v>312.8</v>
      </c>
      <c r="K94" s="156"/>
      <c r="L94" s="130">
        <v>312.8</v>
      </c>
      <c r="M94" s="129"/>
      <c r="N94" s="129"/>
      <c r="O94" s="82"/>
      <c r="P94" s="81"/>
      <c r="Q94" s="81"/>
      <c r="R94" s="82"/>
      <c r="S94" s="251" t="s">
        <v>564</v>
      </c>
      <c r="T94" s="252"/>
    </row>
    <row r="95" spans="1:20" ht="10.5">
      <c r="A95" s="163"/>
      <c r="B95" s="164"/>
      <c r="C95" s="159"/>
      <c r="D95" s="154"/>
      <c r="E95" s="154"/>
      <c r="F95" s="154"/>
      <c r="G95" s="155"/>
      <c r="H95" s="155"/>
      <c r="I95" s="155"/>
      <c r="J95" s="156"/>
      <c r="K95" s="156"/>
      <c r="L95" s="130"/>
      <c r="M95" s="129"/>
      <c r="N95" s="129"/>
      <c r="O95" s="82"/>
      <c r="P95" s="81"/>
      <c r="Q95" s="81"/>
      <c r="R95" s="82"/>
      <c r="S95" s="165"/>
      <c r="T95" s="166"/>
    </row>
    <row r="96" spans="1:20" ht="10.5" customHeight="1">
      <c r="A96" s="75"/>
      <c r="B96" s="76"/>
      <c r="C96" s="78"/>
      <c r="D96" s="77"/>
      <c r="E96" s="78"/>
      <c r="F96" s="77"/>
      <c r="G96" s="79"/>
      <c r="H96" s="95"/>
      <c r="I96" s="95"/>
      <c r="J96" s="81"/>
      <c r="K96" s="81">
        <f>+J96*0.2</f>
        <v>0</v>
      </c>
      <c r="L96" s="82">
        <f>SUM(J96:K96)</f>
        <v>0</v>
      </c>
      <c r="M96" s="83">
        <v>0</v>
      </c>
      <c r="N96" s="83"/>
      <c r="O96" s="82"/>
      <c r="P96" s="81">
        <f>M96*0.65</f>
        <v>0</v>
      </c>
      <c r="Q96" s="81"/>
      <c r="R96" s="82"/>
      <c r="S96" s="185"/>
      <c r="T96" s="185"/>
    </row>
    <row r="97" ht="10.5"/>
    <row r="98" spans="1:20" ht="10.5">
      <c r="A98" s="277" t="s">
        <v>1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9"/>
      <c r="M98" s="41" t="s">
        <v>43</v>
      </c>
      <c r="N98" s="42" t="s">
        <v>44</v>
      </c>
      <c r="O98" s="43" t="s">
        <v>45</v>
      </c>
      <c r="P98" s="42" t="s">
        <v>46</v>
      </c>
      <c r="Q98" s="42" t="s">
        <v>47</v>
      </c>
      <c r="R98" s="43" t="s">
        <v>42</v>
      </c>
      <c r="S98" s="44" t="s">
        <v>25</v>
      </c>
      <c r="T98" s="45" t="s">
        <v>26</v>
      </c>
    </row>
    <row r="99" spans="1:21" ht="10.5">
      <c r="A99" s="270"/>
      <c r="B99" s="271"/>
      <c r="C99" s="274"/>
      <c r="D99" s="275"/>
      <c r="E99" s="275"/>
      <c r="F99" s="275"/>
      <c r="G99" s="275"/>
      <c r="H99" s="275"/>
      <c r="I99" s="275"/>
      <c r="J99" s="275"/>
      <c r="K99" s="276"/>
      <c r="L99" s="49" t="s">
        <v>12</v>
      </c>
      <c r="M99" s="89">
        <v>112511</v>
      </c>
      <c r="N99" s="52"/>
      <c r="O99" s="51"/>
      <c r="P99" s="52"/>
      <c r="Q99" s="52"/>
      <c r="R99" s="51"/>
      <c r="S99" s="90"/>
      <c r="T99" s="90"/>
      <c r="U99" s="87"/>
    </row>
    <row r="100" spans="1:21" ht="10.5">
      <c r="A100" s="270"/>
      <c r="B100" s="271"/>
      <c r="C100" s="54"/>
      <c r="D100" s="55"/>
      <c r="E100" s="55"/>
      <c r="F100" s="55"/>
      <c r="G100" s="55"/>
      <c r="H100" s="55"/>
      <c r="I100" s="55"/>
      <c r="J100" s="55"/>
      <c r="K100" s="96"/>
      <c r="L100" s="57" t="s">
        <v>28</v>
      </c>
      <c r="M100" s="58"/>
      <c r="N100" s="56">
        <f>SUM(N110:N114)</f>
        <v>0</v>
      </c>
      <c r="O100" s="61"/>
      <c r="P100" s="56"/>
      <c r="Q100" s="56">
        <f>SUM(Q110:Q114)</f>
        <v>0</v>
      </c>
      <c r="R100" s="61"/>
      <c r="S100" s="59">
        <f>R100*0.375</f>
        <v>0</v>
      </c>
      <c r="T100" s="59">
        <f>R100-S100</f>
        <v>0</v>
      </c>
      <c r="U100" s="87"/>
    </row>
    <row r="101" spans="1:21" ht="10.5">
      <c r="A101" s="270"/>
      <c r="B101" s="271"/>
      <c r="C101" s="54"/>
      <c r="D101" s="55"/>
      <c r="E101" s="55"/>
      <c r="F101" s="55"/>
      <c r="G101" s="55"/>
      <c r="H101" s="55"/>
      <c r="I101" s="55"/>
      <c r="J101" s="55"/>
      <c r="K101" s="60"/>
      <c r="L101" s="57" t="s">
        <v>212</v>
      </c>
      <c r="M101" s="58">
        <v>0</v>
      </c>
      <c r="N101" s="56"/>
      <c r="O101" s="61"/>
      <c r="P101" s="56">
        <v>0</v>
      </c>
      <c r="Q101" s="97"/>
      <c r="R101" s="98"/>
      <c r="S101" s="59">
        <f>R101*0.375</f>
        <v>0</v>
      </c>
      <c r="T101" s="59">
        <f>R101-S101</f>
        <v>0</v>
      </c>
      <c r="U101" s="87"/>
    </row>
    <row r="102" spans="1:21" ht="10.5">
      <c r="A102" s="270"/>
      <c r="B102" s="271"/>
      <c r="C102" s="54"/>
      <c r="D102" s="55"/>
      <c r="E102" s="55"/>
      <c r="F102" s="55"/>
      <c r="G102" s="55"/>
      <c r="H102" s="55"/>
      <c r="I102" s="55"/>
      <c r="J102" s="55"/>
      <c r="K102" s="60"/>
      <c r="L102" s="57" t="s">
        <v>299</v>
      </c>
      <c r="M102" s="58">
        <f>+M110</f>
        <v>3445.5</v>
      </c>
      <c r="N102" s="58">
        <f>+N110</f>
        <v>0</v>
      </c>
      <c r="O102" s="61">
        <f>+N102+M102</f>
        <v>3445.5</v>
      </c>
      <c r="P102" s="58">
        <f>+P110</f>
        <v>1722.75</v>
      </c>
      <c r="Q102" s="58">
        <f>+Q110</f>
        <v>0</v>
      </c>
      <c r="R102" s="61">
        <f>+Q102+P102</f>
        <v>1722.75</v>
      </c>
      <c r="S102" s="59">
        <f>R102*0.375</f>
        <v>646.03125</v>
      </c>
      <c r="T102" s="59">
        <f>R102-S102</f>
        <v>1076.71875</v>
      </c>
      <c r="U102" s="87"/>
    </row>
    <row r="103" spans="1:21" ht="10.5">
      <c r="A103" s="270"/>
      <c r="B103" s="271"/>
      <c r="C103" s="54"/>
      <c r="D103" s="55"/>
      <c r="E103" s="55"/>
      <c r="F103" s="55"/>
      <c r="G103" s="55"/>
      <c r="H103" s="55"/>
      <c r="I103" s="55"/>
      <c r="J103" s="55"/>
      <c r="K103" s="60"/>
      <c r="L103" s="57" t="s">
        <v>402</v>
      </c>
      <c r="M103" s="58">
        <f>SUM(M111:M112)</f>
        <v>2995</v>
      </c>
      <c r="N103" s="56"/>
      <c r="O103" s="61">
        <f>+N103+M103</f>
        <v>2995</v>
      </c>
      <c r="P103" s="58">
        <f>SUM(P111:P112)</f>
        <v>1497.5</v>
      </c>
      <c r="Q103" s="56"/>
      <c r="R103" s="61">
        <f>+Q103+P103</f>
        <v>1497.5</v>
      </c>
      <c r="S103" s="59">
        <f>R103*0.375</f>
        <v>561.5625</v>
      </c>
      <c r="T103" s="59">
        <f>R103-S103</f>
        <v>935.9375</v>
      </c>
      <c r="U103" s="87"/>
    </row>
    <row r="104" spans="1:21" ht="10.5">
      <c r="A104" s="270"/>
      <c r="B104" s="271"/>
      <c r="C104" s="54"/>
      <c r="D104" s="55"/>
      <c r="E104" s="55"/>
      <c r="F104" s="55"/>
      <c r="G104" s="55"/>
      <c r="H104" s="55"/>
      <c r="I104" s="55"/>
      <c r="J104" s="55"/>
      <c r="K104" s="60"/>
      <c r="L104" s="57" t="s">
        <v>530</v>
      </c>
      <c r="M104" s="58">
        <f>+M113</f>
        <v>22999.5</v>
      </c>
      <c r="N104" s="58">
        <f>+N113</f>
        <v>0</v>
      </c>
      <c r="O104" s="61">
        <f>+N104+M104</f>
        <v>22999.5</v>
      </c>
      <c r="P104" s="58">
        <f>+P113</f>
        <v>11499.75</v>
      </c>
      <c r="Q104" s="58">
        <f>+Q113</f>
        <v>0</v>
      </c>
      <c r="R104" s="61">
        <f>+Q104+P104</f>
        <v>11499.75</v>
      </c>
      <c r="S104" s="59">
        <f>R104*0.375</f>
        <v>4312.40625</v>
      </c>
      <c r="T104" s="59">
        <f>R104-S104</f>
        <v>7187.34375</v>
      </c>
      <c r="U104" s="87"/>
    </row>
    <row r="105" spans="1:21" ht="10.5">
      <c r="A105" s="270"/>
      <c r="B105" s="271"/>
      <c r="C105" s="54"/>
      <c r="D105" s="55"/>
      <c r="E105" s="55"/>
      <c r="F105" s="55"/>
      <c r="G105" s="55"/>
      <c r="H105" s="55"/>
      <c r="I105" s="55"/>
      <c r="J105" s="55"/>
      <c r="K105" s="60"/>
      <c r="L105" s="57" t="s">
        <v>531</v>
      </c>
      <c r="M105" s="58"/>
      <c r="N105" s="56"/>
      <c r="O105" s="61"/>
      <c r="P105" s="58"/>
      <c r="Q105" s="56"/>
      <c r="R105" s="61"/>
      <c r="S105" s="59"/>
      <c r="T105" s="59"/>
      <c r="U105" s="87"/>
    </row>
    <row r="106" spans="1:21" ht="10.5">
      <c r="A106" s="270"/>
      <c r="B106" s="271"/>
      <c r="C106" s="54"/>
      <c r="D106" s="55"/>
      <c r="E106" s="55"/>
      <c r="F106" s="55"/>
      <c r="G106" s="55"/>
      <c r="H106" s="55"/>
      <c r="I106" s="55"/>
      <c r="J106" s="55"/>
      <c r="K106" s="60"/>
      <c r="L106" s="57" t="s">
        <v>532</v>
      </c>
      <c r="M106" s="58"/>
      <c r="N106" s="56"/>
      <c r="O106" s="61"/>
      <c r="P106" s="58"/>
      <c r="Q106" s="56"/>
      <c r="R106" s="61">
        <f>+Q106+P106</f>
        <v>0</v>
      </c>
      <c r="S106" s="59">
        <f>R106*0.375</f>
        <v>0</v>
      </c>
      <c r="T106" s="59">
        <f>R106-S106</f>
        <v>0</v>
      </c>
      <c r="U106" s="87"/>
    </row>
    <row r="107" spans="1:21" ht="10.5">
      <c r="A107" s="270"/>
      <c r="B107" s="271"/>
      <c r="C107" s="54"/>
      <c r="D107" s="55"/>
      <c r="E107" s="55"/>
      <c r="F107" s="55"/>
      <c r="G107" s="55"/>
      <c r="H107" s="55"/>
      <c r="I107" s="55"/>
      <c r="J107" s="55"/>
      <c r="K107" s="60"/>
      <c r="L107" s="57" t="s">
        <v>542</v>
      </c>
      <c r="M107" s="58"/>
      <c r="N107" s="56"/>
      <c r="O107" s="61"/>
      <c r="P107" s="58"/>
      <c r="Q107" s="176"/>
      <c r="R107" s="177"/>
      <c r="S107" s="175"/>
      <c r="T107" s="175"/>
      <c r="U107" s="87"/>
    </row>
    <row r="108" spans="1:21" ht="10.5">
      <c r="A108" s="272"/>
      <c r="B108" s="273"/>
      <c r="C108" s="267"/>
      <c r="D108" s="268"/>
      <c r="E108" s="268"/>
      <c r="F108" s="268"/>
      <c r="G108" s="268"/>
      <c r="H108" s="268"/>
      <c r="I108" s="268"/>
      <c r="J108" s="268"/>
      <c r="K108" s="269"/>
      <c r="L108" s="65" t="s">
        <v>13</v>
      </c>
      <c r="M108" s="66">
        <f>M99-M100-M101-M102-M103-M104</f>
        <v>83071</v>
      </c>
      <c r="N108" s="67"/>
      <c r="O108" s="68"/>
      <c r="P108" s="99">
        <f>P99-P100</f>
        <v>0</v>
      </c>
      <c r="Q108" s="100"/>
      <c r="R108" s="101"/>
      <c r="S108" s="100"/>
      <c r="T108" s="12"/>
      <c r="U108" s="87"/>
    </row>
    <row r="109" spans="1:20" ht="34.5" customHeight="1">
      <c r="A109" s="70" t="s">
        <v>14</v>
      </c>
      <c r="B109" s="70" t="s">
        <v>11</v>
      </c>
      <c r="C109" s="71" t="s">
        <v>24</v>
      </c>
      <c r="D109" s="71" t="s">
        <v>20</v>
      </c>
      <c r="E109" s="72" t="s">
        <v>2</v>
      </c>
      <c r="F109" s="71" t="s">
        <v>19</v>
      </c>
      <c r="G109" s="71" t="s">
        <v>18</v>
      </c>
      <c r="H109" s="72" t="s">
        <v>17</v>
      </c>
      <c r="I109" s="72" t="s">
        <v>16</v>
      </c>
      <c r="J109" s="71" t="s">
        <v>3</v>
      </c>
      <c r="K109" s="71" t="s">
        <v>4</v>
      </c>
      <c r="L109" s="73" t="s">
        <v>5</v>
      </c>
      <c r="M109" s="74" t="s">
        <v>21</v>
      </c>
      <c r="N109" s="70" t="s">
        <v>39</v>
      </c>
      <c r="O109" s="73" t="s">
        <v>40</v>
      </c>
      <c r="P109" s="70" t="s">
        <v>22</v>
      </c>
      <c r="Q109" s="70" t="s">
        <v>41</v>
      </c>
      <c r="R109" s="73" t="s">
        <v>42</v>
      </c>
      <c r="S109" s="181" t="s">
        <v>27</v>
      </c>
      <c r="T109" s="181"/>
    </row>
    <row r="110" spans="1:20" ht="21">
      <c r="A110" s="75" t="s">
        <v>214</v>
      </c>
      <c r="B110" s="76"/>
      <c r="C110" s="77" t="s">
        <v>50</v>
      </c>
      <c r="D110" s="77" t="s">
        <v>273</v>
      </c>
      <c r="E110" s="77" t="s">
        <v>274</v>
      </c>
      <c r="F110" s="78" t="s">
        <v>275</v>
      </c>
      <c r="G110" s="79">
        <v>38791</v>
      </c>
      <c r="H110" s="80">
        <v>38826</v>
      </c>
      <c r="I110" s="80" t="s">
        <v>185</v>
      </c>
      <c r="J110" s="81">
        <v>3445.5</v>
      </c>
      <c r="K110" s="81">
        <v>689.1</v>
      </c>
      <c r="L110" s="82">
        <v>4134.6</v>
      </c>
      <c r="M110" s="81">
        <v>3445.5</v>
      </c>
      <c r="N110" s="81"/>
      <c r="O110" s="82">
        <f>+N110+M110</f>
        <v>3445.5</v>
      </c>
      <c r="P110" s="81">
        <f>M110*0.5</f>
        <v>1722.75</v>
      </c>
      <c r="Q110" s="81"/>
      <c r="R110" s="82">
        <f>+Q110+P110</f>
        <v>1722.75</v>
      </c>
      <c r="S110" s="180"/>
      <c r="T110" s="180"/>
    </row>
    <row r="111" spans="1:20" ht="31.5" customHeight="1">
      <c r="A111" s="75" t="s">
        <v>303</v>
      </c>
      <c r="B111" s="76"/>
      <c r="C111" s="77" t="s">
        <v>173</v>
      </c>
      <c r="D111" s="77" t="s">
        <v>359</v>
      </c>
      <c r="E111" s="77" t="s">
        <v>354</v>
      </c>
      <c r="F111" s="78" t="s">
        <v>355</v>
      </c>
      <c r="G111" s="79">
        <v>38622</v>
      </c>
      <c r="H111" s="80">
        <v>38659</v>
      </c>
      <c r="I111" s="80" t="s">
        <v>185</v>
      </c>
      <c r="J111" s="81">
        <v>2000</v>
      </c>
      <c r="K111" s="81"/>
      <c r="L111" s="82">
        <v>2000</v>
      </c>
      <c r="M111" s="83">
        <v>2000</v>
      </c>
      <c r="N111" s="81"/>
      <c r="O111" s="82">
        <f>+N111+M111</f>
        <v>2000</v>
      </c>
      <c r="P111" s="81">
        <f>M111*0.5</f>
        <v>1000</v>
      </c>
      <c r="Q111" s="81"/>
      <c r="R111" s="82">
        <f>+Q111+P111</f>
        <v>1000</v>
      </c>
      <c r="S111" s="251"/>
      <c r="T111" s="252"/>
    </row>
    <row r="112" spans="1:20" ht="33" customHeight="1">
      <c r="A112" s="75" t="s">
        <v>303</v>
      </c>
      <c r="B112" s="76"/>
      <c r="C112" s="77" t="s">
        <v>173</v>
      </c>
      <c r="D112" s="77" t="s">
        <v>356</v>
      </c>
      <c r="E112" s="77" t="s">
        <v>357</v>
      </c>
      <c r="F112" s="78" t="s">
        <v>358</v>
      </c>
      <c r="G112" s="79">
        <v>39014</v>
      </c>
      <c r="H112" s="80">
        <v>39020</v>
      </c>
      <c r="I112" s="80" t="s">
        <v>185</v>
      </c>
      <c r="J112" s="81">
        <v>995</v>
      </c>
      <c r="K112" s="81"/>
      <c r="L112" s="82">
        <v>995</v>
      </c>
      <c r="M112" s="83">
        <v>995</v>
      </c>
      <c r="N112" s="81"/>
      <c r="O112" s="82">
        <f>+N112+M112</f>
        <v>995</v>
      </c>
      <c r="P112" s="81">
        <f>M112*0.5</f>
        <v>497.5</v>
      </c>
      <c r="Q112" s="81"/>
      <c r="R112" s="82">
        <f>+Q112+P112</f>
        <v>497.5</v>
      </c>
      <c r="S112" s="251"/>
      <c r="T112" s="252"/>
    </row>
    <row r="113" spans="1:20" ht="31.5">
      <c r="A113" s="163" t="s">
        <v>408</v>
      </c>
      <c r="B113" s="164"/>
      <c r="C113" s="159" t="s">
        <v>50</v>
      </c>
      <c r="D113" s="77" t="s">
        <v>426</v>
      </c>
      <c r="E113" s="77" t="s">
        <v>427</v>
      </c>
      <c r="F113" s="78">
        <v>23</v>
      </c>
      <c r="G113" s="79">
        <v>39029</v>
      </c>
      <c r="H113" s="80">
        <v>39101</v>
      </c>
      <c r="I113" s="80" t="s">
        <v>142</v>
      </c>
      <c r="J113" s="81">
        <v>22999.5</v>
      </c>
      <c r="K113" s="81">
        <v>4599.9</v>
      </c>
      <c r="L113" s="82">
        <v>27599.4</v>
      </c>
      <c r="M113" s="81">
        <v>22999.5</v>
      </c>
      <c r="N113" s="81"/>
      <c r="O113" s="82">
        <f>+N113+M113</f>
        <v>22999.5</v>
      </c>
      <c r="P113" s="81">
        <f>M113*0.5</f>
        <v>11499.75</v>
      </c>
      <c r="Q113" s="81"/>
      <c r="R113" s="82">
        <f>+Q113+P113</f>
        <v>11499.75</v>
      </c>
      <c r="S113" s="165"/>
      <c r="T113" s="166"/>
    </row>
    <row r="114" spans="1:20" ht="10.5">
      <c r="A114" s="103"/>
      <c r="B114" s="76"/>
      <c r="C114" s="78"/>
      <c r="D114" s="78"/>
      <c r="E114" s="78"/>
      <c r="F114" s="78"/>
      <c r="G114" s="79"/>
      <c r="H114" s="80"/>
      <c r="I114" s="80"/>
      <c r="J114" s="81"/>
      <c r="K114" s="81"/>
      <c r="L114" s="82"/>
      <c r="M114" s="83"/>
      <c r="N114" s="81"/>
      <c r="O114" s="82"/>
      <c r="P114" s="81"/>
      <c r="Q114" s="81"/>
      <c r="R114" s="82"/>
      <c r="S114" s="180"/>
      <c r="T114" s="180"/>
    </row>
    <row r="115" ht="10.5"/>
    <row r="116" spans="1:20" ht="10.5">
      <c r="A116" s="277" t="s">
        <v>8</v>
      </c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9"/>
      <c r="M116" s="41" t="s">
        <v>43</v>
      </c>
      <c r="N116" s="42" t="s">
        <v>44</v>
      </c>
      <c r="O116" s="43" t="s">
        <v>45</v>
      </c>
      <c r="P116" s="42" t="s">
        <v>46</v>
      </c>
      <c r="Q116" s="42" t="s">
        <v>47</v>
      </c>
      <c r="R116" s="43" t="s">
        <v>42</v>
      </c>
      <c r="S116" s="44" t="s">
        <v>25</v>
      </c>
      <c r="T116" s="45" t="s">
        <v>26</v>
      </c>
    </row>
    <row r="117" spans="1:21" ht="10.5">
      <c r="A117" s="270"/>
      <c r="B117" s="271"/>
      <c r="C117" s="274"/>
      <c r="D117" s="275"/>
      <c r="E117" s="275"/>
      <c r="F117" s="275"/>
      <c r="G117" s="275"/>
      <c r="H117" s="275"/>
      <c r="I117" s="275"/>
      <c r="J117" s="275"/>
      <c r="K117" s="276"/>
      <c r="L117" s="104" t="s">
        <v>12</v>
      </c>
      <c r="M117" s="89">
        <v>45628</v>
      </c>
      <c r="N117" s="52"/>
      <c r="O117" s="51"/>
      <c r="P117" s="52"/>
      <c r="Q117" s="52"/>
      <c r="R117" s="51"/>
      <c r="S117" s="90"/>
      <c r="T117" s="90"/>
      <c r="U117" s="87"/>
    </row>
    <row r="118" spans="1:21" ht="10.5">
      <c r="A118" s="270"/>
      <c r="B118" s="271"/>
      <c r="C118" s="54"/>
      <c r="D118" s="55"/>
      <c r="E118" s="55"/>
      <c r="F118" s="55"/>
      <c r="G118" s="55"/>
      <c r="H118" s="55"/>
      <c r="I118" s="55"/>
      <c r="J118" s="55"/>
      <c r="K118" s="56"/>
      <c r="L118" s="57" t="s">
        <v>28</v>
      </c>
      <c r="M118" s="58"/>
      <c r="N118" s="56">
        <f>SUM(N128:N135)</f>
        <v>0</v>
      </c>
      <c r="O118" s="61"/>
      <c r="P118" s="56"/>
      <c r="Q118" s="56">
        <f>SUM(Q128:Q135)</f>
        <v>0</v>
      </c>
      <c r="R118" s="61"/>
      <c r="S118" s="59">
        <f aca="true" t="shared" si="23" ref="S118:S124">R118*0.375</f>
        <v>0</v>
      </c>
      <c r="T118" s="59">
        <f aca="true" t="shared" si="24" ref="T118:T124">R118-S118</f>
        <v>0</v>
      </c>
      <c r="U118" s="87"/>
    </row>
    <row r="119" spans="1:21" ht="10.5">
      <c r="A119" s="270"/>
      <c r="B119" s="271"/>
      <c r="C119" s="54"/>
      <c r="D119" s="55"/>
      <c r="E119" s="55"/>
      <c r="F119" s="55"/>
      <c r="G119" s="55"/>
      <c r="H119" s="55"/>
      <c r="I119" s="55"/>
      <c r="J119" s="55"/>
      <c r="K119" s="60"/>
      <c r="L119" s="57" t="s">
        <v>212</v>
      </c>
      <c r="M119" s="58">
        <v>0</v>
      </c>
      <c r="N119" s="56"/>
      <c r="O119" s="61"/>
      <c r="P119" s="56">
        <v>0</v>
      </c>
      <c r="Q119" s="97"/>
      <c r="R119" s="98"/>
      <c r="S119" s="59">
        <f t="shared" si="23"/>
        <v>0</v>
      </c>
      <c r="T119" s="59">
        <f t="shared" si="24"/>
        <v>0</v>
      </c>
      <c r="U119" s="87"/>
    </row>
    <row r="120" spans="1:21" ht="10.5">
      <c r="A120" s="270"/>
      <c r="B120" s="271"/>
      <c r="C120" s="54"/>
      <c r="D120" s="55"/>
      <c r="E120" s="55"/>
      <c r="F120" s="55"/>
      <c r="G120" s="55"/>
      <c r="H120" s="55"/>
      <c r="I120" s="55"/>
      <c r="J120" s="55"/>
      <c r="K120" s="60"/>
      <c r="L120" s="57" t="s">
        <v>299</v>
      </c>
      <c r="M120" s="58">
        <f aca="true" t="shared" si="25" ref="M120:N122">+M128</f>
        <v>1120</v>
      </c>
      <c r="N120" s="58">
        <f t="shared" si="25"/>
        <v>0</v>
      </c>
      <c r="O120" s="61">
        <f>+N120+M120</f>
        <v>1120</v>
      </c>
      <c r="P120" s="58">
        <f aca="true" t="shared" si="26" ref="P120:Q122">+P128</f>
        <v>560</v>
      </c>
      <c r="Q120" s="58">
        <f t="shared" si="26"/>
        <v>0</v>
      </c>
      <c r="R120" s="61">
        <f>+Q120+P120</f>
        <v>560</v>
      </c>
      <c r="S120" s="59">
        <f t="shared" si="23"/>
        <v>210</v>
      </c>
      <c r="T120" s="59">
        <f t="shared" si="24"/>
        <v>350</v>
      </c>
      <c r="U120" s="87"/>
    </row>
    <row r="121" spans="1:21" ht="10.5">
      <c r="A121" s="270"/>
      <c r="B121" s="271"/>
      <c r="C121" s="54"/>
      <c r="D121" s="55"/>
      <c r="E121" s="55"/>
      <c r="F121" s="55"/>
      <c r="G121" s="55"/>
      <c r="H121" s="55"/>
      <c r="I121" s="55"/>
      <c r="J121" s="55"/>
      <c r="K121" s="60"/>
      <c r="L121" s="57" t="s">
        <v>402</v>
      </c>
      <c r="M121" s="58">
        <f t="shared" si="25"/>
        <v>0</v>
      </c>
      <c r="N121" s="58">
        <f t="shared" si="25"/>
        <v>0</v>
      </c>
      <c r="O121" s="61">
        <f>+N121+M121</f>
        <v>0</v>
      </c>
      <c r="P121" s="58">
        <f t="shared" si="26"/>
        <v>0</v>
      </c>
      <c r="Q121" s="58">
        <f t="shared" si="26"/>
        <v>0</v>
      </c>
      <c r="R121" s="61">
        <f>+Q121+P121</f>
        <v>0</v>
      </c>
      <c r="S121" s="59">
        <f t="shared" si="23"/>
        <v>0</v>
      </c>
      <c r="T121" s="59">
        <f t="shared" si="24"/>
        <v>0</v>
      </c>
      <c r="U121" s="87"/>
    </row>
    <row r="122" spans="1:21" ht="10.5">
      <c r="A122" s="270"/>
      <c r="B122" s="271"/>
      <c r="C122" s="54"/>
      <c r="D122" s="55"/>
      <c r="E122" s="55"/>
      <c r="F122" s="55"/>
      <c r="G122" s="55"/>
      <c r="H122" s="55"/>
      <c r="I122" s="55"/>
      <c r="J122" s="55"/>
      <c r="K122" s="60"/>
      <c r="L122" s="57" t="s">
        <v>530</v>
      </c>
      <c r="M122" s="58">
        <f t="shared" si="25"/>
        <v>0</v>
      </c>
      <c r="N122" s="58">
        <f t="shared" si="25"/>
        <v>0</v>
      </c>
      <c r="O122" s="61">
        <f>+N122+M122</f>
        <v>0</v>
      </c>
      <c r="P122" s="58">
        <f t="shared" si="26"/>
        <v>0</v>
      </c>
      <c r="Q122" s="58">
        <f t="shared" si="26"/>
        <v>0</v>
      </c>
      <c r="R122" s="61">
        <f>+Q122+P122</f>
        <v>0</v>
      </c>
      <c r="S122" s="59">
        <f t="shared" si="23"/>
        <v>0</v>
      </c>
      <c r="T122" s="59">
        <f t="shared" si="24"/>
        <v>0</v>
      </c>
      <c r="U122" s="87"/>
    </row>
    <row r="123" spans="1:21" ht="10.5">
      <c r="A123" s="270"/>
      <c r="B123" s="271"/>
      <c r="C123" s="54"/>
      <c r="D123" s="55"/>
      <c r="E123" s="55"/>
      <c r="F123" s="55"/>
      <c r="G123" s="55"/>
      <c r="H123" s="55"/>
      <c r="I123" s="55"/>
      <c r="J123" s="55"/>
      <c r="K123" s="60"/>
      <c r="L123" s="57" t="s">
        <v>531</v>
      </c>
      <c r="M123" s="58"/>
      <c r="N123" s="58"/>
      <c r="O123" s="61"/>
      <c r="P123" s="58"/>
      <c r="Q123" s="168"/>
      <c r="R123" s="98"/>
      <c r="S123" s="59">
        <f t="shared" si="23"/>
        <v>0</v>
      </c>
      <c r="T123" s="59">
        <f t="shared" si="24"/>
        <v>0</v>
      </c>
      <c r="U123" s="87"/>
    </row>
    <row r="124" spans="1:21" ht="10.5">
      <c r="A124" s="270"/>
      <c r="B124" s="271"/>
      <c r="C124" s="54"/>
      <c r="D124" s="55"/>
      <c r="E124" s="55"/>
      <c r="F124" s="55"/>
      <c r="G124" s="55"/>
      <c r="H124" s="55"/>
      <c r="I124" s="55"/>
      <c r="J124" s="55"/>
      <c r="K124" s="60"/>
      <c r="L124" s="57" t="s">
        <v>532</v>
      </c>
      <c r="M124" s="58">
        <f>SUM(M132:M134)</f>
        <v>26746</v>
      </c>
      <c r="N124" s="58">
        <f>SUM(N132:N134)</f>
        <v>0</v>
      </c>
      <c r="O124" s="61">
        <f>+N124+M124</f>
        <v>26746</v>
      </c>
      <c r="P124" s="58">
        <f>SUM(P132:P134)</f>
        <v>13373</v>
      </c>
      <c r="Q124" s="58">
        <f>SUM(Q132:Q134)</f>
        <v>0</v>
      </c>
      <c r="R124" s="61">
        <f>+Q124+P124</f>
        <v>13373</v>
      </c>
      <c r="S124" s="59">
        <f t="shared" si="23"/>
        <v>5014.875</v>
      </c>
      <c r="T124" s="59">
        <f t="shared" si="24"/>
        <v>8358.125</v>
      </c>
      <c r="U124" s="87"/>
    </row>
    <row r="125" spans="1:21" ht="10.5">
      <c r="A125" s="270"/>
      <c r="B125" s="271"/>
      <c r="C125" s="54"/>
      <c r="D125" s="55"/>
      <c r="E125" s="55"/>
      <c r="F125" s="55"/>
      <c r="G125" s="55"/>
      <c r="H125" s="55"/>
      <c r="I125" s="55"/>
      <c r="J125" s="55"/>
      <c r="K125" s="60"/>
      <c r="L125" s="57" t="s">
        <v>542</v>
      </c>
      <c r="M125" s="58"/>
      <c r="N125" s="58"/>
      <c r="O125" s="61"/>
      <c r="P125" s="58"/>
      <c r="Q125" s="58"/>
      <c r="R125" s="61"/>
      <c r="S125" s="175"/>
      <c r="T125" s="175"/>
      <c r="U125" s="87"/>
    </row>
    <row r="126" spans="1:21" ht="10.5">
      <c r="A126" s="272"/>
      <c r="B126" s="273"/>
      <c r="C126" s="267"/>
      <c r="D126" s="268"/>
      <c r="E126" s="268"/>
      <c r="F126" s="268"/>
      <c r="G126" s="268"/>
      <c r="H126" s="268"/>
      <c r="I126" s="268"/>
      <c r="J126" s="268"/>
      <c r="K126" s="269"/>
      <c r="L126" s="65" t="s">
        <v>13</v>
      </c>
      <c r="M126" s="66">
        <f>M117-M118-M119-M120-M121-M122-M124-M123</f>
        <v>17762</v>
      </c>
      <c r="N126" s="67">
        <f>N117-N118-N119</f>
        <v>0</v>
      </c>
      <c r="O126" s="68"/>
      <c r="P126" s="67"/>
      <c r="Q126" s="67"/>
      <c r="R126" s="68"/>
      <c r="S126" s="12"/>
      <c r="T126" s="12"/>
      <c r="U126" s="87"/>
    </row>
    <row r="127" spans="1:20" ht="30.75" customHeight="1">
      <c r="A127" s="70" t="s">
        <v>14</v>
      </c>
      <c r="B127" s="70" t="s">
        <v>11</v>
      </c>
      <c r="C127" s="71" t="s">
        <v>24</v>
      </c>
      <c r="D127" s="71" t="s">
        <v>20</v>
      </c>
      <c r="E127" s="72" t="s">
        <v>2</v>
      </c>
      <c r="F127" s="71" t="s">
        <v>19</v>
      </c>
      <c r="G127" s="71" t="s">
        <v>18</v>
      </c>
      <c r="H127" s="72" t="s">
        <v>17</v>
      </c>
      <c r="I127" s="72" t="s">
        <v>16</v>
      </c>
      <c r="J127" s="71" t="s">
        <v>3</v>
      </c>
      <c r="K127" s="71" t="s">
        <v>4</v>
      </c>
      <c r="L127" s="73" t="s">
        <v>5</v>
      </c>
      <c r="M127" s="74" t="s">
        <v>21</v>
      </c>
      <c r="N127" s="70" t="s">
        <v>39</v>
      </c>
      <c r="O127" s="73" t="s">
        <v>40</v>
      </c>
      <c r="P127" s="70" t="s">
        <v>22</v>
      </c>
      <c r="Q127" s="70" t="s">
        <v>41</v>
      </c>
      <c r="R127" s="73" t="s">
        <v>42</v>
      </c>
      <c r="S127" s="181" t="s">
        <v>27</v>
      </c>
      <c r="T127" s="181"/>
    </row>
    <row r="128" spans="1:20" ht="21">
      <c r="A128" s="75" t="s">
        <v>214</v>
      </c>
      <c r="B128" s="76"/>
      <c r="C128" s="77" t="s">
        <v>50</v>
      </c>
      <c r="D128" s="102" t="s">
        <v>276</v>
      </c>
      <c r="E128" s="76" t="s">
        <v>277</v>
      </c>
      <c r="F128" s="76">
        <v>326</v>
      </c>
      <c r="G128" s="105">
        <v>38776</v>
      </c>
      <c r="H128" s="106" t="s">
        <v>278</v>
      </c>
      <c r="I128" s="107" t="s">
        <v>185</v>
      </c>
      <c r="J128" s="81">
        <v>1120</v>
      </c>
      <c r="K128" s="81">
        <v>224</v>
      </c>
      <c r="L128" s="108">
        <v>1344</v>
      </c>
      <c r="M128" s="81">
        <v>1120</v>
      </c>
      <c r="N128" s="81"/>
      <c r="O128" s="82">
        <f>+N128+M128</f>
        <v>1120</v>
      </c>
      <c r="P128" s="81">
        <f>M128*0.5</f>
        <v>560</v>
      </c>
      <c r="Q128" s="81"/>
      <c r="R128" s="82">
        <f>+Q128+P128</f>
        <v>560</v>
      </c>
      <c r="S128" s="180"/>
      <c r="T128" s="180"/>
    </row>
    <row r="129" spans="1:20" s="206" customFormat="1" ht="21" customHeight="1">
      <c r="A129" s="191" t="s">
        <v>303</v>
      </c>
      <c r="B129" s="200"/>
      <c r="C129" s="201" t="s">
        <v>53</v>
      </c>
      <c r="D129" s="207" t="s">
        <v>307</v>
      </c>
      <c r="E129" s="200" t="s">
        <v>308</v>
      </c>
      <c r="F129" s="200" t="s">
        <v>309</v>
      </c>
      <c r="G129" s="208">
        <v>39027</v>
      </c>
      <c r="H129" s="209">
        <v>39066</v>
      </c>
      <c r="I129" s="210" t="s">
        <v>142</v>
      </c>
      <c r="J129" s="205">
        <v>10000</v>
      </c>
      <c r="K129" s="205">
        <v>2000</v>
      </c>
      <c r="L129" s="211">
        <v>12000</v>
      </c>
      <c r="M129" s="205"/>
      <c r="N129" s="205"/>
      <c r="O129" s="205">
        <f>+N129+M129</f>
        <v>0</v>
      </c>
      <c r="P129" s="205">
        <f>M129*0.5</f>
        <v>0</v>
      </c>
      <c r="Q129" s="205"/>
      <c r="R129" s="205">
        <f>+Q129+P129</f>
        <v>0</v>
      </c>
      <c r="S129" s="192"/>
      <c r="T129" s="193"/>
    </row>
    <row r="130" spans="1:20" s="206" customFormat="1" ht="21">
      <c r="A130" s="191" t="s">
        <v>408</v>
      </c>
      <c r="B130" s="200"/>
      <c r="C130" s="201" t="s">
        <v>53</v>
      </c>
      <c r="D130" s="207" t="s">
        <v>307</v>
      </c>
      <c r="E130" s="200" t="s">
        <v>308</v>
      </c>
      <c r="F130" s="200" t="s">
        <v>412</v>
      </c>
      <c r="G130" s="208">
        <v>39062</v>
      </c>
      <c r="H130" s="209">
        <v>39209</v>
      </c>
      <c r="I130" s="210" t="s">
        <v>142</v>
      </c>
      <c r="J130" s="205">
        <v>11800</v>
      </c>
      <c r="K130" s="205">
        <v>2360</v>
      </c>
      <c r="L130" s="211">
        <v>14160</v>
      </c>
      <c r="M130" s="205"/>
      <c r="N130" s="205"/>
      <c r="O130" s="205">
        <f>+N130+M130</f>
        <v>0</v>
      </c>
      <c r="P130" s="205">
        <f>M130*0.5</f>
        <v>0</v>
      </c>
      <c r="Q130" s="205"/>
      <c r="R130" s="205">
        <f>+Q130+P130</f>
        <v>0</v>
      </c>
      <c r="S130" s="253" t="s">
        <v>529</v>
      </c>
      <c r="T130" s="254"/>
    </row>
    <row r="131" spans="1:20" ht="21">
      <c r="A131" s="75" t="s">
        <v>429</v>
      </c>
      <c r="B131" s="76"/>
      <c r="C131" s="77" t="s">
        <v>126</v>
      </c>
      <c r="D131" s="102"/>
      <c r="E131" s="76" t="s">
        <v>435</v>
      </c>
      <c r="F131" s="76">
        <v>262</v>
      </c>
      <c r="G131" s="105">
        <v>39220</v>
      </c>
      <c r="H131" s="106">
        <v>39233</v>
      </c>
      <c r="I131" s="107" t="s">
        <v>436</v>
      </c>
      <c r="J131" s="81">
        <v>20000</v>
      </c>
      <c r="K131" s="81">
        <v>4000</v>
      </c>
      <c r="L131" s="108">
        <v>24000</v>
      </c>
      <c r="M131" s="83"/>
      <c r="N131" s="81"/>
      <c r="O131" s="82"/>
      <c r="P131" s="81"/>
      <c r="Q131" s="81"/>
      <c r="R131" s="82"/>
      <c r="S131" s="259" t="s">
        <v>557</v>
      </c>
      <c r="T131" s="260"/>
    </row>
    <row r="132" spans="1:20" ht="21">
      <c r="A132" s="163" t="s">
        <v>498</v>
      </c>
      <c r="B132" s="164"/>
      <c r="C132" s="159" t="s">
        <v>50</v>
      </c>
      <c r="D132" s="102" t="s">
        <v>515</v>
      </c>
      <c r="E132" s="76" t="s">
        <v>516</v>
      </c>
      <c r="F132" s="76">
        <v>14</v>
      </c>
      <c r="G132" s="105">
        <v>39267</v>
      </c>
      <c r="H132" s="106">
        <v>39373</v>
      </c>
      <c r="I132" s="107" t="s">
        <v>185</v>
      </c>
      <c r="J132" s="81">
        <v>12130</v>
      </c>
      <c r="K132" s="81">
        <v>2426</v>
      </c>
      <c r="L132" s="108">
        <v>14556</v>
      </c>
      <c r="M132" s="83">
        <v>14556</v>
      </c>
      <c r="N132" s="81"/>
      <c r="O132" s="82">
        <f>+N132+M132</f>
        <v>14556</v>
      </c>
      <c r="P132" s="81">
        <f>M132*0.5</f>
        <v>7278</v>
      </c>
      <c r="Q132" s="81"/>
      <c r="R132" s="82">
        <f>+Q132+P132</f>
        <v>7278</v>
      </c>
      <c r="S132" s="165"/>
      <c r="T132" s="166"/>
    </row>
    <row r="133" spans="1:20" ht="21">
      <c r="A133" s="163" t="s">
        <v>498</v>
      </c>
      <c r="B133" s="164"/>
      <c r="C133" s="159" t="s">
        <v>50</v>
      </c>
      <c r="D133" s="102" t="s">
        <v>517</v>
      </c>
      <c r="E133" s="76" t="s">
        <v>518</v>
      </c>
      <c r="F133" s="76">
        <v>14</v>
      </c>
      <c r="G133" s="105">
        <v>39365</v>
      </c>
      <c r="H133" s="106">
        <v>39402</v>
      </c>
      <c r="I133" s="107" t="s">
        <v>185</v>
      </c>
      <c r="J133" s="81">
        <v>8750</v>
      </c>
      <c r="K133" s="81">
        <v>1750</v>
      </c>
      <c r="L133" s="108">
        <v>10500</v>
      </c>
      <c r="M133" s="83">
        <v>10500</v>
      </c>
      <c r="N133" s="81"/>
      <c r="O133" s="82">
        <f>+N133+M133</f>
        <v>10500</v>
      </c>
      <c r="P133" s="81">
        <f>M133*0.5</f>
        <v>5250</v>
      </c>
      <c r="Q133" s="81"/>
      <c r="R133" s="82">
        <f>+Q133+P133</f>
        <v>5250</v>
      </c>
      <c r="S133" s="165"/>
      <c r="T133" s="166"/>
    </row>
    <row r="134" spans="1:20" ht="44.25" customHeight="1">
      <c r="A134" s="163" t="s">
        <v>498</v>
      </c>
      <c r="B134" s="164"/>
      <c r="C134" s="77" t="s">
        <v>337</v>
      </c>
      <c r="D134" s="102"/>
      <c r="E134" s="76"/>
      <c r="F134" s="76"/>
      <c r="G134" s="105"/>
      <c r="H134" s="106"/>
      <c r="I134" s="107"/>
      <c r="J134" s="81">
        <v>1690</v>
      </c>
      <c r="K134" s="81"/>
      <c r="L134" s="108">
        <f>+K134+J134</f>
        <v>1690</v>
      </c>
      <c r="M134" s="81">
        <v>1690</v>
      </c>
      <c r="N134" s="81"/>
      <c r="O134" s="82">
        <f>+N134+M134</f>
        <v>1690</v>
      </c>
      <c r="P134" s="81">
        <f>M134*0.5</f>
        <v>845</v>
      </c>
      <c r="Q134" s="81"/>
      <c r="R134" s="82">
        <f>+Q134+P134</f>
        <v>845</v>
      </c>
      <c r="S134" s="251"/>
      <c r="T134" s="252"/>
    </row>
    <row r="135" spans="1:20" ht="10.5">
      <c r="A135" s="103"/>
      <c r="B135" s="76"/>
      <c r="C135" s="78"/>
      <c r="D135" s="78"/>
      <c r="E135" s="78"/>
      <c r="F135" s="78"/>
      <c r="G135" s="79"/>
      <c r="H135" s="80"/>
      <c r="I135" s="80"/>
      <c r="J135" s="81"/>
      <c r="K135" s="81"/>
      <c r="L135" s="82"/>
      <c r="M135" s="83"/>
      <c r="N135" s="81"/>
      <c r="O135" s="82"/>
      <c r="P135" s="81"/>
      <c r="Q135" s="81"/>
      <c r="R135" s="82"/>
      <c r="S135" s="180"/>
      <c r="T135" s="180"/>
    </row>
    <row r="136" ht="10.5"/>
    <row r="137" spans="1:20" ht="10.5">
      <c r="A137" s="277" t="s">
        <v>23</v>
      </c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9"/>
      <c r="M137" s="41" t="s">
        <v>43</v>
      </c>
      <c r="N137" s="42" t="s">
        <v>44</v>
      </c>
      <c r="O137" s="43" t="s">
        <v>45</v>
      </c>
      <c r="P137" s="42" t="s">
        <v>46</v>
      </c>
      <c r="Q137" s="42" t="s">
        <v>47</v>
      </c>
      <c r="R137" s="43" t="s">
        <v>42</v>
      </c>
      <c r="S137" s="44" t="s">
        <v>25</v>
      </c>
      <c r="T137" s="45" t="s">
        <v>26</v>
      </c>
    </row>
    <row r="138" spans="1:21" ht="10.5">
      <c r="A138" s="270"/>
      <c r="B138" s="271"/>
      <c r="C138" s="264"/>
      <c r="D138" s="265"/>
      <c r="E138" s="265"/>
      <c r="F138" s="265"/>
      <c r="G138" s="265"/>
      <c r="H138" s="265"/>
      <c r="I138" s="265"/>
      <c r="J138" s="265"/>
      <c r="K138" s="266"/>
      <c r="L138" s="104" t="s">
        <v>12</v>
      </c>
      <c r="M138" s="89">
        <v>37019</v>
      </c>
      <c r="N138" s="52"/>
      <c r="O138" s="51"/>
      <c r="P138" s="52"/>
      <c r="Q138" s="52"/>
      <c r="R138" s="51"/>
      <c r="S138" s="59"/>
      <c r="T138" s="59"/>
      <c r="U138" s="87"/>
    </row>
    <row r="139" spans="1:21" ht="10.5">
      <c r="A139" s="270"/>
      <c r="B139" s="271"/>
      <c r="C139" s="54"/>
      <c r="D139" s="55"/>
      <c r="E139" s="55"/>
      <c r="F139" s="55"/>
      <c r="G139" s="55"/>
      <c r="H139" s="55"/>
      <c r="I139" s="55"/>
      <c r="J139" s="55"/>
      <c r="K139" s="56"/>
      <c r="L139" s="57" t="s">
        <v>28</v>
      </c>
      <c r="M139" s="58"/>
      <c r="N139" s="56">
        <f>SUM(N149:N159)</f>
        <v>0</v>
      </c>
      <c r="O139" s="61"/>
      <c r="P139" s="56"/>
      <c r="Q139" s="56">
        <f>SUM(Q149:Q159)</f>
        <v>0</v>
      </c>
      <c r="R139" s="61"/>
      <c r="S139" s="59">
        <f aca="true" t="shared" si="27" ref="S139:S145">R139*0.375</f>
        <v>0</v>
      </c>
      <c r="T139" s="59">
        <f aca="true" t="shared" si="28" ref="T139:T145">R139-S139</f>
        <v>0</v>
      </c>
      <c r="U139" s="87"/>
    </row>
    <row r="140" spans="1:21" ht="10.5">
      <c r="A140" s="270"/>
      <c r="B140" s="271"/>
      <c r="C140" s="54"/>
      <c r="D140" s="55"/>
      <c r="E140" s="55"/>
      <c r="F140" s="55"/>
      <c r="G140" s="55"/>
      <c r="H140" s="55"/>
      <c r="I140" s="55"/>
      <c r="J140" s="55"/>
      <c r="K140" s="60"/>
      <c r="L140" s="57" t="s">
        <v>212</v>
      </c>
      <c r="M140" s="58">
        <f>SUM(M159:M159)</f>
        <v>0</v>
      </c>
      <c r="N140" s="56"/>
      <c r="O140" s="61"/>
      <c r="P140" s="56">
        <f>SUM(P159:P159)</f>
        <v>0</v>
      </c>
      <c r="Q140" s="97"/>
      <c r="R140" s="98"/>
      <c r="S140" s="59">
        <f t="shared" si="27"/>
        <v>0</v>
      </c>
      <c r="T140" s="59">
        <f t="shared" si="28"/>
        <v>0</v>
      </c>
      <c r="U140" s="87"/>
    </row>
    <row r="141" spans="1:21" ht="10.5">
      <c r="A141" s="270"/>
      <c r="B141" s="271"/>
      <c r="C141" s="54"/>
      <c r="D141" s="55"/>
      <c r="E141" s="55"/>
      <c r="F141" s="55"/>
      <c r="G141" s="55"/>
      <c r="H141" s="55"/>
      <c r="I141" s="55"/>
      <c r="J141" s="55"/>
      <c r="K141" s="60"/>
      <c r="L141" s="57" t="s">
        <v>299</v>
      </c>
      <c r="M141" s="58"/>
      <c r="N141" s="56"/>
      <c r="O141" s="61"/>
      <c r="P141" s="56"/>
      <c r="Q141" s="97"/>
      <c r="R141" s="98"/>
      <c r="S141" s="59">
        <f t="shared" si="27"/>
        <v>0</v>
      </c>
      <c r="T141" s="59">
        <f t="shared" si="28"/>
        <v>0</v>
      </c>
      <c r="U141" s="87"/>
    </row>
    <row r="142" spans="1:21" ht="10.5">
      <c r="A142" s="270"/>
      <c r="B142" s="271"/>
      <c r="C142" s="54"/>
      <c r="D142" s="55"/>
      <c r="E142" s="55"/>
      <c r="F142" s="55"/>
      <c r="G142" s="55"/>
      <c r="H142" s="55"/>
      <c r="I142" s="55"/>
      <c r="J142" s="55"/>
      <c r="K142" s="60"/>
      <c r="L142" s="57" t="s">
        <v>402</v>
      </c>
      <c r="M142" s="58">
        <f>+M149</f>
        <v>0</v>
      </c>
      <c r="N142" s="56"/>
      <c r="O142" s="61">
        <f>+N142+M142</f>
        <v>0</v>
      </c>
      <c r="P142" s="58">
        <f>+P149</f>
        <v>0</v>
      </c>
      <c r="Q142" s="56"/>
      <c r="R142" s="61">
        <f>+Q142+P142</f>
        <v>0</v>
      </c>
      <c r="S142" s="59">
        <f t="shared" si="27"/>
        <v>0</v>
      </c>
      <c r="T142" s="59">
        <f t="shared" si="28"/>
        <v>0</v>
      </c>
      <c r="U142" s="87"/>
    </row>
    <row r="143" spans="1:21" ht="10.5">
      <c r="A143" s="270"/>
      <c r="B143" s="271"/>
      <c r="C143" s="54"/>
      <c r="D143" s="55"/>
      <c r="E143" s="55"/>
      <c r="F143" s="55"/>
      <c r="G143" s="55"/>
      <c r="H143" s="55"/>
      <c r="I143" s="55"/>
      <c r="J143" s="55"/>
      <c r="K143" s="60"/>
      <c r="L143" s="57" t="s">
        <v>530</v>
      </c>
      <c r="M143" s="58">
        <f>SUM(M150:M151)</f>
        <v>0</v>
      </c>
      <c r="N143" s="58">
        <f>SUM(N150:N151)</f>
        <v>0</v>
      </c>
      <c r="O143" s="61">
        <f>+N143+M143</f>
        <v>0</v>
      </c>
      <c r="P143" s="58">
        <f>SUM(P150:P151)</f>
        <v>0</v>
      </c>
      <c r="Q143" s="58">
        <f>SUM(Q150:Q151)</f>
        <v>0</v>
      </c>
      <c r="R143" s="61">
        <f>+Q143+P143</f>
        <v>0</v>
      </c>
      <c r="S143" s="59">
        <f t="shared" si="27"/>
        <v>0</v>
      </c>
      <c r="T143" s="59">
        <f t="shared" si="28"/>
        <v>0</v>
      </c>
      <c r="U143" s="87"/>
    </row>
    <row r="144" spans="1:21" ht="10.5">
      <c r="A144" s="270"/>
      <c r="B144" s="271"/>
      <c r="C144" s="54"/>
      <c r="D144" s="55"/>
      <c r="E144" s="55"/>
      <c r="F144" s="55"/>
      <c r="G144" s="55"/>
      <c r="H144" s="55"/>
      <c r="I144" s="55"/>
      <c r="J144" s="55"/>
      <c r="K144" s="60"/>
      <c r="L144" s="57" t="s">
        <v>531</v>
      </c>
      <c r="M144" s="58">
        <f>SUM(M152:M155)</f>
        <v>0</v>
      </c>
      <c r="N144" s="58">
        <f>SUM(N152:N155)</f>
        <v>0</v>
      </c>
      <c r="O144" s="61">
        <f>+N144+M144</f>
        <v>0</v>
      </c>
      <c r="P144" s="58">
        <f>SUM(P152:P155)</f>
        <v>0</v>
      </c>
      <c r="Q144" s="58">
        <f>SUM(Q152:Q155)</f>
        <v>0</v>
      </c>
      <c r="R144" s="61">
        <f>+Q144+P144</f>
        <v>0</v>
      </c>
      <c r="S144" s="59">
        <f t="shared" si="27"/>
        <v>0</v>
      </c>
      <c r="T144" s="59">
        <f t="shared" si="28"/>
        <v>0</v>
      </c>
      <c r="U144" s="87"/>
    </row>
    <row r="145" spans="1:21" ht="10.5">
      <c r="A145" s="270"/>
      <c r="B145" s="271"/>
      <c r="C145" s="54"/>
      <c r="D145" s="55"/>
      <c r="E145" s="55"/>
      <c r="F145" s="55"/>
      <c r="G145" s="55"/>
      <c r="H145" s="55"/>
      <c r="I145" s="55"/>
      <c r="J145" s="55"/>
      <c r="K145" s="60"/>
      <c r="L145" s="57" t="s">
        <v>532</v>
      </c>
      <c r="M145" s="58">
        <f>SUM(M156:M158)</f>
        <v>0</v>
      </c>
      <c r="N145" s="58">
        <f>SUM(N156:N158)</f>
        <v>0</v>
      </c>
      <c r="O145" s="61">
        <f>+N145+M145</f>
        <v>0</v>
      </c>
      <c r="P145" s="58">
        <f>SUM(P156:P158)</f>
        <v>0</v>
      </c>
      <c r="Q145" s="58">
        <f>SUM(Q156:Q158)</f>
        <v>0</v>
      </c>
      <c r="R145" s="61">
        <f>+Q145+P145</f>
        <v>0</v>
      </c>
      <c r="S145" s="59">
        <f t="shared" si="27"/>
        <v>0</v>
      </c>
      <c r="T145" s="59">
        <f t="shared" si="28"/>
        <v>0</v>
      </c>
      <c r="U145" s="87"/>
    </row>
    <row r="146" spans="1:21" ht="10.5">
      <c r="A146" s="270"/>
      <c r="B146" s="271"/>
      <c r="C146" s="54"/>
      <c r="D146" s="55"/>
      <c r="E146" s="55"/>
      <c r="F146" s="55"/>
      <c r="G146" s="55"/>
      <c r="H146" s="55"/>
      <c r="I146" s="55"/>
      <c r="J146" s="55"/>
      <c r="K146" s="60"/>
      <c r="L146" s="57" t="s">
        <v>542</v>
      </c>
      <c r="M146" s="58"/>
      <c r="N146" s="58"/>
      <c r="O146" s="61"/>
      <c r="P146" s="58"/>
      <c r="Q146" s="58"/>
      <c r="R146" s="61"/>
      <c r="S146" s="175"/>
      <c r="T146" s="175"/>
      <c r="U146" s="87"/>
    </row>
    <row r="147" spans="1:21" ht="10.5">
      <c r="A147" s="272"/>
      <c r="B147" s="273"/>
      <c r="C147" s="62"/>
      <c r="D147" s="63"/>
      <c r="E147" s="63"/>
      <c r="F147" s="63"/>
      <c r="G147" s="63"/>
      <c r="H147" s="63"/>
      <c r="I147" s="63"/>
      <c r="J147" s="63"/>
      <c r="K147" s="64"/>
      <c r="L147" s="65" t="s">
        <v>13</v>
      </c>
      <c r="M147" s="66">
        <f>M138-M139-M140-M141-M142-M143-M144-M145</f>
        <v>37019</v>
      </c>
      <c r="N147" s="67">
        <f>N138-N139-N140</f>
        <v>0</v>
      </c>
      <c r="O147" s="68"/>
      <c r="P147" s="67"/>
      <c r="Q147" s="67"/>
      <c r="R147" s="68"/>
      <c r="S147" s="12"/>
      <c r="T147" s="12"/>
      <c r="U147" s="87"/>
    </row>
    <row r="148" spans="1:20" ht="34.5" customHeight="1">
      <c r="A148" s="70" t="s">
        <v>14</v>
      </c>
      <c r="B148" s="70" t="s">
        <v>11</v>
      </c>
      <c r="C148" s="71" t="s">
        <v>24</v>
      </c>
      <c r="D148" s="71" t="s">
        <v>20</v>
      </c>
      <c r="E148" s="72" t="s">
        <v>2</v>
      </c>
      <c r="F148" s="71" t="s">
        <v>19</v>
      </c>
      <c r="G148" s="71" t="s">
        <v>18</v>
      </c>
      <c r="H148" s="72" t="s">
        <v>17</v>
      </c>
      <c r="I148" s="72" t="s">
        <v>16</v>
      </c>
      <c r="J148" s="71" t="s">
        <v>3</v>
      </c>
      <c r="K148" s="71" t="s">
        <v>4</v>
      </c>
      <c r="L148" s="73" t="s">
        <v>5</v>
      </c>
      <c r="M148" s="74" t="s">
        <v>21</v>
      </c>
      <c r="N148" s="70" t="s">
        <v>39</v>
      </c>
      <c r="O148" s="73" t="s">
        <v>40</v>
      </c>
      <c r="P148" s="70" t="s">
        <v>22</v>
      </c>
      <c r="Q148" s="70" t="s">
        <v>41</v>
      </c>
      <c r="R148" s="73" t="s">
        <v>42</v>
      </c>
      <c r="S148" s="181" t="s">
        <v>27</v>
      </c>
      <c r="T148" s="181"/>
    </row>
    <row r="149" spans="1:20" s="206" customFormat="1" ht="21" customHeight="1">
      <c r="A149" s="191" t="s">
        <v>303</v>
      </c>
      <c r="B149" s="200"/>
      <c r="C149" s="201" t="s">
        <v>53</v>
      </c>
      <c r="D149" s="202" t="s">
        <v>310</v>
      </c>
      <c r="E149" s="201" t="s">
        <v>311</v>
      </c>
      <c r="F149" s="200" t="s">
        <v>312</v>
      </c>
      <c r="G149" s="208">
        <v>39051</v>
      </c>
      <c r="H149" s="208">
        <v>39078</v>
      </c>
      <c r="I149" s="214" t="s">
        <v>142</v>
      </c>
      <c r="J149" s="215">
        <v>867</v>
      </c>
      <c r="K149" s="215">
        <v>173.4</v>
      </c>
      <c r="L149" s="215">
        <v>1040.4</v>
      </c>
      <c r="M149" s="205"/>
      <c r="N149" s="205"/>
      <c r="O149" s="205">
        <f aca="true" t="shared" si="29" ref="O149:O158">SUM(M149:N149)</f>
        <v>0</v>
      </c>
      <c r="P149" s="205">
        <f aca="true" t="shared" si="30" ref="P149:P158">+M149*0.5</f>
        <v>0</v>
      </c>
      <c r="Q149" s="205">
        <f aca="true" t="shared" si="31" ref="Q149:Q158">N149*0.65</f>
        <v>0</v>
      </c>
      <c r="R149" s="205">
        <f aca="true" t="shared" si="32" ref="R149:R158">SUM(P149:Q149)</f>
        <v>0</v>
      </c>
      <c r="S149" s="192"/>
      <c r="T149" s="193"/>
    </row>
    <row r="150" spans="1:20" s="206" customFormat="1" ht="21" customHeight="1">
      <c r="A150" s="191" t="s">
        <v>408</v>
      </c>
      <c r="B150" s="200"/>
      <c r="C150" s="201" t="s">
        <v>53</v>
      </c>
      <c r="D150" s="202" t="s">
        <v>310</v>
      </c>
      <c r="E150" s="201" t="s">
        <v>311</v>
      </c>
      <c r="F150" s="200" t="s">
        <v>413</v>
      </c>
      <c r="G150" s="208">
        <v>39113</v>
      </c>
      <c r="H150" s="208">
        <v>39209</v>
      </c>
      <c r="I150" s="214" t="s">
        <v>142</v>
      </c>
      <c r="J150" s="215">
        <v>289</v>
      </c>
      <c r="K150" s="215">
        <v>57.8</v>
      </c>
      <c r="L150" s="215">
        <v>346.8</v>
      </c>
      <c r="M150" s="205"/>
      <c r="N150" s="205"/>
      <c r="O150" s="205">
        <f t="shared" si="29"/>
        <v>0</v>
      </c>
      <c r="P150" s="205">
        <f t="shared" si="30"/>
        <v>0</v>
      </c>
      <c r="Q150" s="205">
        <f t="shared" si="31"/>
        <v>0</v>
      </c>
      <c r="R150" s="205">
        <f t="shared" si="32"/>
        <v>0</v>
      </c>
      <c r="S150" s="253" t="s">
        <v>529</v>
      </c>
      <c r="T150" s="254"/>
    </row>
    <row r="151" spans="1:20" s="206" customFormat="1" ht="21" customHeight="1">
      <c r="A151" s="191" t="s">
        <v>408</v>
      </c>
      <c r="B151" s="200"/>
      <c r="C151" s="201" t="s">
        <v>53</v>
      </c>
      <c r="D151" s="202" t="s">
        <v>310</v>
      </c>
      <c r="E151" s="201" t="s">
        <v>311</v>
      </c>
      <c r="F151" s="200" t="s">
        <v>414</v>
      </c>
      <c r="G151" s="208">
        <v>39141</v>
      </c>
      <c r="H151" s="208">
        <v>39209</v>
      </c>
      <c r="I151" s="214" t="s">
        <v>142</v>
      </c>
      <c r="J151" s="215">
        <v>289</v>
      </c>
      <c r="K151" s="215">
        <v>57.8</v>
      </c>
      <c r="L151" s="215">
        <v>346.8</v>
      </c>
      <c r="M151" s="205"/>
      <c r="N151" s="205"/>
      <c r="O151" s="205">
        <f t="shared" si="29"/>
        <v>0</v>
      </c>
      <c r="P151" s="205">
        <f t="shared" si="30"/>
        <v>0</v>
      </c>
      <c r="Q151" s="205">
        <f t="shared" si="31"/>
        <v>0</v>
      </c>
      <c r="R151" s="205">
        <f t="shared" si="32"/>
        <v>0</v>
      </c>
      <c r="S151" s="253" t="s">
        <v>529</v>
      </c>
      <c r="T151" s="254"/>
    </row>
    <row r="152" spans="1:20" s="206" customFormat="1" ht="21">
      <c r="A152" s="191" t="s">
        <v>429</v>
      </c>
      <c r="B152" s="200"/>
      <c r="C152" s="201" t="s">
        <v>53</v>
      </c>
      <c r="D152" s="202" t="s">
        <v>310</v>
      </c>
      <c r="E152" s="201" t="s">
        <v>311</v>
      </c>
      <c r="F152" s="200" t="s">
        <v>456</v>
      </c>
      <c r="G152" s="208">
        <v>39172</v>
      </c>
      <c r="H152" s="208">
        <v>39273</v>
      </c>
      <c r="I152" s="214" t="s">
        <v>142</v>
      </c>
      <c r="J152" s="215">
        <v>289</v>
      </c>
      <c r="K152" s="215">
        <v>57.8</v>
      </c>
      <c r="L152" s="215">
        <v>346.8</v>
      </c>
      <c r="M152" s="205"/>
      <c r="N152" s="205"/>
      <c r="O152" s="205">
        <f t="shared" si="29"/>
        <v>0</v>
      </c>
      <c r="P152" s="205">
        <f t="shared" si="30"/>
        <v>0</v>
      </c>
      <c r="Q152" s="205">
        <f t="shared" si="31"/>
        <v>0</v>
      </c>
      <c r="R152" s="205">
        <f t="shared" si="32"/>
        <v>0</v>
      </c>
      <c r="S152" s="253" t="s">
        <v>529</v>
      </c>
      <c r="T152" s="254"/>
    </row>
    <row r="153" spans="1:20" s="206" customFormat="1" ht="21">
      <c r="A153" s="191" t="s">
        <v>429</v>
      </c>
      <c r="B153" s="200"/>
      <c r="C153" s="201" t="s">
        <v>53</v>
      </c>
      <c r="D153" s="202" t="s">
        <v>310</v>
      </c>
      <c r="E153" s="201" t="s">
        <v>311</v>
      </c>
      <c r="F153" s="200" t="s">
        <v>457</v>
      </c>
      <c r="G153" s="208">
        <v>39202</v>
      </c>
      <c r="H153" s="208">
        <v>39273</v>
      </c>
      <c r="I153" s="214" t="s">
        <v>142</v>
      </c>
      <c r="J153" s="215">
        <v>289</v>
      </c>
      <c r="K153" s="215">
        <v>57.8</v>
      </c>
      <c r="L153" s="215">
        <v>346.8</v>
      </c>
      <c r="M153" s="205"/>
      <c r="N153" s="205"/>
      <c r="O153" s="205">
        <f t="shared" si="29"/>
        <v>0</v>
      </c>
      <c r="P153" s="205">
        <f t="shared" si="30"/>
        <v>0</v>
      </c>
      <c r="Q153" s="205">
        <f t="shared" si="31"/>
        <v>0</v>
      </c>
      <c r="R153" s="205">
        <f t="shared" si="32"/>
        <v>0</v>
      </c>
      <c r="S153" s="253" t="s">
        <v>529</v>
      </c>
      <c r="T153" s="254"/>
    </row>
    <row r="154" spans="1:20" s="206" customFormat="1" ht="21">
      <c r="A154" s="191" t="s">
        <v>429</v>
      </c>
      <c r="B154" s="200"/>
      <c r="C154" s="201" t="s">
        <v>53</v>
      </c>
      <c r="D154" s="202" t="s">
        <v>310</v>
      </c>
      <c r="E154" s="201" t="s">
        <v>311</v>
      </c>
      <c r="F154" s="200" t="s">
        <v>458</v>
      </c>
      <c r="G154" s="208">
        <v>39233</v>
      </c>
      <c r="H154" s="208">
        <v>39344</v>
      </c>
      <c r="I154" s="214" t="s">
        <v>142</v>
      </c>
      <c r="J154" s="215">
        <v>289</v>
      </c>
      <c r="K154" s="215">
        <v>57.8</v>
      </c>
      <c r="L154" s="215">
        <v>346.8</v>
      </c>
      <c r="M154" s="205"/>
      <c r="N154" s="205"/>
      <c r="O154" s="205">
        <f t="shared" si="29"/>
        <v>0</v>
      </c>
      <c r="P154" s="205">
        <f t="shared" si="30"/>
        <v>0</v>
      </c>
      <c r="Q154" s="205">
        <f t="shared" si="31"/>
        <v>0</v>
      </c>
      <c r="R154" s="205">
        <f t="shared" si="32"/>
        <v>0</v>
      </c>
      <c r="S154" s="253" t="s">
        <v>539</v>
      </c>
      <c r="T154" s="254"/>
    </row>
    <row r="155" spans="1:20" s="206" customFormat="1" ht="21" customHeight="1">
      <c r="A155" s="191" t="s">
        <v>429</v>
      </c>
      <c r="B155" s="200"/>
      <c r="C155" s="201" t="s">
        <v>53</v>
      </c>
      <c r="D155" s="202" t="s">
        <v>310</v>
      </c>
      <c r="E155" s="201" t="s">
        <v>311</v>
      </c>
      <c r="F155" s="200" t="s">
        <v>459</v>
      </c>
      <c r="G155" s="208">
        <v>39263</v>
      </c>
      <c r="H155" s="208">
        <v>39344</v>
      </c>
      <c r="I155" s="214" t="s">
        <v>142</v>
      </c>
      <c r="J155" s="215">
        <v>289</v>
      </c>
      <c r="K155" s="215">
        <v>57.8</v>
      </c>
      <c r="L155" s="215">
        <v>346.8</v>
      </c>
      <c r="M155" s="205"/>
      <c r="N155" s="205"/>
      <c r="O155" s="205">
        <f t="shared" si="29"/>
        <v>0</v>
      </c>
      <c r="P155" s="205">
        <f t="shared" si="30"/>
        <v>0</v>
      </c>
      <c r="Q155" s="205">
        <f t="shared" si="31"/>
        <v>0</v>
      </c>
      <c r="R155" s="205">
        <f t="shared" si="32"/>
        <v>0</v>
      </c>
      <c r="S155" s="253" t="s">
        <v>539</v>
      </c>
      <c r="T155" s="254"/>
    </row>
    <row r="156" spans="1:20" s="206" customFormat="1" ht="21">
      <c r="A156" s="191" t="s">
        <v>498</v>
      </c>
      <c r="B156" s="200"/>
      <c r="C156" s="201" t="s">
        <v>53</v>
      </c>
      <c r="D156" s="202" t="s">
        <v>310</v>
      </c>
      <c r="E156" s="201" t="s">
        <v>311</v>
      </c>
      <c r="F156" s="200" t="s">
        <v>500</v>
      </c>
      <c r="G156" s="208">
        <v>39294</v>
      </c>
      <c r="H156" s="208">
        <v>39465</v>
      </c>
      <c r="I156" s="214" t="s">
        <v>142</v>
      </c>
      <c r="J156" s="215">
        <v>289</v>
      </c>
      <c r="K156" s="215">
        <v>57.8</v>
      </c>
      <c r="L156" s="215">
        <v>346.8</v>
      </c>
      <c r="M156" s="205"/>
      <c r="N156" s="205"/>
      <c r="O156" s="205">
        <f t="shared" si="29"/>
        <v>0</v>
      </c>
      <c r="P156" s="205">
        <f t="shared" si="30"/>
        <v>0</v>
      </c>
      <c r="Q156" s="205">
        <f t="shared" si="31"/>
        <v>0</v>
      </c>
      <c r="R156" s="205">
        <f t="shared" si="32"/>
        <v>0</v>
      </c>
      <c r="S156" s="253" t="s">
        <v>539</v>
      </c>
      <c r="T156" s="254"/>
    </row>
    <row r="157" spans="1:20" s="206" customFormat="1" ht="21">
      <c r="A157" s="191" t="s">
        <v>498</v>
      </c>
      <c r="B157" s="200"/>
      <c r="C157" s="201" t="s">
        <v>53</v>
      </c>
      <c r="D157" s="202" t="s">
        <v>310</v>
      </c>
      <c r="E157" s="201" t="s">
        <v>311</v>
      </c>
      <c r="F157" s="200" t="s">
        <v>501</v>
      </c>
      <c r="G157" s="208">
        <v>39325</v>
      </c>
      <c r="H157" s="208">
        <v>39465</v>
      </c>
      <c r="I157" s="214" t="s">
        <v>142</v>
      </c>
      <c r="J157" s="215">
        <v>289</v>
      </c>
      <c r="K157" s="215">
        <v>57.8</v>
      </c>
      <c r="L157" s="215">
        <v>346.8</v>
      </c>
      <c r="M157" s="205"/>
      <c r="N157" s="205"/>
      <c r="O157" s="205">
        <f t="shared" si="29"/>
        <v>0</v>
      </c>
      <c r="P157" s="205">
        <f t="shared" si="30"/>
        <v>0</v>
      </c>
      <c r="Q157" s="205">
        <f t="shared" si="31"/>
        <v>0</v>
      </c>
      <c r="R157" s="205">
        <f t="shared" si="32"/>
        <v>0</v>
      </c>
      <c r="S157" s="253" t="s">
        <v>539</v>
      </c>
      <c r="T157" s="254"/>
    </row>
    <row r="158" spans="1:20" s="206" customFormat="1" ht="21">
      <c r="A158" s="191" t="s">
        <v>498</v>
      </c>
      <c r="B158" s="200"/>
      <c r="C158" s="201" t="s">
        <v>53</v>
      </c>
      <c r="D158" s="202" t="s">
        <v>310</v>
      </c>
      <c r="E158" s="201" t="s">
        <v>311</v>
      </c>
      <c r="F158" s="200" t="s">
        <v>502</v>
      </c>
      <c r="G158" s="208">
        <v>39355</v>
      </c>
      <c r="H158" s="208">
        <v>39465</v>
      </c>
      <c r="I158" s="214" t="s">
        <v>142</v>
      </c>
      <c r="J158" s="215">
        <v>289</v>
      </c>
      <c r="K158" s="215">
        <v>57.8</v>
      </c>
      <c r="L158" s="215">
        <v>346.8</v>
      </c>
      <c r="M158" s="205"/>
      <c r="N158" s="205"/>
      <c r="O158" s="205">
        <f t="shared" si="29"/>
        <v>0</v>
      </c>
      <c r="P158" s="205">
        <f t="shared" si="30"/>
        <v>0</v>
      </c>
      <c r="Q158" s="205">
        <f t="shared" si="31"/>
        <v>0</v>
      </c>
      <c r="R158" s="205">
        <f t="shared" si="32"/>
        <v>0</v>
      </c>
      <c r="S158" s="253" t="s">
        <v>539</v>
      </c>
      <c r="T158" s="254"/>
    </row>
    <row r="159" spans="1:20" ht="10.5">
      <c r="A159" s="75"/>
      <c r="B159" s="76"/>
      <c r="C159" s="78"/>
      <c r="D159" s="78"/>
      <c r="E159" s="78"/>
      <c r="F159" s="76"/>
      <c r="G159" s="105"/>
      <c r="H159" s="105"/>
      <c r="I159" s="112"/>
      <c r="J159" s="116"/>
      <c r="K159" s="114"/>
      <c r="L159" s="115"/>
      <c r="M159" s="83"/>
      <c r="N159" s="81"/>
      <c r="O159" s="82"/>
      <c r="P159" s="81"/>
      <c r="Q159" s="81"/>
      <c r="R159" s="82"/>
      <c r="S159" s="180"/>
      <c r="T159" s="180"/>
    </row>
    <row r="160" ht="10.5"/>
    <row r="161" spans="1:20" ht="10.5">
      <c r="A161" s="277" t="s">
        <v>9</v>
      </c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9"/>
      <c r="M161" s="41" t="s">
        <v>43</v>
      </c>
      <c r="N161" s="42" t="s">
        <v>44</v>
      </c>
      <c r="O161" s="43" t="s">
        <v>45</v>
      </c>
      <c r="P161" s="42" t="s">
        <v>46</v>
      </c>
      <c r="Q161" s="42" t="s">
        <v>47</v>
      </c>
      <c r="R161" s="43" t="s">
        <v>42</v>
      </c>
      <c r="S161" s="44" t="s">
        <v>25</v>
      </c>
      <c r="T161" s="45" t="s">
        <v>26</v>
      </c>
    </row>
    <row r="162" spans="1:21" ht="10.5">
      <c r="A162" s="270"/>
      <c r="B162" s="271"/>
      <c r="C162" s="264"/>
      <c r="D162" s="265"/>
      <c r="E162" s="265"/>
      <c r="F162" s="265"/>
      <c r="G162" s="265"/>
      <c r="H162" s="265"/>
      <c r="I162" s="265"/>
      <c r="J162" s="265"/>
      <c r="K162" s="266"/>
      <c r="L162" s="104" t="s">
        <v>12</v>
      </c>
      <c r="M162" s="89">
        <v>52401</v>
      </c>
      <c r="N162" s="52"/>
      <c r="O162" s="51"/>
      <c r="P162" s="52"/>
      <c r="Q162" s="52"/>
      <c r="R162" s="51"/>
      <c r="S162" s="59"/>
      <c r="T162" s="59"/>
      <c r="U162" s="87"/>
    </row>
    <row r="163" spans="1:21" ht="10.5">
      <c r="A163" s="270"/>
      <c r="B163" s="271"/>
      <c r="C163" s="54"/>
      <c r="D163" s="55"/>
      <c r="E163" s="55"/>
      <c r="F163" s="55"/>
      <c r="G163" s="55"/>
      <c r="H163" s="55"/>
      <c r="I163" s="55"/>
      <c r="J163" s="55"/>
      <c r="K163" s="56"/>
      <c r="L163" s="57" t="s">
        <v>28</v>
      </c>
      <c r="M163" s="58"/>
      <c r="N163" s="56">
        <f>SUM(N173:N176)</f>
        <v>0</v>
      </c>
      <c r="O163" s="61"/>
      <c r="P163" s="56"/>
      <c r="Q163" s="56">
        <f>SUM(Q173:Q176)</f>
        <v>0</v>
      </c>
      <c r="R163" s="61"/>
      <c r="S163" s="59">
        <f>R163*0.375</f>
        <v>0</v>
      </c>
      <c r="T163" s="59">
        <f>R163-S163</f>
        <v>0</v>
      </c>
      <c r="U163" s="87"/>
    </row>
    <row r="164" spans="1:21" ht="10.5">
      <c r="A164" s="270"/>
      <c r="B164" s="271"/>
      <c r="C164" s="54"/>
      <c r="D164" s="55"/>
      <c r="E164" s="55"/>
      <c r="F164" s="55"/>
      <c r="G164" s="55"/>
      <c r="H164" s="55"/>
      <c r="I164" s="55"/>
      <c r="J164" s="55"/>
      <c r="K164" s="60"/>
      <c r="L164" s="57" t="s">
        <v>212</v>
      </c>
      <c r="M164" s="58"/>
      <c r="N164" s="56"/>
      <c r="O164" s="61"/>
      <c r="P164" s="56"/>
      <c r="Q164" s="97"/>
      <c r="R164" s="98"/>
      <c r="S164" s="59">
        <f>R164*0.375</f>
        <v>0</v>
      </c>
      <c r="T164" s="59">
        <f>R164-S164</f>
        <v>0</v>
      </c>
      <c r="U164" s="87"/>
    </row>
    <row r="165" spans="1:21" ht="10.5">
      <c r="A165" s="270"/>
      <c r="B165" s="271"/>
      <c r="C165" s="54"/>
      <c r="D165" s="55"/>
      <c r="E165" s="55"/>
      <c r="F165" s="55"/>
      <c r="G165" s="55"/>
      <c r="H165" s="55"/>
      <c r="I165" s="55"/>
      <c r="J165" s="55"/>
      <c r="K165" s="60"/>
      <c r="L165" s="57" t="s">
        <v>299</v>
      </c>
      <c r="M165" s="58"/>
      <c r="N165" s="56"/>
      <c r="O165" s="61"/>
      <c r="P165" s="56"/>
      <c r="Q165" s="97"/>
      <c r="R165" s="98"/>
      <c r="S165" s="59">
        <f>R165*0.375</f>
        <v>0</v>
      </c>
      <c r="T165" s="59">
        <f>R165-S165</f>
        <v>0</v>
      </c>
      <c r="U165" s="87"/>
    </row>
    <row r="166" spans="1:21" ht="10.5">
      <c r="A166" s="270"/>
      <c r="B166" s="271"/>
      <c r="C166" s="54"/>
      <c r="D166" s="55"/>
      <c r="E166" s="55"/>
      <c r="F166" s="55"/>
      <c r="G166" s="55"/>
      <c r="H166" s="55"/>
      <c r="I166" s="55"/>
      <c r="J166" s="55"/>
      <c r="K166" s="60"/>
      <c r="L166" s="57" t="s">
        <v>402</v>
      </c>
      <c r="M166" s="58"/>
      <c r="N166" s="56"/>
      <c r="O166" s="61"/>
      <c r="P166" s="56"/>
      <c r="Q166" s="97"/>
      <c r="R166" s="98"/>
      <c r="S166" s="59">
        <f>R166*0.375</f>
        <v>0</v>
      </c>
      <c r="T166" s="59">
        <f>R166-S166</f>
        <v>0</v>
      </c>
      <c r="U166" s="87"/>
    </row>
    <row r="167" spans="1:21" ht="10.5">
      <c r="A167" s="270"/>
      <c r="B167" s="271"/>
      <c r="C167" s="54"/>
      <c r="D167" s="55"/>
      <c r="E167" s="55"/>
      <c r="F167" s="55"/>
      <c r="G167" s="55"/>
      <c r="H167" s="55"/>
      <c r="I167" s="55"/>
      <c r="J167" s="55"/>
      <c r="K167" s="60"/>
      <c r="L167" s="57" t="s">
        <v>530</v>
      </c>
      <c r="M167" s="58"/>
      <c r="N167" s="56"/>
      <c r="O167" s="61"/>
      <c r="P167" s="56"/>
      <c r="Q167" s="97"/>
      <c r="R167" s="98"/>
      <c r="S167" s="59"/>
      <c r="T167" s="59"/>
      <c r="U167" s="87"/>
    </row>
    <row r="168" spans="1:21" ht="10.5">
      <c r="A168" s="270"/>
      <c r="B168" s="271"/>
      <c r="C168" s="54"/>
      <c r="D168" s="55"/>
      <c r="E168" s="55"/>
      <c r="F168" s="55"/>
      <c r="G168" s="55"/>
      <c r="H168" s="55"/>
      <c r="I168" s="55"/>
      <c r="J168" s="55"/>
      <c r="K168" s="60"/>
      <c r="L168" s="57" t="s">
        <v>531</v>
      </c>
      <c r="M168" s="58"/>
      <c r="N168" s="56"/>
      <c r="O168" s="61"/>
      <c r="P168" s="56"/>
      <c r="Q168" s="97"/>
      <c r="R168" s="98"/>
      <c r="S168" s="59"/>
      <c r="T168" s="59"/>
      <c r="U168" s="87"/>
    </row>
    <row r="169" spans="1:21" ht="10.5">
      <c r="A169" s="270"/>
      <c r="B169" s="271"/>
      <c r="C169" s="54"/>
      <c r="D169" s="55"/>
      <c r="E169" s="55"/>
      <c r="F169" s="55"/>
      <c r="G169" s="55"/>
      <c r="H169" s="55"/>
      <c r="I169" s="55"/>
      <c r="J169" s="55"/>
      <c r="K169" s="60"/>
      <c r="L169" s="57" t="s">
        <v>532</v>
      </c>
      <c r="M169" s="58">
        <f>+M175</f>
        <v>20152</v>
      </c>
      <c r="N169" s="58">
        <f>+N175</f>
        <v>0</v>
      </c>
      <c r="O169" s="61">
        <f>+N169+M169</f>
        <v>20152</v>
      </c>
      <c r="P169" s="58">
        <f>+P175</f>
        <v>10076</v>
      </c>
      <c r="Q169" s="58">
        <f>+Q175</f>
        <v>0</v>
      </c>
      <c r="R169" s="61">
        <f>+Q169+P169</f>
        <v>10076</v>
      </c>
      <c r="S169" s="59">
        <f>R169*0.375</f>
        <v>3778.5</v>
      </c>
      <c r="T169" s="59">
        <f>R169-S169</f>
        <v>6297.5</v>
      </c>
      <c r="U169" s="87"/>
    </row>
    <row r="170" spans="1:21" ht="10.5">
      <c r="A170" s="270"/>
      <c r="B170" s="271"/>
      <c r="C170" s="54"/>
      <c r="D170" s="55"/>
      <c r="E170" s="55"/>
      <c r="F170" s="55"/>
      <c r="G170" s="55"/>
      <c r="H170" s="55"/>
      <c r="I170" s="55"/>
      <c r="J170" s="55"/>
      <c r="K170" s="60"/>
      <c r="L170" s="57" t="s">
        <v>542</v>
      </c>
      <c r="M170" s="58"/>
      <c r="N170" s="56"/>
      <c r="O170" s="61"/>
      <c r="P170" s="56"/>
      <c r="Q170" s="97"/>
      <c r="R170" s="98"/>
      <c r="S170" s="175"/>
      <c r="T170" s="175"/>
      <c r="U170" s="87"/>
    </row>
    <row r="171" spans="1:21" ht="10.5">
      <c r="A171" s="272"/>
      <c r="B171" s="273"/>
      <c r="C171" s="267"/>
      <c r="D171" s="268"/>
      <c r="E171" s="268"/>
      <c r="F171" s="268"/>
      <c r="G171" s="268"/>
      <c r="H171" s="268"/>
      <c r="I171" s="268"/>
      <c r="J171" s="268"/>
      <c r="K171" s="269"/>
      <c r="L171" s="65" t="s">
        <v>13</v>
      </c>
      <c r="M171" s="66">
        <f>M162-M163-M164</f>
        <v>52401</v>
      </c>
      <c r="N171" s="67">
        <f>N162-N163-N164</f>
        <v>0</v>
      </c>
      <c r="O171" s="68"/>
      <c r="P171" s="67"/>
      <c r="Q171" s="67"/>
      <c r="R171" s="68"/>
      <c r="S171" s="12"/>
      <c r="T171" s="12"/>
      <c r="U171" s="87"/>
    </row>
    <row r="172" spans="1:20" ht="21">
      <c r="A172" s="70" t="s">
        <v>14</v>
      </c>
      <c r="B172" s="70" t="s">
        <v>11</v>
      </c>
      <c r="C172" s="71" t="s">
        <v>24</v>
      </c>
      <c r="D172" s="71" t="s">
        <v>20</v>
      </c>
      <c r="E172" s="72" t="s">
        <v>2</v>
      </c>
      <c r="F172" s="71" t="s">
        <v>19</v>
      </c>
      <c r="G172" s="71" t="s">
        <v>18</v>
      </c>
      <c r="H172" s="72" t="s">
        <v>17</v>
      </c>
      <c r="I172" s="72" t="s">
        <v>16</v>
      </c>
      <c r="J172" s="71" t="s">
        <v>3</v>
      </c>
      <c r="K172" s="71" t="s">
        <v>4</v>
      </c>
      <c r="L172" s="73" t="s">
        <v>5</v>
      </c>
      <c r="M172" s="74" t="s">
        <v>21</v>
      </c>
      <c r="N172" s="70" t="s">
        <v>39</v>
      </c>
      <c r="O172" s="73" t="s">
        <v>40</v>
      </c>
      <c r="P172" s="70" t="s">
        <v>22</v>
      </c>
      <c r="Q172" s="70" t="s">
        <v>41</v>
      </c>
      <c r="R172" s="73" t="s">
        <v>42</v>
      </c>
      <c r="S172" s="181" t="s">
        <v>27</v>
      </c>
      <c r="T172" s="181"/>
    </row>
    <row r="173" spans="1:20" ht="21">
      <c r="A173" s="75" t="s">
        <v>429</v>
      </c>
      <c r="B173" s="76"/>
      <c r="C173" s="77" t="s">
        <v>126</v>
      </c>
      <c r="D173" s="109"/>
      <c r="E173" s="77" t="s">
        <v>437</v>
      </c>
      <c r="F173" s="110">
        <v>262</v>
      </c>
      <c r="G173" s="111">
        <v>39220</v>
      </c>
      <c r="H173" s="95">
        <v>39233</v>
      </c>
      <c r="I173" s="112" t="s">
        <v>436</v>
      </c>
      <c r="J173" s="113">
        <v>5830.87</v>
      </c>
      <c r="K173" s="114">
        <v>1166.17</v>
      </c>
      <c r="L173" s="115">
        <v>6997.04</v>
      </c>
      <c r="M173" s="83"/>
      <c r="N173" s="81"/>
      <c r="O173" s="82">
        <f>SUM(M173:N173)</f>
        <v>0</v>
      </c>
      <c r="P173" s="81">
        <f>M173*0.65</f>
        <v>0</v>
      </c>
      <c r="Q173" s="81">
        <f>N173*0.65</f>
        <v>0</v>
      </c>
      <c r="R173" s="82">
        <f>SUM(P173:Q173)</f>
        <v>0</v>
      </c>
      <c r="S173" s="259" t="s">
        <v>557</v>
      </c>
      <c r="T173" s="260"/>
    </row>
    <row r="174" spans="1:20" ht="21">
      <c r="A174" s="75" t="s">
        <v>429</v>
      </c>
      <c r="B174" s="76"/>
      <c r="C174" s="77" t="s">
        <v>126</v>
      </c>
      <c r="D174" s="109"/>
      <c r="E174" s="77" t="s">
        <v>438</v>
      </c>
      <c r="F174" s="110" t="s">
        <v>439</v>
      </c>
      <c r="G174" s="111">
        <v>39198</v>
      </c>
      <c r="H174" s="95">
        <v>39198</v>
      </c>
      <c r="I174" s="112" t="s">
        <v>73</v>
      </c>
      <c r="J174" s="113">
        <v>99.99</v>
      </c>
      <c r="K174" s="114">
        <v>20</v>
      </c>
      <c r="L174" s="115">
        <v>119.99</v>
      </c>
      <c r="M174" s="83"/>
      <c r="N174" s="81"/>
      <c r="O174" s="82"/>
      <c r="P174" s="81"/>
      <c r="Q174" s="81"/>
      <c r="R174" s="82"/>
      <c r="S174" s="251" t="s">
        <v>533</v>
      </c>
      <c r="T174" s="252"/>
    </row>
    <row r="175" spans="1:20" ht="45" customHeight="1">
      <c r="A175" s="163" t="s">
        <v>498</v>
      </c>
      <c r="B175" s="164"/>
      <c r="C175" s="77" t="s">
        <v>337</v>
      </c>
      <c r="D175" s="109"/>
      <c r="E175" s="77"/>
      <c r="F175" s="110"/>
      <c r="G175" s="111"/>
      <c r="H175" s="95"/>
      <c r="I175" s="112"/>
      <c r="J175" s="113">
        <v>20152</v>
      </c>
      <c r="K175" s="114"/>
      <c r="L175" s="115">
        <f>+K175+J175</f>
        <v>20152</v>
      </c>
      <c r="M175" s="113">
        <v>20152</v>
      </c>
      <c r="N175" s="81"/>
      <c r="O175" s="82">
        <f>+N175+M175</f>
        <v>20152</v>
      </c>
      <c r="P175" s="81">
        <f>+M175*0.5</f>
        <v>10076</v>
      </c>
      <c r="Q175" s="81"/>
      <c r="R175" s="82">
        <f>+Q175+P175</f>
        <v>10076</v>
      </c>
      <c r="S175" s="251" t="s">
        <v>562</v>
      </c>
      <c r="T175" s="252"/>
    </row>
    <row r="176" spans="1:20" ht="10.5">
      <c r="A176" s="103"/>
      <c r="B176" s="76"/>
      <c r="C176" s="78"/>
      <c r="D176" s="78"/>
      <c r="E176" s="78"/>
      <c r="F176" s="78"/>
      <c r="G176" s="79"/>
      <c r="H176" s="80"/>
      <c r="I176" s="80"/>
      <c r="J176" s="81"/>
      <c r="K176" s="81"/>
      <c r="L176" s="82"/>
      <c r="M176" s="83"/>
      <c r="N176" s="81"/>
      <c r="O176" s="82"/>
      <c r="P176" s="81"/>
      <c r="Q176" s="81"/>
      <c r="R176" s="82"/>
      <c r="S176" s="180"/>
      <c r="T176" s="180"/>
    </row>
    <row r="177" ht="10.5"/>
    <row r="178" spans="1:20" ht="10.5">
      <c r="A178" s="277" t="s">
        <v>10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9"/>
      <c r="M178" s="41" t="s">
        <v>43</v>
      </c>
      <c r="N178" s="42" t="s">
        <v>44</v>
      </c>
      <c r="O178" s="43" t="s">
        <v>45</v>
      </c>
      <c r="P178" s="42" t="s">
        <v>46</v>
      </c>
      <c r="Q178" s="42" t="s">
        <v>47</v>
      </c>
      <c r="R178" s="43" t="s">
        <v>42</v>
      </c>
      <c r="S178" s="44" t="s">
        <v>25</v>
      </c>
      <c r="T178" s="45" t="s">
        <v>26</v>
      </c>
    </row>
    <row r="179" spans="1:21" ht="10.5">
      <c r="A179" s="182"/>
      <c r="B179" s="261"/>
      <c r="C179" s="264"/>
      <c r="D179" s="265"/>
      <c r="E179" s="265"/>
      <c r="F179" s="265"/>
      <c r="G179" s="265"/>
      <c r="H179" s="265"/>
      <c r="I179" s="265"/>
      <c r="J179" s="265"/>
      <c r="K179" s="266"/>
      <c r="L179" s="104" t="s">
        <v>12</v>
      </c>
      <c r="M179" s="89">
        <v>75000</v>
      </c>
      <c r="N179" s="52"/>
      <c r="O179" s="51"/>
      <c r="P179" s="52"/>
      <c r="Q179" s="52"/>
      <c r="R179" s="51"/>
      <c r="S179" s="59"/>
      <c r="T179" s="59"/>
      <c r="U179" s="87"/>
    </row>
    <row r="180" spans="1:21" ht="10.5">
      <c r="A180" s="182"/>
      <c r="B180" s="261"/>
      <c r="C180" s="54"/>
      <c r="D180" s="55"/>
      <c r="E180" s="55"/>
      <c r="F180" s="55"/>
      <c r="G180" s="55"/>
      <c r="H180" s="55"/>
      <c r="I180" s="55"/>
      <c r="J180" s="55"/>
      <c r="K180" s="56"/>
      <c r="L180" s="57" t="s">
        <v>28</v>
      </c>
      <c r="M180" s="58">
        <f aca="true" t="shared" si="33" ref="M180:R180">SUM(M190:M197)</f>
        <v>0</v>
      </c>
      <c r="N180" s="58">
        <f t="shared" si="33"/>
        <v>0</v>
      </c>
      <c r="O180" s="61">
        <f t="shared" si="33"/>
        <v>0</v>
      </c>
      <c r="P180" s="58">
        <f t="shared" si="33"/>
        <v>0</v>
      </c>
      <c r="Q180" s="58">
        <f t="shared" si="33"/>
        <v>0</v>
      </c>
      <c r="R180" s="61">
        <f t="shared" si="33"/>
        <v>0</v>
      </c>
      <c r="S180" s="59">
        <f aca="true" t="shared" si="34" ref="S180:S186">R180*0.375</f>
        <v>0</v>
      </c>
      <c r="T180" s="59">
        <f aca="true" t="shared" si="35" ref="T180:T186">R180-S180</f>
        <v>0</v>
      </c>
      <c r="U180" s="87"/>
    </row>
    <row r="181" spans="1:21" ht="10.5">
      <c r="A181" s="182"/>
      <c r="B181" s="261"/>
      <c r="C181" s="54"/>
      <c r="D181" s="55"/>
      <c r="E181" s="55"/>
      <c r="F181" s="55"/>
      <c r="G181" s="55"/>
      <c r="H181" s="55"/>
      <c r="I181" s="55"/>
      <c r="J181" s="55"/>
      <c r="K181" s="60"/>
      <c r="L181" s="57" t="s">
        <v>212</v>
      </c>
      <c r="M181" s="58">
        <f>SUM(M198:M228)</f>
        <v>2290</v>
      </c>
      <c r="N181" s="58">
        <f>SUM(N198:N228)</f>
        <v>0</v>
      </c>
      <c r="O181" s="61">
        <f aca="true" t="shared" si="36" ref="O181:O186">+N181+M181</f>
        <v>2290</v>
      </c>
      <c r="P181" s="58">
        <f>SUM(P198:P228)</f>
        <v>1145</v>
      </c>
      <c r="Q181" s="58">
        <f>SUM(Q198:Q228)</f>
        <v>0</v>
      </c>
      <c r="R181" s="61">
        <f aca="true" t="shared" si="37" ref="R181:R186">+Q181+P181</f>
        <v>1145</v>
      </c>
      <c r="S181" s="59">
        <f t="shared" si="34"/>
        <v>429.375</v>
      </c>
      <c r="T181" s="59">
        <f t="shared" si="35"/>
        <v>715.625</v>
      </c>
      <c r="U181" s="87"/>
    </row>
    <row r="182" spans="1:21" ht="10.5">
      <c r="A182" s="182"/>
      <c r="B182" s="261"/>
      <c r="C182" s="54"/>
      <c r="D182" s="55"/>
      <c r="E182" s="55"/>
      <c r="F182" s="55"/>
      <c r="G182" s="55"/>
      <c r="H182" s="55"/>
      <c r="I182" s="55"/>
      <c r="J182" s="55"/>
      <c r="K182" s="60"/>
      <c r="L182" s="57" t="s">
        <v>299</v>
      </c>
      <c r="M182" s="58">
        <f>SUM(M229:M287)</f>
        <v>8856.573999999999</v>
      </c>
      <c r="N182" s="58">
        <f>SUM(N229:N287)</f>
        <v>0</v>
      </c>
      <c r="O182" s="61">
        <f t="shared" si="36"/>
        <v>8856.573999999999</v>
      </c>
      <c r="P182" s="58">
        <f>SUM(P229:P287)</f>
        <v>4428.286999999999</v>
      </c>
      <c r="Q182" s="58">
        <f>SUM(Q229:Q295)</f>
        <v>0</v>
      </c>
      <c r="R182" s="61">
        <f t="shared" si="37"/>
        <v>4428.286999999999</v>
      </c>
      <c r="S182" s="59">
        <f t="shared" si="34"/>
        <v>1660.6076249999996</v>
      </c>
      <c r="T182" s="59">
        <f t="shared" si="35"/>
        <v>2767.6793749999997</v>
      </c>
      <c r="U182" s="87"/>
    </row>
    <row r="183" spans="1:21" ht="10.5">
      <c r="A183" s="182"/>
      <c r="B183" s="261"/>
      <c r="C183" s="54"/>
      <c r="D183" s="55"/>
      <c r="E183" s="55"/>
      <c r="F183" s="55"/>
      <c r="G183" s="55"/>
      <c r="H183" s="55"/>
      <c r="I183" s="55"/>
      <c r="J183" s="55"/>
      <c r="K183" s="60"/>
      <c r="L183" s="57" t="s">
        <v>402</v>
      </c>
      <c r="M183" s="58">
        <f>SUM(M288:M344)</f>
        <v>20778.68</v>
      </c>
      <c r="N183" s="58">
        <f>SUM(N288:N344)</f>
        <v>0</v>
      </c>
      <c r="O183" s="61">
        <f t="shared" si="36"/>
        <v>20778.68</v>
      </c>
      <c r="P183" s="58">
        <f>SUM(P288:P344)</f>
        <v>10389.34</v>
      </c>
      <c r="Q183" s="58">
        <f>SUM(Q288:Q344)</f>
        <v>0</v>
      </c>
      <c r="R183" s="61">
        <f t="shared" si="37"/>
        <v>10389.34</v>
      </c>
      <c r="S183" s="59">
        <f t="shared" si="34"/>
        <v>3896.0025</v>
      </c>
      <c r="T183" s="59">
        <f t="shared" si="35"/>
        <v>6493.3375</v>
      </c>
      <c r="U183" s="87"/>
    </row>
    <row r="184" spans="1:21" ht="10.5">
      <c r="A184" s="182"/>
      <c r="B184" s="261"/>
      <c r="C184" s="54"/>
      <c r="D184" s="55"/>
      <c r="E184" s="55"/>
      <c r="F184" s="55"/>
      <c r="G184" s="55"/>
      <c r="H184" s="55"/>
      <c r="I184" s="55"/>
      <c r="J184" s="55"/>
      <c r="K184" s="60"/>
      <c r="L184" s="57" t="s">
        <v>530</v>
      </c>
      <c r="M184" s="58">
        <f>SUM(M345:M367)</f>
        <v>3317.045846153846</v>
      </c>
      <c r="N184" s="58">
        <f>SUM(N345:N367)</f>
        <v>0</v>
      </c>
      <c r="O184" s="61">
        <f t="shared" si="36"/>
        <v>3317.045846153846</v>
      </c>
      <c r="P184" s="58">
        <f>SUM(P345:P367)</f>
        <v>1658.522923076923</v>
      </c>
      <c r="Q184" s="58">
        <f>SUM(Q345:Q367)</f>
        <v>0</v>
      </c>
      <c r="R184" s="61">
        <f t="shared" si="37"/>
        <v>1658.522923076923</v>
      </c>
      <c r="S184" s="59">
        <f t="shared" si="34"/>
        <v>621.9460961538462</v>
      </c>
      <c r="T184" s="59">
        <f t="shared" si="35"/>
        <v>1036.5768269230769</v>
      </c>
      <c r="U184" s="87"/>
    </row>
    <row r="185" spans="1:21" ht="10.5">
      <c r="A185" s="182"/>
      <c r="B185" s="261"/>
      <c r="C185" s="54"/>
      <c r="D185" s="55"/>
      <c r="E185" s="55"/>
      <c r="F185" s="55"/>
      <c r="G185" s="55"/>
      <c r="H185" s="55"/>
      <c r="I185" s="55"/>
      <c r="J185" s="55"/>
      <c r="K185" s="60"/>
      <c r="L185" s="57" t="s">
        <v>531</v>
      </c>
      <c r="M185" s="58">
        <f>SUM(M368:M392)</f>
        <v>5274.543333333333</v>
      </c>
      <c r="N185" s="58">
        <f>SUM(N368:N392)</f>
        <v>0</v>
      </c>
      <c r="O185" s="61">
        <f t="shared" si="36"/>
        <v>5274.543333333333</v>
      </c>
      <c r="P185" s="58">
        <f>SUM(P368:P392)</f>
        <v>2637.2716666666665</v>
      </c>
      <c r="Q185" s="58">
        <f>SUM(Q368:Q392)</f>
        <v>0</v>
      </c>
      <c r="R185" s="61">
        <f t="shared" si="37"/>
        <v>2637.2716666666665</v>
      </c>
      <c r="S185" s="59">
        <f t="shared" si="34"/>
        <v>988.976875</v>
      </c>
      <c r="T185" s="59">
        <f t="shared" si="35"/>
        <v>1648.2947916666667</v>
      </c>
      <c r="U185" s="87"/>
    </row>
    <row r="186" spans="1:21" ht="10.5">
      <c r="A186" s="182"/>
      <c r="B186" s="261"/>
      <c r="C186" s="54"/>
      <c r="D186" s="55"/>
      <c r="E186" s="55"/>
      <c r="F186" s="55"/>
      <c r="G186" s="55"/>
      <c r="H186" s="55"/>
      <c r="I186" s="55"/>
      <c r="J186" s="55"/>
      <c r="K186" s="60"/>
      <c r="L186" s="57" t="s">
        <v>532</v>
      </c>
      <c r="M186" s="58">
        <f>SUM(M393:M396)</f>
        <v>1056.73</v>
      </c>
      <c r="N186" s="58">
        <f>SUM(N393:N396)</f>
        <v>0</v>
      </c>
      <c r="O186" s="61">
        <f t="shared" si="36"/>
        <v>1056.73</v>
      </c>
      <c r="P186" s="58">
        <f>SUM(P393:P396)</f>
        <v>528.365</v>
      </c>
      <c r="Q186" s="58">
        <f>SUM(Q393:Q396)</f>
        <v>0</v>
      </c>
      <c r="R186" s="61">
        <f t="shared" si="37"/>
        <v>528.365</v>
      </c>
      <c r="S186" s="59">
        <f t="shared" si="34"/>
        <v>198.136875</v>
      </c>
      <c r="T186" s="59">
        <f t="shared" si="35"/>
        <v>330.228125</v>
      </c>
      <c r="U186" s="87"/>
    </row>
    <row r="187" spans="1:21" ht="10.5">
      <c r="A187" s="182"/>
      <c r="B187" s="261"/>
      <c r="C187" s="54"/>
      <c r="D187" s="55"/>
      <c r="E187" s="55"/>
      <c r="F187" s="55"/>
      <c r="G187" s="55"/>
      <c r="H187" s="55"/>
      <c r="I187" s="55"/>
      <c r="J187" s="55"/>
      <c r="K187" s="60"/>
      <c r="L187" s="57" t="s">
        <v>542</v>
      </c>
      <c r="M187" s="58"/>
      <c r="N187" s="58"/>
      <c r="O187" s="61"/>
      <c r="P187" s="58"/>
      <c r="Q187" s="58"/>
      <c r="R187" s="61"/>
      <c r="S187" s="175"/>
      <c r="T187" s="175"/>
      <c r="U187" s="87"/>
    </row>
    <row r="188" spans="1:21" ht="10.5">
      <c r="A188" s="262"/>
      <c r="B188" s="263"/>
      <c r="C188" s="267"/>
      <c r="D188" s="268"/>
      <c r="E188" s="268"/>
      <c r="F188" s="268"/>
      <c r="G188" s="268"/>
      <c r="H188" s="268"/>
      <c r="I188" s="268"/>
      <c r="J188" s="268"/>
      <c r="K188" s="269"/>
      <c r="L188" s="65" t="s">
        <v>13</v>
      </c>
      <c r="M188" s="66">
        <f>M179-M180-M181-M182-M183-M186-M184-M185</f>
        <v>33426.42682051282</v>
      </c>
      <c r="N188" s="67">
        <f>N179-N180-N181-N182-N183-N186</f>
        <v>0</v>
      </c>
      <c r="O188" s="68"/>
      <c r="P188" s="67"/>
      <c r="Q188" s="67"/>
      <c r="R188" s="68"/>
      <c r="S188" s="12"/>
      <c r="T188" s="12"/>
      <c r="U188" s="87"/>
    </row>
    <row r="189" spans="1:20" ht="21">
      <c r="A189" s="117" t="s">
        <v>14</v>
      </c>
      <c r="B189" s="117" t="s">
        <v>11</v>
      </c>
      <c r="C189" s="118" t="s">
        <v>24</v>
      </c>
      <c r="D189" s="118" t="s">
        <v>20</v>
      </c>
      <c r="E189" s="119" t="s">
        <v>2</v>
      </c>
      <c r="F189" s="118" t="s">
        <v>19</v>
      </c>
      <c r="G189" s="118" t="s">
        <v>18</v>
      </c>
      <c r="H189" s="119" t="s">
        <v>17</v>
      </c>
      <c r="I189" s="119" t="s">
        <v>16</v>
      </c>
      <c r="J189" s="118" t="s">
        <v>3</v>
      </c>
      <c r="K189" s="118" t="s">
        <v>4</v>
      </c>
      <c r="L189" s="120" t="s">
        <v>5</v>
      </c>
      <c r="M189" s="74" t="s">
        <v>21</v>
      </c>
      <c r="N189" s="70" t="s">
        <v>39</v>
      </c>
      <c r="O189" s="73" t="s">
        <v>40</v>
      </c>
      <c r="P189" s="70" t="s">
        <v>22</v>
      </c>
      <c r="Q189" s="70" t="s">
        <v>41</v>
      </c>
      <c r="R189" s="73" t="s">
        <v>42</v>
      </c>
      <c r="S189" s="181" t="s">
        <v>27</v>
      </c>
      <c r="T189" s="181"/>
    </row>
    <row r="190" spans="1:20" s="206" customFormat="1" ht="22.5" customHeight="1">
      <c r="A190" s="216" t="s">
        <v>15</v>
      </c>
      <c r="B190" s="217"/>
      <c r="C190" s="201" t="s">
        <v>53</v>
      </c>
      <c r="D190" s="202" t="s">
        <v>58</v>
      </c>
      <c r="E190" s="202" t="s">
        <v>59</v>
      </c>
      <c r="F190" s="218" t="s">
        <v>74</v>
      </c>
      <c r="G190" s="203">
        <v>38569</v>
      </c>
      <c r="H190" s="204">
        <v>38610</v>
      </c>
      <c r="I190" s="219" t="s">
        <v>60</v>
      </c>
      <c r="J190" s="220">
        <v>293.78</v>
      </c>
      <c r="K190" s="220">
        <v>58.72</v>
      </c>
      <c r="L190" s="220">
        <v>352.5</v>
      </c>
      <c r="M190" s="221"/>
      <c r="N190" s="221"/>
      <c r="O190" s="221"/>
      <c r="P190" s="221"/>
      <c r="Q190" s="221"/>
      <c r="R190" s="221"/>
      <c r="S190" s="192" t="s">
        <v>304</v>
      </c>
      <c r="T190" s="193"/>
    </row>
    <row r="191" spans="1:20" s="206" customFormat="1" ht="21">
      <c r="A191" s="216" t="s">
        <v>15</v>
      </c>
      <c r="B191" s="217"/>
      <c r="C191" s="201" t="s">
        <v>53</v>
      </c>
      <c r="D191" s="222" t="s">
        <v>61</v>
      </c>
      <c r="E191" s="202" t="s">
        <v>62</v>
      </c>
      <c r="F191" s="223">
        <v>26</v>
      </c>
      <c r="G191" s="203">
        <v>38595</v>
      </c>
      <c r="H191" s="204">
        <v>38573</v>
      </c>
      <c r="I191" s="219" t="s">
        <v>63</v>
      </c>
      <c r="J191" s="220">
        <v>600</v>
      </c>
      <c r="K191" s="220">
        <v>0</v>
      </c>
      <c r="L191" s="220">
        <v>600</v>
      </c>
      <c r="M191" s="221"/>
      <c r="N191" s="221"/>
      <c r="O191" s="221">
        <f aca="true" t="shared" si="38" ref="O191:O196">+N191+M191</f>
        <v>0</v>
      </c>
      <c r="P191" s="221">
        <f aca="true" t="shared" si="39" ref="P191:P196">+M191*0.5</f>
        <v>0</v>
      </c>
      <c r="Q191" s="221"/>
      <c r="R191" s="221">
        <f aca="true" t="shared" si="40" ref="R191:R196">+Q191+P191</f>
        <v>0</v>
      </c>
      <c r="S191" s="178"/>
      <c r="T191" s="179"/>
    </row>
    <row r="192" spans="1:20" s="206" customFormat="1" ht="30" customHeight="1">
      <c r="A192" s="216" t="s">
        <v>15</v>
      </c>
      <c r="B192" s="217"/>
      <c r="C192" s="201" t="s">
        <v>53</v>
      </c>
      <c r="D192" s="202" t="s">
        <v>58</v>
      </c>
      <c r="E192" s="202" t="s">
        <v>59</v>
      </c>
      <c r="F192" s="226" t="s">
        <v>64</v>
      </c>
      <c r="G192" s="203">
        <v>38603</v>
      </c>
      <c r="H192" s="204">
        <v>38642</v>
      </c>
      <c r="I192" s="219" t="s">
        <v>60</v>
      </c>
      <c r="J192" s="220">
        <v>119.99</v>
      </c>
      <c r="K192" s="220">
        <v>24.01</v>
      </c>
      <c r="L192" s="220">
        <v>144</v>
      </c>
      <c r="M192" s="221"/>
      <c r="N192" s="221"/>
      <c r="O192" s="221">
        <f t="shared" si="38"/>
        <v>0</v>
      </c>
      <c r="P192" s="221">
        <f t="shared" si="39"/>
        <v>0</v>
      </c>
      <c r="Q192" s="221"/>
      <c r="R192" s="221">
        <f t="shared" si="40"/>
        <v>0</v>
      </c>
      <c r="S192" s="178"/>
      <c r="T192" s="179"/>
    </row>
    <row r="193" spans="1:20" s="206" customFormat="1" ht="32.25" customHeight="1">
      <c r="A193" s="216" t="s">
        <v>15</v>
      </c>
      <c r="B193" s="217"/>
      <c r="C193" s="201" t="s">
        <v>53</v>
      </c>
      <c r="D193" s="202" t="s">
        <v>65</v>
      </c>
      <c r="E193" s="202" t="s">
        <v>66</v>
      </c>
      <c r="F193" s="218" t="s">
        <v>75</v>
      </c>
      <c r="G193" s="203">
        <v>38621</v>
      </c>
      <c r="H193" s="204">
        <v>38642</v>
      </c>
      <c r="I193" s="219" t="s">
        <v>60</v>
      </c>
      <c r="J193" s="220">
        <v>126.13</v>
      </c>
      <c r="K193" s="220">
        <v>25.23</v>
      </c>
      <c r="L193" s="220">
        <v>151.36</v>
      </c>
      <c r="M193" s="221"/>
      <c r="N193" s="221"/>
      <c r="O193" s="221">
        <f t="shared" si="38"/>
        <v>0</v>
      </c>
      <c r="P193" s="221">
        <f t="shared" si="39"/>
        <v>0</v>
      </c>
      <c r="Q193" s="221"/>
      <c r="R193" s="221">
        <f t="shared" si="40"/>
        <v>0</v>
      </c>
      <c r="S193" s="178"/>
      <c r="T193" s="179"/>
    </row>
    <row r="194" spans="1:20" s="206" customFormat="1" ht="21">
      <c r="A194" s="216" t="s">
        <v>15</v>
      </c>
      <c r="B194" s="217"/>
      <c r="C194" s="201" t="s">
        <v>53</v>
      </c>
      <c r="D194" s="222" t="s">
        <v>67</v>
      </c>
      <c r="E194" s="202" t="s">
        <v>62</v>
      </c>
      <c r="F194" s="202">
        <v>30</v>
      </c>
      <c r="G194" s="203">
        <v>38625</v>
      </c>
      <c r="H194" s="204">
        <v>38607</v>
      </c>
      <c r="I194" s="219" t="s">
        <v>63</v>
      </c>
      <c r="J194" s="220">
        <v>600</v>
      </c>
      <c r="K194" s="220">
        <v>0</v>
      </c>
      <c r="L194" s="220">
        <v>600</v>
      </c>
      <c r="M194" s="221"/>
      <c r="N194" s="221"/>
      <c r="O194" s="221">
        <f t="shared" si="38"/>
        <v>0</v>
      </c>
      <c r="P194" s="221">
        <f t="shared" si="39"/>
        <v>0</v>
      </c>
      <c r="Q194" s="221"/>
      <c r="R194" s="221">
        <f t="shared" si="40"/>
        <v>0</v>
      </c>
      <c r="S194" s="178"/>
      <c r="T194" s="179"/>
    </row>
    <row r="195" spans="1:20" s="206" customFormat="1" ht="21">
      <c r="A195" s="216" t="s">
        <v>15</v>
      </c>
      <c r="B195" s="217"/>
      <c r="C195" s="201" t="s">
        <v>53</v>
      </c>
      <c r="D195" s="222" t="s">
        <v>68</v>
      </c>
      <c r="E195" s="202" t="s">
        <v>62</v>
      </c>
      <c r="F195" s="202">
        <v>35</v>
      </c>
      <c r="G195" s="203">
        <v>38656</v>
      </c>
      <c r="H195" s="204">
        <v>38642</v>
      </c>
      <c r="I195" s="219" t="s">
        <v>63</v>
      </c>
      <c r="J195" s="220">
        <v>600</v>
      </c>
      <c r="K195" s="220">
        <v>0</v>
      </c>
      <c r="L195" s="220">
        <v>600</v>
      </c>
      <c r="M195" s="221"/>
      <c r="N195" s="221"/>
      <c r="O195" s="221">
        <f t="shared" si="38"/>
        <v>0</v>
      </c>
      <c r="P195" s="221">
        <f t="shared" si="39"/>
        <v>0</v>
      </c>
      <c r="Q195" s="221"/>
      <c r="R195" s="221">
        <f t="shared" si="40"/>
        <v>0</v>
      </c>
      <c r="S195" s="178"/>
      <c r="T195" s="179"/>
    </row>
    <row r="196" spans="1:20" s="206" customFormat="1" ht="28.5" customHeight="1">
      <c r="A196" s="216" t="s">
        <v>15</v>
      </c>
      <c r="B196" s="217"/>
      <c r="C196" s="201" t="s">
        <v>53</v>
      </c>
      <c r="D196" s="222" t="s">
        <v>69</v>
      </c>
      <c r="E196" s="202" t="s">
        <v>70</v>
      </c>
      <c r="F196" s="218" t="s">
        <v>76</v>
      </c>
      <c r="G196" s="203">
        <v>38658</v>
      </c>
      <c r="H196" s="204">
        <v>38680</v>
      </c>
      <c r="I196" s="219" t="s">
        <v>60</v>
      </c>
      <c r="J196" s="220">
        <v>50.9</v>
      </c>
      <c r="K196" s="220">
        <v>10.18</v>
      </c>
      <c r="L196" s="220">
        <v>61.08</v>
      </c>
      <c r="M196" s="221"/>
      <c r="N196" s="221"/>
      <c r="O196" s="221">
        <f t="shared" si="38"/>
        <v>0</v>
      </c>
      <c r="P196" s="221">
        <f t="shared" si="39"/>
        <v>0</v>
      </c>
      <c r="Q196" s="221"/>
      <c r="R196" s="221">
        <f t="shared" si="40"/>
        <v>0</v>
      </c>
      <c r="S196" s="178"/>
      <c r="T196" s="179"/>
    </row>
    <row r="197" spans="1:20" s="206" customFormat="1" ht="31.5">
      <c r="A197" s="216" t="s">
        <v>15</v>
      </c>
      <c r="B197" s="217"/>
      <c r="C197" s="201" t="s">
        <v>53</v>
      </c>
      <c r="D197" s="227" t="s">
        <v>71</v>
      </c>
      <c r="E197" s="202" t="s">
        <v>72</v>
      </c>
      <c r="F197" s="202">
        <v>349</v>
      </c>
      <c r="G197" s="203">
        <v>38667</v>
      </c>
      <c r="H197" s="204">
        <v>38667</v>
      </c>
      <c r="I197" s="204" t="s">
        <v>73</v>
      </c>
      <c r="J197" s="220">
        <v>393.22</v>
      </c>
      <c r="K197" s="220">
        <v>0</v>
      </c>
      <c r="L197" s="220">
        <v>393.22</v>
      </c>
      <c r="M197" s="228"/>
      <c r="N197" s="228"/>
      <c r="O197" s="228"/>
      <c r="P197" s="228"/>
      <c r="Q197" s="228">
        <f>N197*0.65</f>
        <v>0</v>
      </c>
      <c r="R197" s="228"/>
      <c r="S197" s="186" t="s">
        <v>77</v>
      </c>
      <c r="T197" s="186"/>
    </row>
    <row r="198" spans="1:20" s="206" customFormat="1" ht="30.75" customHeight="1">
      <c r="A198" s="216" t="s">
        <v>78</v>
      </c>
      <c r="B198" s="217"/>
      <c r="C198" s="201" t="s">
        <v>53</v>
      </c>
      <c r="D198" s="202" t="s">
        <v>58</v>
      </c>
      <c r="E198" s="202" t="s">
        <v>59</v>
      </c>
      <c r="F198" s="218" t="s">
        <v>74</v>
      </c>
      <c r="G198" s="203">
        <v>38569</v>
      </c>
      <c r="H198" s="204">
        <v>38610</v>
      </c>
      <c r="I198" s="219" t="s">
        <v>60</v>
      </c>
      <c r="J198" s="220">
        <v>293.78</v>
      </c>
      <c r="K198" s="220">
        <v>58.72</v>
      </c>
      <c r="L198" s="220">
        <v>352.5</v>
      </c>
      <c r="M198" s="228"/>
      <c r="N198" s="228"/>
      <c r="O198" s="221">
        <f>+N198+M198</f>
        <v>0</v>
      </c>
      <c r="P198" s="221">
        <f>+M198*0.5</f>
        <v>0</v>
      </c>
      <c r="Q198" s="221"/>
      <c r="R198" s="221">
        <f>+Q198+P198</f>
        <v>0</v>
      </c>
      <c r="S198" s="178"/>
      <c r="T198" s="179"/>
    </row>
    <row r="199" spans="1:20" ht="31.5">
      <c r="A199" s="75" t="s">
        <v>78</v>
      </c>
      <c r="B199" s="76"/>
      <c r="C199" s="77" t="s">
        <v>126</v>
      </c>
      <c r="D199" s="77" t="s">
        <v>128</v>
      </c>
      <c r="E199" s="77" t="s">
        <v>129</v>
      </c>
      <c r="F199" s="121" t="s">
        <v>135</v>
      </c>
      <c r="G199" s="95">
        <v>38672</v>
      </c>
      <c r="H199" s="95">
        <v>38695</v>
      </c>
      <c r="I199" s="95" t="s">
        <v>130</v>
      </c>
      <c r="J199" s="129">
        <v>67.58</v>
      </c>
      <c r="K199" s="129">
        <v>13.52</v>
      </c>
      <c r="L199" s="130">
        <v>81.1</v>
      </c>
      <c r="M199" s="131">
        <v>61</v>
      </c>
      <c r="N199" s="128"/>
      <c r="O199" s="125">
        <f aca="true" t="shared" si="41" ref="O199:O205">+N199+M199</f>
        <v>61</v>
      </c>
      <c r="P199" s="124">
        <f aca="true" t="shared" si="42" ref="P199:P205">+M199*0.5</f>
        <v>30.5</v>
      </c>
      <c r="Q199" s="124"/>
      <c r="R199" s="125">
        <f aca="true" t="shared" si="43" ref="R199:R205">+Q199+P199</f>
        <v>30.5</v>
      </c>
      <c r="S199" s="126"/>
      <c r="T199" s="127"/>
    </row>
    <row r="200" spans="1:20" ht="31.5">
      <c r="A200" s="75" t="s">
        <v>78</v>
      </c>
      <c r="B200" s="76"/>
      <c r="C200" s="77" t="s">
        <v>126</v>
      </c>
      <c r="D200" s="77" t="s">
        <v>128</v>
      </c>
      <c r="E200" s="77" t="s">
        <v>129</v>
      </c>
      <c r="F200" s="121" t="s">
        <v>136</v>
      </c>
      <c r="G200" s="95">
        <v>38709</v>
      </c>
      <c r="H200" s="95">
        <v>39037</v>
      </c>
      <c r="I200" s="95" t="s">
        <v>130</v>
      </c>
      <c r="J200" s="129">
        <v>131.12</v>
      </c>
      <c r="K200" s="129">
        <v>26.22</v>
      </c>
      <c r="L200" s="130">
        <v>157.34</v>
      </c>
      <c r="M200" s="131">
        <v>77</v>
      </c>
      <c r="N200" s="128"/>
      <c r="O200" s="125">
        <f t="shared" si="41"/>
        <v>77</v>
      </c>
      <c r="P200" s="124">
        <f t="shared" si="42"/>
        <v>38.5</v>
      </c>
      <c r="Q200" s="124"/>
      <c r="R200" s="125">
        <f t="shared" si="43"/>
        <v>38.5</v>
      </c>
      <c r="S200" s="126"/>
      <c r="T200" s="127"/>
    </row>
    <row r="201" spans="1:20" ht="31.5">
      <c r="A201" s="75" t="s">
        <v>78</v>
      </c>
      <c r="B201" s="76"/>
      <c r="C201" s="77" t="s">
        <v>126</v>
      </c>
      <c r="D201" s="77" t="s">
        <v>128</v>
      </c>
      <c r="E201" s="77" t="s">
        <v>129</v>
      </c>
      <c r="F201" s="121" t="s">
        <v>137</v>
      </c>
      <c r="G201" s="95">
        <v>38743</v>
      </c>
      <c r="H201" s="95">
        <v>38763</v>
      </c>
      <c r="I201" s="95" t="s">
        <v>130</v>
      </c>
      <c r="J201" s="129">
        <v>135.56</v>
      </c>
      <c r="K201" s="129">
        <v>27.11</v>
      </c>
      <c r="L201" s="130">
        <v>162.67</v>
      </c>
      <c r="M201" s="131">
        <v>85</v>
      </c>
      <c r="N201" s="128"/>
      <c r="O201" s="125">
        <f t="shared" si="41"/>
        <v>85</v>
      </c>
      <c r="P201" s="124">
        <f t="shared" si="42"/>
        <v>42.5</v>
      </c>
      <c r="Q201" s="124"/>
      <c r="R201" s="125">
        <f t="shared" si="43"/>
        <v>42.5</v>
      </c>
      <c r="S201" s="257"/>
      <c r="T201" s="258"/>
    </row>
    <row r="202" spans="1:20" ht="21">
      <c r="A202" s="75" t="s">
        <v>78</v>
      </c>
      <c r="B202" s="76"/>
      <c r="C202" s="77" t="s">
        <v>126</v>
      </c>
      <c r="D202" s="77" t="s">
        <v>131</v>
      </c>
      <c r="E202" s="77" t="s">
        <v>132</v>
      </c>
      <c r="F202" s="121">
        <v>557</v>
      </c>
      <c r="G202" s="95">
        <v>38716</v>
      </c>
      <c r="H202" s="95">
        <v>38747</v>
      </c>
      <c r="I202" s="95" t="s">
        <v>114</v>
      </c>
      <c r="J202" s="129">
        <v>108.25</v>
      </c>
      <c r="K202" s="129">
        <v>21.65</v>
      </c>
      <c r="L202" s="130">
        <v>129.9</v>
      </c>
      <c r="M202" s="131">
        <v>110</v>
      </c>
      <c r="N202" s="128"/>
      <c r="O202" s="125">
        <f t="shared" si="41"/>
        <v>110</v>
      </c>
      <c r="P202" s="124">
        <f t="shared" si="42"/>
        <v>55</v>
      </c>
      <c r="Q202" s="124"/>
      <c r="R202" s="125">
        <f t="shared" si="43"/>
        <v>55</v>
      </c>
      <c r="S202" s="126"/>
      <c r="T202" s="127"/>
    </row>
    <row r="203" spans="1:20" ht="21">
      <c r="A203" s="75" t="s">
        <v>78</v>
      </c>
      <c r="B203" s="76"/>
      <c r="C203" s="77" t="s">
        <v>126</v>
      </c>
      <c r="D203" s="77" t="s">
        <v>131</v>
      </c>
      <c r="E203" s="77" t="s">
        <v>132</v>
      </c>
      <c r="F203" s="121">
        <v>4</v>
      </c>
      <c r="G203" s="95">
        <v>38720</v>
      </c>
      <c r="H203" s="95">
        <v>38747</v>
      </c>
      <c r="I203" s="95" t="s">
        <v>114</v>
      </c>
      <c r="J203" s="129">
        <v>107.5</v>
      </c>
      <c r="K203" s="129">
        <v>21.5</v>
      </c>
      <c r="L203" s="130">
        <v>129</v>
      </c>
      <c r="M203" s="131">
        <v>65</v>
      </c>
      <c r="N203" s="128"/>
      <c r="O203" s="125">
        <f t="shared" si="41"/>
        <v>65</v>
      </c>
      <c r="P203" s="124">
        <f t="shared" si="42"/>
        <v>32.5</v>
      </c>
      <c r="Q203" s="124"/>
      <c r="R203" s="125">
        <f t="shared" si="43"/>
        <v>32.5</v>
      </c>
      <c r="S203" s="126"/>
      <c r="T203" s="127"/>
    </row>
    <row r="204" spans="1:20" ht="31.5">
      <c r="A204" s="75" t="s">
        <v>78</v>
      </c>
      <c r="B204" s="76"/>
      <c r="C204" s="77" t="s">
        <v>126</v>
      </c>
      <c r="D204" s="77" t="s">
        <v>115</v>
      </c>
      <c r="E204" s="77" t="s">
        <v>133</v>
      </c>
      <c r="F204" s="121" t="s">
        <v>134</v>
      </c>
      <c r="G204" s="95">
        <v>38631</v>
      </c>
      <c r="H204" s="95">
        <v>38670</v>
      </c>
      <c r="I204" s="95" t="s">
        <v>130</v>
      </c>
      <c r="J204" s="129">
        <v>244.94</v>
      </c>
      <c r="K204" s="129">
        <v>48.99</v>
      </c>
      <c r="L204" s="130">
        <v>294</v>
      </c>
      <c r="M204" s="131">
        <v>102</v>
      </c>
      <c r="N204" s="128"/>
      <c r="O204" s="125">
        <f t="shared" si="41"/>
        <v>102</v>
      </c>
      <c r="P204" s="124">
        <f t="shared" si="42"/>
        <v>51</v>
      </c>
      <c r="Q204" s="124"/>
      <c r="R204" s="125">
        <f t="shared" si="43"/>
        <v>51</v>
      </c>
      <c r="S204" s="126"/>
      <c r="T204" s="127"/>
    </row>
    <row r="205" spans="1:20" s="206" customFormat="1" ht="31.5">
      <c r="A205" s="191" t="s">
        <v>78</v>
      </c>
      <c r="B205" s="217"/>
      <c r="C205" s="201" t="s">
        <v>53</v>
      </c>
      <c r="D205" s="202" t="s">
        <v>58</v>
      </c>
      <c r="E205" s="202" t="s">
        <v>59</v>
      </c>
      <c r="F205" s="218" t="s">
        <v>139</v>
      </c>
      <c r="G205" s="203">
        <v>38665</v>
      </c>
      <c r="H205" s="204">
        <v>38699</v>
      </c>
      <c r="I205" s="219" t="s">
        <v>165</v>
      </c>
      <c r="J205" s="220">
        <v>48.41</v>
      </c>
      <c r="K205" s="220">
        <v>9.59</v>
      </c>
      <c r="L205" s="220">
        <v>58</v>
      </c>
      <c r="M205" s="228"/>
      <c r="N205" s="228"/>
      <c r="O205" s="221">
        <f t="shared" si="41"/>
        <v>0</v>
      </c>
      <c r="P205" s="221">
        <f t="shared" si="42"/>
        <v>0</v>
      </c>
      <c r="Q205" s="221"/>
      <c r="R205" s="221">
        <f t="shared" si="43"/>
        <v>0</v>
      </c>
      <c r="S205" s="192"/>
      <c r="T205" s="193"/>
    </row>
    <row r="206" spans="1:20" s="206" customFormat="1" ht="31.5">
      <c r="A206" s="191" t="s">
        <v>78</v>
      </c>
      <c r="B206" s="217"/>
      <c r="C206" s="201" t="s">
        <v>53</v>
      </c>
      <c r="D206" s="201" t="s">
        <v>140</v>
      </c>
      <c r="E206" s="201" t="s">
        <v>72</v>
      </c>
      <c r="F206" s="218">
        <v>349</v>
      </c>
      <c r="G206" s="203">
        <v>111715</v>
      </c>
      <c r="H206" s="204">
        <v>111715</v>
      </c>
      <c r="I206" s="219" t="s">
        <v>73</v>
      </c>
      <c r="J206" s="220">
        <v>393.22</v>
      </c>
      <c r="K206" s="220">
        <v>0</v>
      </c>
      <c r="L206" s="220">
        <v>393.22</v>
      </c>
      <c r="M206" s="228"/>
      <c r="N206" s="228"/>
      <c r="O206" s="221"/>
      <c r="P206" s="221"/>
      <c r="Q206" s="221"/>
      <c r="R206" s="221"/>
      <c r="S206" s="192" t="s">
        <v>209</v>
      </c>
      <c r="T206" s="193"/>
    </row>
    <row r="207" spans="1:20" s="206" customFormat="1" ht="31.5">
      <c r="A207" s="191" t="s">
        <v>78</v>
      </c>
      <c r="B207" s="217"/>
      <c r="C207" s="201" t="s">
        <v>53</v>
      </c>
      <c r="D207" s="202" t="s">
        <v>65</v>
      </c>
      <c r="E207" s="202" t="s">
        <v>66</v>
      </c>
      <c r="F207" s="218" t="s">
        <v>164</v>
      </c>
      <c r="G207" s="203">
        <v>38681</v>
      </c>
      <c r="H207" s="204">
        <v>38701</v>
      </c>
      <c r="I207" s="219" t="s">
        <v>165</v>
      </c>
      <c r="J207" s="220">
        <v>85.88</v>
      </c>
      <c r="K207" s="220">
        <v>17.18</v>
      </c>
      <c r="L207" s="220">
        <v>103.06</v>
      </c>
      <c r="M207" s="228"/>
      <c r="N207" s="228"/>
      <c r="O207" s="221">
        <f aca="true" t="shared" si="44" ref="O207:O223">+N207+M207</f>
        <v>0</v>
      </c>
      <c r="P207" s="221">
        <f aca="true" t="shared" si="45" ref="P207:P223">+M207*0.5</f>
        <v>0</v>
      </c>
      <c r="Q207" s="221"/>
      <c r="R207" s="221">
        <f aca="true" t="shared" si="46" ref="R207:R223">+Q207+P207</f>
        <v>0</v>
      </c>
      <c r="S207" s="192"/>
      <c r="T207" s="193"/>
    </row>
    <row r="208" spans="1:20" s="206" customFormat="1" ht="33" customHeight="1">
      <c r="A208" s="191" t="s">
        <v>78</v>
      </c>
      <c r="B208" s="217"/>
      <c r="C208" s="201" t="s">
        <v>53</v>
      </c>
      <c r="D208" s="202" t="s">
        <v>141</v>
      </c>
      <c r="E208" s="202" t="s">
        <v>62</v>
      </c>
      <c r="F208" s="218">
        <v>36</v>
      </c>
      <c r="G208" s="203">
        <v>38686</v>
      </c>
      <c r="H208" s="204">
        <v>38670</v>
      </c>
      <c r="I208" s="219" t="s">
        <v>142</v>
      </c>
      <c r="J208" s="220">
        <v>600</v>
      </c>
      <c r="K208" s="220">
        <v>0</v>
      </c>
      <c r="L208" s="220">
        <v>600</v>
      </c>
      <c r="M208" s="228"/>
      <c r="N208" s="228"/>
      <c r="O208" s="221">
        <f t="shared" si="44"/>
        <v>0</v>
      </c>
      <c r="P208" s="221">
        <f t="shared" si="45"/>
        <v>0</v>
      </c>
      <c r="Q208" s="221"/>
      <c r="R208" s="221">
        <f t="shared" si="46"/>
        <v>0</v>
      </c>
      <c r="S208" s="192"/>
      <c r="T208" s="193"/>
    </row>
    <row r="209" spans="1:20" s="206" customFormat="1" ht="47.25" customHeight="1">
      <c r="A209" s="191" t="s">
        <v>78</v>
      </c>
      <c r="B209" s="217"/>
      <c r="C209" s="201" t="s">
        <v>53</v>
      </c>
      <c r="D209" s="202" t="s">
        <v>143</v>
      </c>
      <c r="E209" s="202" t="s">
        <v>144</v>
      </c>
      <c r="F209" s="218">
        <v>800157530</v>
      </c>
      <c r="G209" s="203">
        <v>38686</v>
      </c>
      <c r="H209" s="204">
        <v>38717</v>
      </c>
      <c r="I209" s="219" t="s">
        <v>166</v>
      </c>
      <c r="J209" s="220">
        <v>818.3</v>
      </c>
      <c r="K209" s="220">
        <v>163.66</v>
      </c>
      <c r="L209" s="220">
        <v>981.96</v>
      </c>
      <c r="M209" s="228"/>
      <c r="N209" s="228"/>
      <c r="O209" s="221">
        <f t="shared" si="44"/>
        <v>0</v>
      </c>
      <c r="P209" s="221">
        <f t="shared" si="45"/>
        <v>0</v>
      </c>
      <c r="Q209" s="221"/>
      <c r="R209" s="221">
        <f t="shared" si="46"/>
        <v>0</v>
      </c>
      <c r="S209" s="192" t="s">
        <v>305</v>
      </c>
      <c r="T209" s="193"/>
    </row>
    <row r="210" spans="1:20" s="206" customFormat="1" ht="35.25" customHeight="1">
      <c r="A210" s="191" t="s">
        <v>78</v>
      </c>
      <c r="B210" s="217"/>
      <c r="C210" s="201" t="s">
        <v>53</v>
      </c>
      <c r="D210" s="202" t="s">
        <v>145</v>
      </c>
      <c r="E210" s="202" t="s">
        <v>62</v>
      </c>
      <c r="F210" s="218">
        <v>41</v>
      </c>
      <c r="G210" s="203">
        <v>38715</v>
      </c>
      <c r="H210" s="204">
        <v>38707</v>
      </c>
      <c r="I210" s="219" t="s">
        <v>142</v>
      </c>
      <c r="J210" s="220">
        <v>600</v>
      </c>
      <c r="K210" s="220">
        <v>0</v>
      </c>
      <c r="L210" s="220">
        <v>600</v>
      </c>
      <c r="M210" s="228"/>
      <c r="N210" s="228"/>
      <c r="O210" s="221">
        <f t="shared" si="44"/>
        <v>0</v>
      </c>
      <c r="P210" s="221">
        <f t="shared" si="45"/>
        <v>0</v>
      </c>
      <c r="Q210" s="221"/>
      <c r="R210" s="221">
        <f t="shared" si="46"/>
        <v>0</v>
      </c>
      <c r="S210" s="192"/>
      <c r="T210" s="193"/>
    </row>
    <row r="211" spans="1:20" s="206" customFormat="1" ht="31.5">
      <c r="A211" s="191" t="s">
        <v>78</v>
      </c>
      <c r="B211" s="217"/>
      <c r="C211" s="201" t="s">
        <v>53</v>
      </c>
      <c r="D211" s="202" t="s">
        <v>58</v>
      </c>
      <c r="E211" s="202" t="s">
        <v>59</v>
      </c>
      <c r="F211" s="218" t="s">
        <v>146</v>
      </c>
      <c r="G211" s="203">
        <v>38727</v>
      </c>
      <c r="H211" s="204">
        <v>38761</v>
      </c>
      <c r="I211" s="219" t="s">
        <v>167</v>
      </c>
      <c r="J211" s="220">
        <v>229.97</v>
      </c>
      <c r="K211" s="220">
        <v>46.03</v>
      </c>
      <c r="L211" s="220">
        <v>276</v>
      </c>
      <c r="M211" s="228"/>
      <c r="N211" s="228"/>
      <c r="O211" s="221">
        <f t="shared" si="44"/>
        <v>0</v>
      </c>
      <c r="P211" s="221">
        <f t="shared" si="45"/>
        <v>0</v>
      </c>
      <c r="Q211" s="221"/>
      <c r="R211" s="221">
        <f t="shared" si="46"/>
        <v>0</v>
      </c>
      <c r="S211" s="192"/>
      <c r="T211" s="193"/>
    </row>
    <row r="212" spans="1:20" s="206" customFormat="1" ht="31.5">
      <c r="A212" s="191" t="s">
        <v>78</v>
      </c>
      <c r="B212" s="217"/>
      <c r="C212" s="201" t="s">
        <v>53</v>
      </c>
      <c r="D212" s="202" t="s">
        <v>58</v>
      </c>
      <c r="E212" s="202" t="s">
        <v>59</v>
      </c>
      <c r="F212" s="218" t="s">
        <v>147</v>
      </c>
      <c r="G212" s="203">
        <v>38727</v>
      </c>
      <c r="H212" s="204">
        <v>38761</v>
      </c>
      <c r="I212" s="219" t="s">
        <v>167</v>
      </c>
      <c r="J212" s="220">
        <v>294.24</v>
      </c>
      <c r="K212" s="220">
        <v>58.24</v>
      </c>
      <c r="L212" s="220">
        <v>353</v>
      </c>
      <c r="M212" s="228"/>
      <c r="N212" s="228"/>
      <c r="O212" s="221">
        <f t="shared" si="44"/>
        <v>0</v>
      </c>
      <c r="P212" s="221">
        <f t="shared" si="45"/>
        <v>0</v>
      </c>
      <c r="Q212" s="221"/>
      <c r="R212" s="221">
        <f t="shared" si="46"/>
        <v>0</v>
      </c>
      <c r="S212" s="192"/>
      <c r="T212" s="193"/>
    </row>
    <row r="213" spans="1:20" s="206" customFormat="1" ht="31.5">
      <c r="A213" s="191" t="s">
        <v>78</v>
      </c>
      <c r="B213" s="217"/>
      <c r="C213" s="201" t="s">
        <v>53</v>
      </c>
      <c r="D213" s="202" t="s">
        <v>58</v>
      </c>
      <c r="E213" s="202" t="s">
        <v>59</v>
      </c>
      <c r="F213" s="218" t="s">
        <v>148</v>
      </c>
      <c r="G213" s="203">
        <v>38727</v>
      </c>
      <c r="H213" s="204">
        <v>38761</v>
      </c>
      <c r="I213" s="219" t="s">
        <v>167</v>
      </c>
      <c r="J213" s="220">
        <v>50.8</v>
      </c>
      <c r="K213" s="220">
        <v>10.2</v>
      </c>
      <c r="L213" s="220">
        <v>61</v>
      </c>
      <c r="M213" s="228"/>
      <c r="N213" s="228"/>
      <c r="O213" s="221">
        <f t="shared" si="44"/>
        <v>0</v>
      </c>
      <c r="P213" s="221">
        <f t="shared" si="45"/>
        <v>0</v>
      </c>
      <c r="Q213" s="221"/>
      <c r="R213" s="221">
        <f t="shared" si="46"/>
        <v>0</v>
      </c>
      <c r="S213" s="192"/>
      <c r="T213" s="193"/>
    </row>
    <row r="214" spans="1:20" s="206" customFormat="1" ht="31.5">
      <c r="A214" s="191" t="s">
        <v>78</v>
      </c>
      <c r="B214" s="217"/>
      <c r="C214" s="201" t="s">
        <v>53</v>
      </c>
      <c r="D214" s="202" t="s">
        <v>65</v>
      </c>
      <c r="E214" s="202" t="s">
        <v>66</v>
      </c>
      <c r="F214" s="218" t="s">
        <v>149</v>
      </c>
      <c r="G214" s="203">
        <v>38743</v>
      </c>
      <c r="H214" s="204">
        <v>38763</v>
      </c>
      <c r="I214" s="219" t="s">
        <v>165</v>
      </c>
      <c r="J214" s="220">
        <v>104.24</v>
      </c>
      <c r="K214" s="220">
        <v>20.85</v>
      </c>
      <c r="L214" s="220">
        <v>125.09</v>
      </c>
      <c r="M214" s="228"/>
      <c r="N214" s="228"/>
      <c r="O214" s="221">
        <f t="shared" si="44"/>
        <v>0</v>
      </c>
      <c r="P214" s="221">
        <f t="shared" si="45"/>
        <v>0</v>
      </c>
      <c r="Q214" s="221"/>
      <c r="R214" s="221">
        <f t="shared" si="46"/>
        <v>0</v>
      </c>
      <c r="S214" s="192"/>
      <c r="T214" s="193"/>
    </row>
    <row r="215" spans="1:20" s="206" customFormat="1" ht="31.5">
      <c r="A215" s="191" t="s">
        <v>78</v>
      </c>
      <c r="B215" s="217"/>
      <c r="C215" s="201" t="s">
        <v>53</v>
      </c>
      <c r="D215" s="202" t="s">
        <v>150</v>
      </c>
      <c r="E215" s="202" t="s">
        <v>151</v>
      </c>
      <c r="F215" s="218" t="s">
        <v>152</v>
      </c>
      <c r="G215" s="203">
        <v>38745</v>
      </c>
      <c r="H215" s="204">
        <v>38766</v>
      </c>
      <c r="I215" s="219" t="s">
        <v>165</v>
      </c>
      <c r="J215" s="220">
        <v>228.16</v>
      </c>
      <c r="K215" s="220">
        <v>45.63</v>
      </c>
      <c r="L215" s="220">
        <v>273.79</v>
      </c>
      <c r="M215" s="228"/>
      <c r="N215" s="228"/>
      <c r="O215" s="221">
        <f t="shared" si="44"/>
        <v>0</v>
      </c>
      <c r="P215" s="221">
        <f t="shared" si="45"/>
        <v>0</v>
      </c>
      <c r="Q215" s="221"/>
      <c r="R215" s="221">
        <f t="shared" si="46"/>
        <v>0</v>
      </c>
      <c r="S215" s="192"/>
      <c r="T215" s="193"/>
    </row>
    <row r="216" spans="1:20" s="206" customFormat="1" ht="21">
      <c r="A216" s="191" t="s">
        <v>78</v>
      </c>
      <c r="B216" s="217"/>
      <c r="C216" s="201" t="s">
        <v>53</v>
      </c>
      <c r="D216" s="202" t="s">
        <v>153</v>
      </c>
      <c r="E216" s="202" t="s">
        <v>62</v>
      </c>
      <c r="F216" s="218" t="s">
        <v>154</v>
      </c>
      <c r="G216" s="203">
        <v>38748</v>
      </c>
      <c r="H216" s="204">
        <v>38737</v>
      </c>
      <c r="I216" s="219" t="s">
        <v>142</v>
      </c>
      <c r="J216" s="220">
        <v>600</v>
      </c>
      <c r="K216" s="220">
        <v>0</v>
      </c>
      <c r="L216" s="220">
        <v>600</v>
      </c>
      <c r="M216" s="228"/>
      <c r="N216" s="228"/>
      <c r="O216" s="221">
        <f t="shared" si="44"/>
        <v>0</v>
      </c>
      <c r="P216" s="221">
        <f t="shared" si="45"/>
        <v>0</v>
      </c>
      <c r="Q216" s="221"/>
      <c r="R216" s="221">
        <f t="shared" si="46"/>
        <v>0</v>
      </c>
      <c r="S216" s="192"/>
      <c r="T216" s="193"/>
    </row>
    <row r="217" spans="1:20" s="206" customFormat="1" ht="21">
      <c r="A217" s="191" t="s">
        <v>78</v>
      </c>
      <c r="B217" s="217"/>
      <c r="C217" s="201" t="s">
        <v>53</v>
      </c>
      <c r="D217" s="202" t="s">
        <v>155</v>
      </c>
      <c r="E217" s="202" t="s">
        <v>72</v>
      </c>
      <c r="F217" s="218">
        <v>362</v>
      </c>
      <c r="G217" s="203">
        <v>38750</v>
      </c>
      <c r="H217" s="204">
        <v>38734</v>
      </c>
      <c r="I217" s="219" t="s">
        <v>142</v>
      </c>
      <c r="J217" s="220">
        <v>171.33</v>
      </c>
      <c r="K217" s="220">
        <v>0</v>
      </c>
      <c r="L217" s="220">
        <v>171.33</v>
      </c>
      <c r="M217" s="228"/>
      <c r="N217" s="228"/>
      <c r="O217" s="221">
        <f t="shared" si="44"/>
        <v>0</v>
      </c>
      <c r="P217" s="221">
        <f t="shared" si="45"/>
        <v>0</v>
      </c>
      <c r="Q217" s="221"/>
      <c r="R217" s="221">
        <f t="shared" si="46"/>
        <v>0</v>
      </c>
      <c r="S217" s="224"/>
      <c r="T217" s="225"/>
    </row>
    <row r="218" spans="1:20" s="206" customFormat="1" ht="21">
      <c r="A218" s="191" t="s">
        <v>78</v>
      </c>
      <c r="B218" s="217"/>
      <c r="C218" s="201" t="s">
        <v>53</v>
      </c>
      <c r="D218" s="202" t="s">
        <v>156</v>
      </c>
      <c r="E218" s="202" t="s">
        <v>72</v>
      </c>
      <c r="F218" s="218">
        <v>361</v>
      </c>
      <c r="G218" s="203">
        <v>38750</v>
      </c>
      <c r="H218" s="204">
        <v>38734</v>
      </c>
      <c r="I218" s="219" t="s">
        <v>142</v>
      </c>
      <c r="J218" s="220">
        <v>31.66</v>
      </c>
      <c r="K218" s="220">
        <v>0</v>
      </c>
      <c r="L218" s="220">
        <v>31.66</v>
      </c>
      <c r="M218" s="228"/>
      <c r="N218" s="228"/>
      <c r="O218" s="221">
        <f t="shared" si="44"/>
        <v>0</v>
      </c>
      <c r="P218" s="221">
        <f t="shared" si="45"/>
        <v>0</v>
      </c>
      <c r="Q218" s="221"/>
      <c r="R218" s="221">
        <f t="shared" si="46"/>
        <v>0</v>
      </c>
      <c r="S218" s="224"/>
      <c r="T218" s="225"/>
    </row>
    <row r="219" spans="1:20" s="206" customFormat="1" ht="21" customHeight="1">
      <c r="A219" s="191" t="s">
        <v>78</v>
      </c>
      <c r="B219" s="217"/>
      <c r="C219" s="201" t="s">
        <v>53</v>
      </c>
      <c r="D219" s="202" t="s">
        <v>157</v>
      </c>
      <c r="E219" s="202" t="s">
        <v>62</v>
      </c>
      <c r="F219" s="218" t="s">
        <v>158</v>
      </c>
      <c r="G219" s="203">
        <v>38776</v>
      </c>
      <c r="H219" s="204">
        <v>38768</v>
      </c>
      <c r="I219" s="219" t="s">
        <v>142</v>
      </c>
      <c r="J219" s="220">
        <v>600</v>
      </c>
      <c r="K219" s="220">
        <v>0</v>
      </c>
      <c r="L219" s="220">
        <v>600</v>
      </c>
      <c r="M219" s="228"/>
      <c r="N219" s="228"/>
      <c r="O219" s="221">
        <f t="shared" si="44"/>
        <v>0</v>
      </c>
      <c r="P219" s="221">
        <f t="shared" si="45"/>
        <v>0</v>
      </c>
      <c r="Q219" s="221"/>
      <c r="R219" s="221">
        <f t="shared" si="46"/>
        <v>0</v>
      </c>
      <c r="S219" s="192"/>
      <c r="T219" s="193"/>
    </row>
    <row r="220" spans="1:20" s="206" customFormat="1" ht="21">
      <c r="A220" s="191" t="s">
        <v>78</v>
      </c>
      <c r="B220" s="217"/>
      <c r="C220" s="201" t="s">
        <v>53</v>
      </c>
      <c r="D220" s="202" t="s">
        <v>159</v>
      </c>
      <c r="E220" s="202" t="s">
        <v>72</v>
      </c>
      <c r="F220" s="218"/>
      <c r="G220" s="203"/>
      <c r="H220" s="204">
        <v>38793</v>
      </c>
      <c r="I220" s="219" t="s">
        <v>142</v>
      </c>
      <c r="J220" s="220">
        <v>141.75</v>
      </c>
      <c r="K220" s="220">
        <v>0</v>
      </c>
      <c r="L220" s="220">
        <v>141.75</v>
      </c>
      <c r="M220" s="228"/>
      <c r="N220" s="228"/>
      <c r="O220" s="221">
        <f t="shared" si="44"/>
        <v>0</v>
      </c>
      <c r="P220" s="221">
        <f t="shared" si="45"/>
        <v>0</v>
      </c>
      <c r="Q220" s="221"/>
      <c r="R220" s="221">
        <f t="shared" si="46"/>
        <v>0</v>
      </c>
      <c r="S220" s="224"/>
      <c r="T220" s="225"/>
    </row>
    <row r="221" spans="1:20" s="206" customFormat="1" ht="21" customHeight="1">
      <c r="A221" s="191" t="s">
        <v>78</v>
      </c>
      <c r="B221" s="217"/>
      <c r="C221" s="201" t="s">
        <v>53</v>
      </c>
      <c r="D221" s="202" t="s">
        <v>160</v>
      </c>
      <c r="E221" s="202" t="s">
        <v>62</v>
      </c>
      <c r="F221" s="218" t="s">
        <v>161</v>
      </c>
      <c r="G221" s="203">
        <v>38807</v>
      </c>
      <c r="H221" s="204">
        <v>38793</v>
      </c>
      <c r="I221" s="219" t="s">
        <v>142</v>
      </c>
      <c r="J221" s="220">
        <v>600</v>
      </c>
      <c r="K221" s="220">
        <v>0</v>
      </c>
      <c r="L221" s="220">
        <v>600</v>
      </c>
      <c r="M221" s="228"/>
      <c r="N221" s="228"/>
      <c r="O221" s="221">
        <f t="shared" si="44"/>
        <v>0</v>
      </c>
      <c r="P221" s="221">
        <f t="shared" si="45"/>
        <v>0</v>
      </c>
      <c r="Q221" s="221"/>
      <c r="R221" s="221">
        <f t="shared" si="46"/>
        <v>0</v>
      </c>
      <c r="S221" s="192"/>
      <c r="T221" s="193"/>
    </row>
    <row r="222" spans="1:20" s="206" customFormat="1" ht="31.5">
      <c r="A222" s="191" t="s">
        <v>78</v>
      </c>
      <c r="B222" s="217"/>
      <c r="C222" s="201" t="s">
        <v>53</v>
      </c>
      <c r="D222" s="202" t="s">
        <v>58</v>
      </c>
      <c r="E222" s="202" t="s">
        <v>59</v>
      </c>
      <c r="F222" s="218" t="s">
        <v>162</v>
      </c>
      <c r="G222" s="203">
        <v>38784</v>
      </c>
      <c r="H222" s="204">
        <v>38820</v>
      </c>
      <c r="I222" s="219" t="s">
        <v>165</v>
      </c>
      <c r="J222" s="220">
        <v>48.74</v>
      </c>
      <c r="K222" s="220">
        <v>9.76</v>
      </c>
      <c r="L222" s="220">
        <v>58.5</v>
      </c>
      <c r="M222" s="228"/>
      <c r="N222" s="228"/>
      <c r="O222" s="221">
        <f t="shared" si="44"/>
        <v>0</v>
      </c>
      <c r="P222" s="221">
        <f t="shared" si="45"/>
        <v>0</v>
      </c>
      <c r="Q222" s="221"/>
      <c r="R222" s="221">
        <f t="shared" si="46"/>
        <v>0</v>
      </c>
      <c r="S222" s="192"/>
      <c r="T222" s="193"/>
    </row>
    <row r="223" spans="1:20" s="206" customFormat="1" ht="31.5">
      <c r="A223" s="191" t="s">
        <v>78</v>
      </c>
      <c r="B223" s="217"/>
      <c r="C223" s="201" t="s">
        <v>53</v>
      </c>
      <c r="D223" s="202" t="s">
        <v>65</v>
      </c>
      <c r="E223" s="202" t="s">
        <v>66</v>
      </c>
      <c r="F223" s="218" t="s">
        <v>163</v>
      </c>
      <c r="G223" s="203">
        <v>38800</v>
      </c>
      <c r="H223" s="204">
        <v>38820</v>
      </c>
      <c r="I223" s="219" t="s">
        <v>165</v>
      </c>
      <c r="J223" s="220">
        <v>101.66</v>
      </c>
      <c r="K223" s="220">
        <v>20.33</v>
      </c>
      <c r="L223" s="220">
        <v>121.99</v>
      </c>
      <c r="M223" s="228"/>
      <c r="N223" s="228"/>
      <c r="O223" s="221">
        <f t="shared" si="44"/>
        <v>0</v>
      </c>
      <c r="P223" s="221">
        <f t="shared" si="45"/>
        <v>0</v>
      </c>
      <c r="Q223" s="221"/>
      <c r="R223" s="221">
        <f t="shared" si="46"/>
        <v>0</v>
      </c>
      <c r="S223" s="192"/>
      <c r="T223" s="193"/>
    </row>
    <row r="224" spans="1:20" ht="36" customHeight="1">
      <c r="A224" s="75" t="s">
        <v>78</v>
      </c>
      <c r="B224" s="76"/>
      <c r="C224" s="77" t="s">
        <v>173</v>
      </c>
      <c r="D224" s="78" t="s">
        <v>169</v>
      </c>
      <c r="E224" s="78" t="s">
        <v>170</v>
      </c>
      <c r="F224" s="121">
        <v>38659</v>
      </c>
      <c r="G224" s="79">
        <v>38664</v>
      </c>
      <c r="H224" s="80"/>
      <c r="I224" s="95"/>
      <c r="J224" s="122"/>
      <c r="K224" s="122"/>
      <c r="L224" s="123">
        <v>382</v>
      </c>
      <c r="M224" s="128">
        <v>382</v>
      </c>
      <c r="N224" s="128"/>
      <c r="O224" s="125">
        <f>+M224+N224</f>
        <v>382</v>
      </c>
      <c r="P224" s="124">
        <f>+M224*0.5</f>
        <v>191</v>
      </c>
      <c r="Q224" s="124"/>
      <c r="R224" s="125">
        <f>+Q224+P224</f>
        <v>191</v>
      </c>
      <c r="S224" s="257" t="s">
        <v>363</v>
      </c>
      <c r="T224" s="258"/>
    </row>
    <row r="225" spans="1:20" ht="21" customHeight="1">
      <c r="A225" s="75" t="s">
        <v>78</v>
      </c>
      <c r="B225" s="76"/>
      <c r="C225" s="77" t="s">
        <v>173</v>
      </c>
      <c r="D225" s="78" t="s">
        <v>169</v>
      </c>
      <c r="E225" s="78" t="s">
        <v>171</v>
      </c>
      <c r="F225" s="121">
        <v>38685</v>
      </c>
      <c r="G225" s="79">
        <v>38685</v>
      </c>
      <c r="H225" s="80"/>
      <c r="I225" s="95"/>
      <c r="J225" s="122"/>
      <c r="K225" s="122"/>
      <c r="L225" s="123">
        <v>484</v>
      </c>
      <c r="M225" s="128">
        <v>484</v>
      </c>
      <c r="N225" s="128"/>
      <c r="O225" s="125">
        <f>+M225+N225</f>
        <v>484</v>
      </c>
      <c r="P225" s="124">
        <f>+M225*0.5</f>
        <v>242</v>
      </c>
      <c r="Q225" s="124"/>
      <c r="R225" s="125">
        <f>+Q225+P225</f>
        <v>242</v>
      </c>
      <c r="S225" s="257" t="s">
        <v>363</v>
      </c>
      <c r="T225" s="258"/>
    </row>
    <row r="226" spans="1:20" ht="21" customHeight="1">
      <c r="A226" s="75" t="s">
        <v>78</v>
      </c>
      <c r="B226" s="76"/>
      <c r="C226" s="77" t="s">
        <v>173</v>
      </c>
      <c r="D226" s="78" t="s">
        <v>169</v>
      </c>
      <c r="E226" s="78" t="s">
        <v>172</v>
      </c>
      <c r="F226" s="121">
        <v>38748</v>
      </c>
      <c r="G226" s="79">
        <v>38750</v>
      </c>
      <c r="H226" s="80"/>
      <c r="I226" s="95"/>
      <c r="J226" s="122"/>
      <c r="K226" s="122"/>
      <c r="L226" s="123">
        <v>548</v>
      </c>
      <c r="M226" s="128">
        <v>548</v>
      </c>
      <c r="N226" s="128"/>
      <c r="O226" s="125">
        <f>+M226+N226</f>
        <v>548</v>
      </c>
      <c r="P226" s="124">
        <f>+M226*0.5</f>
        <v>274</v>
      </c>
      <c r="Q226" s="124"/>
      <c r="R226" s="125">
        <f>+Q226+P226</f>
        <v>274</v>
      </c>
      <c r="S226" s="257" t="s">
        <v>363</v>
      </c>
      <c r="T226" s="258"/>
    </row>
    <row r="227" spans="1:20" ht="21" customHeight="1">
      <c r="A227" s="75" t="s">
        <v>78</v>
      </c>
      <c r="B227" s="76"/>
      <c r="C227" s="77" t="s">
        <v>173</v>
      </c>
      <c r="D227" s="78" t="s">
        <v>169</v>
      </c>
      <c r="E227" s="78" t="s">
        <v>170</v>
      </c>
      <c r="F227" s="121">
        <v>38771</v>
      </c>
      <c r="G227" s="79">
        <v>38776</v>
      </c>
      <c r="H227" s="80"/>
      <c r="I227" s="95"/>
      <c r="J227" s="122"/>
      <c r="K227" s="122"/>
      <c r="L227" s="123">
        <v>376</v>
      </c>
      <c r="M227" s="128">
        <v>376</v>
      </c>
      <c r="N227" s="128"/>
      <c r="O227" s="125">
        <f>+M227+N227</f>
        <v>376</v>
      </c>
      <c r="P227" s="124">
        <f>+M227*0.5</f>
        <v>188</v>
      </c>
      <c r="Q227" s="124"/>
      <c r="R227" s="125">
        <f>+Q227+P227</f>
        <v>188</v>
      </c>
      <c r="S227" s="257" t="s">
        <v>363</v>
      </c>
      <c r="T227" s="258"/>
    </row>
    <row r="228" spans="1:20" ht="21">
      <c r="A228" s="75" t="s">
        <v>78</v>
      </c>
      <c r="B228" s="76"/>
      <c r="C228" s="77" t="s">
        <v>50</v>
      </c>
      <c r="D228" s="78" t="s">
        <v>192</v>
      </c>
      <c r="E228" s="78"/>
      <c r="F228" s="121" t="s">
        <v>191</v>
      </c>
      <c r="G228" s="79"/>
      <c r="H228" s="80">
        <v>38786</v>
      </c>
      <c r="I228" s="95" t="s">
        <v>185</v>
      </c>
      <c r="J228" s="122">
        <v>168.9</v>
      </c>
      <c r="K228" s="122">
        <v>0</v>
      </c>
      <c r="L228" s="123">
        <v>168.9</v>
      </c>
      <c r="M228" s="128"/>
      <c r="N228" s="128"/>
      <c r="O228" s="125"/>
      <c r="P228" s="124"/>
      <c r="Q228" s="124"/>
      <c r="R228" s="125"/>
      <c r="S228" s="257" t="s">
        <v>210</v>
      </c>
      <c r="T228" s="258"/>
    </row>
    <row r="229" spans="1:20" ht="31.5">
      <c r="A229" s="75" t="s">
        <v>214</v>
      </c>
      <c r="B229" s="76"/>
      <c r="C229" s="77" t="s">
        <v>50</v>
      </c>
      <c r="D229" s="78" t="s">
        <v>183</v>
      </c>
      <c r="E229" s="78"/>
      <c r="F229" s="121" t="s">
        <v>184</v>
      </c>
      <c r="G229" s="79"/>
      <c r="H229" s="80">
        <v>38691</v>
      </c>
      <c r="I229" s="95" t="s">
        <v>185</v>
      </c>
      <c r="J229" s="122">
        <f>58.3+264.27+15</f>
        <v>337.57</v>
      </c>
      <c r="K229" s="122"/>
      <c r="L229" s="123">
        <v>337.57</v>
      </c>
      <c r="M229" s="122">
        <f>58.3+264.27+15</f>
        <v>337.57</v>
      </c>
      <c r="N229" s="128"/>
      <c r="O229" s="125">
        <f>+N229+M229</f>
        <v>337.57</v>
      </c>
      <c r="P229" s="124">
        <f>+M229*0.5</f>
        <v>168.785</v>
      </c>
      <c r="Q229" s="124"/>
      <c r="R229" s="125">
        <f>+Q229+P229</f>
        <v>168.785</v>
      </c>
      <c r="S229" s="257"/>
      <c r="T229" s="258"/>
    </row>
    <row r="230" spans="1:20" ht="21" customHeight="1">
      <c r="A230" s="75" t="s">
        <v>214</v>
      </c>
      <c r="B230" s="76"/>
      <c r="C230" s="77" t="s">
        <v>50</v>
      </c>
      <c r="D230" s="78" t="s">
        <v>186</v>
      </c>
      <c r="E230" s="78"/>
      <c r="F230" s="121" t="s">
        <v>187</v>
      </c>
      <c r="G230" s="79"/>
      <c r="H230" s="80">
        <v>38786</v>
      </c>
      <c r="I230" s="95" t="s">
        <v>185</v>
      </c>
      <c r="J230" s="122">
        <f>369.27+54.73</f>
        <v>424</v>
      </c>
      <c r="K230" s="122"/>
      <c r="L230" s="123">
        <v>424</v>
      </c>
      <c r="M230" s="128">
        <v>424</v>
      </c>
      <c r="N230" s="128"/>
      <c r="O230" s="125">
        <f>+N230+M230</f>
        <v>424</v>
      </c>
      <c r="P230" s="124">
        <f>+M230*0.5</f>
        <v>212</v>
      </c>
      <c r="Q230" s="124"/>
      <c r="R230" s="125">
        <f>+Q230+P230</f>
        <v>212</v>
      </c>
      <c r="S230" s="257"/>
      <c r="T230" s="258"/>
    </row>
    <row r="231" spans="1:20" ht="21" customHeight="1">
      <c r="A231" s="75" t="s">
        <v>214</v>
      </c>
      <c r="B231" s="76"/>
      <c r="C231" s="77" t="s">
        <v>50</v>
      </c>
      <c r="D231" s="78" t="s">
        <v>188</v>
      </c>
      <c r="E231" s="78"/>
      <c r="F231" s="121" t="s">
        <v>189</v>
      </c>
      <c r="G231" s="79"/>
      <c r="H231" s="80">
        <v>38786</v>
      </c>
      <c r="I231" s="95" t="s">
        <v>185</v>
      </c>
      <c r="J231" s="122">
        <v>122.44</v>
      </c>
      <c r="K231" s="122">
        <v>0</v>
      </c>
      <c r="L231" s="123">
        <v>122.44</v>
      </c>
      <c r="M231" s="128">
        <v>122.44</v>
      </c>
      <c r="N231" s="128"/>
      <c r="O231" s="125">
        <f>+N231+M231</f>
        <v>122.44</v>
      </c>
      <c r="P231" s="124">
        <f>+M231*0.5</f>
        <v>61.22</v>
      </c>
      <c r="Q231" s="124"/>
      <c r="R231" s="125">
        <f>+Q231+P231</f>
        <v>61.22</v>
      </c>
      <c r="S231" s="257"/>
      <c r="T231" s="258"/>
    </row>
    <row r="232" spans="1:20" ht="21" customHeight="1">
      <c r="A232" s="75" t="s">
        <v>214</v>
      </c>
      <c r="B232" s="76"/>
      <c r="C232" s="77" t="s">
        <v>50</v>
      </c>
      <c r="D232" s="78" t="s">
        <v>190</v>
      </c>
      <c r="E232" s="78"/>
      <c r="F232" s="121" t="s">
        <v>191</v>
      </c>
      <c r="G232" s="79"/>
      <c r="H232" s="80">
        <v>38786</v>
      </c>
      <c r="I232" s="95" t="s">
        <v>185</v>
      </c>
      <c r="J232" s="122">
        <v>1022.81</v>
      </c>
      <c r="K232" s="122">
        <v>0</v>
      </c>
      <c r="L232" s="123">
        <v>1022.81</v>
      </c>
      <c r="M232" s="128">
        <v>1022.81</v>
      </c>
      <c r="N232" s="128"/>
      <c r="O232" s="125">
        <f>+N232+M232</f>
        <v>1022.81</v>
      </c>
      <c r="P232" s="124">
        <f>+M232*0.5</f>
        <v>511.405</v>
      </c>
      <c r="Q232" s="124"/>
      <c r="R232" s="125">
        <f>+Q232+P232</f>
        <v>511.405</v>
      </c>
      <c r="S232" s="257"/>
      <c r="T232" s="258"/>
    </row>
    <row r="233" spans="1:20" ht="21">
      <c r="A233" s="75" t="s">
        <v>214</v>
      </c>
      <c r="B233" s="76"/>
      <c r="C233" s="77" t="s">
        <v>50</v>
      </c>
      <c r="D233" s="78" t="s">
        <v>193</v>
      </c>
      <c r="E233" s="78"/>
      <c r="F233" s="121" t="s">
        <v>194</v>
      </c>
      <c r="G233" s="79"/>
      <c r="H233" s="80">
        <v>38805</v>
      </c>
      <c r="I233" s="95" t="s">
        <v>185</v>
      </c>
      <c r="J233" s="122">
        <v>298.24</v>
      </c>
      <c r="K233" s="122"/>
      <c r="L233" s="123">
        <v>298.24</v>
      </c>
      <c r="M233" s="128">
        <v>298.24</v>
      </c>
      <c r="N233" s="128"/>
      <c r="O233" s="125">
        <f>+N233+M233</f>
        <v>298.24</v>
      </c>
      <c r="P233" s="124">
        <f>+M233*0.5</f>
        <v>149.12</v>
      </c>
      <c r="Q233" s="124"/>
      <c r="R233" s="125">
        <f>+Q233+P233</f>
        <v>149.12</v>
      </c>
      <c r="S233" s="257"/>
      <c r="T233" s="258"/>
    </row>
    <row r="234" spans="1:20" ht="53.25" customHeight="1">
      <c r="A234" s="75" t="s">
        <v>214</v>
      </c>
      <c r="B234" s="76"/>
      <c r="C234" s="77" t="s">
        <v>54</v>
      </c>
      <c r="D234" s="78" t="s">
        <v>101</v>
      </c>
      <c r="E234" s="78" t="s">
        <v>102</v>
      </c>
      <c r="F234" s="121" t="s">
        <v>103</v>
      </c>
      <c r="G234" s="79">
        <v>38686</v>
      </c>
      <c r="H234" s="80">
        <v>38699</v>
      </c>
      <c r="I234" s="95" t="s">
        <v>104</v>
      </c>
      <c r="J234" s="122">
        <v>38.36</v>
      </c>
      <c r="K234" s="122">
        <v>7.672000000000001</v>
      </c>
      <c r="L234" s="123">
        <v>46.032</v>
      </c>
      <c r="M234" s="128"/>
      <c r="N234" s="128"/>
      <c r="O234" s="125"/>
      <c r="P234" s="124"/>
      <c r="Q234" s="124"/>
      <c r="R234" s="125"/>
      <c r="S234" s="257" t="s">
        <v>301</v>
      </c>
      <c r="T234" s="258"/>
    </row>
    <row r="235" spans="1:20" ht="46.5" customHeight="1">
      <c r="A235" s="75" t="s">
        <v>214</v>
      </c>
      <c r="B235" s="76"/>
      <c r="C235" s="77" t="s">
        <v>54</v>
      </c>
      <c r="D235" s="78" t="s">
        <v>101</v>
      </c>
      <c r="E235" s="78" t="s">
        <v>102</v>
      </c>
      <c r="F235" s="121" t="s">
        <v>105</v>
      </c>
      <c r="G235" s="79">
        <v>38716</v>
      </c>
      <c r="H235" s="80">
        <v>38716</v>
      </c>
      <c r="I235" s="95" t="s">
        <v>104</v>
      </c>
      <c r="J235" s="122">
        <v>38.36</v>
      </c>
      <c r="K235" s="122">
        <v>7.672000000000001</v>
      </c>
      <c r="L235" s="123">
        <v>46.032</v>
      </c>
      <c r="M235" s="128"/>
      <c r="N235" s="128"/>
      <c r="O235" s="125"/>
      <c r="P235" s="124"/>
      <c r="Q235" s="124"/>
      <c r="R235" s="125"/>
      <c r="S235" s="257" t="s">
        <v>301</v>
      </c>
      <c r="T235" s="258"/>
    </row>
    <row r="236" spans="1:20" ht="10.5" customHeight="1">
      <c r="A236" s="75" t="s">
        <v>214</v>
      </c>
      <c r="B236" s="76"/>
      <c r="C236" s="77" t="s">
        <v>54</v>
      </c>
      <c r="D236" s="78" t="s">
        <v>106</v>
      </c>
      <c r="E236" s="78" t="s">
        <v>107</v>
      </c>
      <c r="F236" s="121" t="s">
        <v>108</v>
      </c>
      <c r="G236" s="79">
        <v>38717</v>
      </c>
      <c r="H236" s="80">
        <v>38717</v>
      </c>
      <c r="I236" s="95" t="s">
        <v>109</v>
      </c>
      <c r="J236" s="122">
        <v>33.99</v>
      </c>
      <c r="K236" s="122">
        <v>6.798000000000001</v>
      </c>
      <c r="L236" s="123">
        <v>40.788000000000004</v>
      </c>
      <c r="M236" s="128"/>
      <c r="N236" s="128"/>
      <c r="O236" s="125"/>
      <c r="P236" s="124"/>
      <c r="Q236" s="124"/>
      <c r="R236" s="125"/>
      <c r="S236" s="257" t="s">
        <v>300</v>
      </c>
      <c r="T236" s="258"/>
    </row>
    <row r="237" spans="1:20" ht="10.5" customHeight="1">
      <c r="A237" s="75" t="s">
        <v>214</v>
      </c>
      <c r="B237" s="76"/>
      <c r="C237" s="77" t="s">
        <v>54</v>
      </c>
      <c r="D237" s="78" t="s">
        <v>106</v>
      </c>
      <c r="E237" s="78" t="s">
        <v>107</v>
      </c>
      <c r="F237" s="121" t="s">
        <v>110</v>
      </c>
      <c r="G237" s="79">
        <v>38718</v>
      </c>
      <c r="H237" s="80">
        <v>38717</v>
      </c>
      <c r="I237" s="95" t="s">
        <v>109</v>
      </c>
      <c r="J237" s="122">
        <v>101.94</v>
      </c>
      <c r="K237" s="122">
        <v>20.388</v>
      </c>
      <c r="L237" s="123">
        <v>122.328</v>
      </c>
      <c r="M237" s="128"/>
      <c r="N237" s="128"/>
      <c r="O237" s="125"/>
      <c r="P237" s="124"/>
      <c r="Q237" s="124"/>
      <c r="R237" s="125"/>
      <c r="S237" s="257" t="s">
        <v>300</v>
      </c>
      <c r="T237" s="258"/>
    </row>
    <row r="238" spans="1:20" ht="21" customHeight="1">
      <c r="A238" s="75" t="s">
        <v>214</v>
      </c>
      <c r="B238" s="76"/>
      <c r="C238" s="77" t="s">
        <v>54</v>
      </c>
      <c r="D238" s="78" t="s">
        <v>111</v>
      </c>
      <c r="E238" s="78" t="s">
        <v>112</v>
      </c>
      <c r="F238" s="121" t="s">
        <v>113</v>
      </c>
      <c r="G238" s="79">
        <v>38730</v>
      </c>
      <c r="H238" s="80">
        <v>38748</v>
      </c>
      <c r="I238" s="95" t="s">
        <v>114</v>
      </c>
      <c r="J238" s="122">
        <v>3418.76</v>
      </c>
      <c r="K238" s="122">
        <v>683.7520000000001</v>
      </c>
      <c r="L238" s="123">
        <v>4102.512000000001</v>
      </c>
      <c r="M238" s="128">
        <v>683.75</v>
      </c>
      <c r="N238" s="128"/>
      <c r="O238" s="125">
        <f>+N238+M238</f>
        <v>683.75</v>
      </c>
      <c r="P238" s="124">
        <f>+M238*0.5</f>
        <v>341.875</v>
      </c>
      <c r="Q238" s="124"/>
      <c r="R238" s="125">
        <f>+Q238+P238</f>
        <v>341.875</v>
      </c>
      <c r="S238" s="257"/>
      <c r="T238" s="258"/>
    </row>
    <row r="239" spans="1:20" ht="21" customHeight="1">
      <c r="A239" s="75" t="s">
        <v>214</v>
      </c>
      <c r="B239" s="76"/>
      <c r="C239" s="77" t="s">
        <v>54</v>
      </c>
      <c r="D239" s="78" t="s">
        <v>115</v>
      </c>
      <c r="E239" s="78" t="s">
        <v>116</v>
      </c>
      <c r="F239" s="121" t="s">
        <v>117</v>
      </c>
      <c r="G239" s="79">
        <v>38734</v>
      </c>
      <c r="H239" s="80">
        <v>38764</v>
      </c>
      <c r="I239" s="95" t="s">
        <v>114</v>
      </c>
      <c r="J239" s="122">
        <v>1974.65</v>
      </c>
      <c r="K239" s="122">
        <v>394.93</v>
      </c>
      <c r="L239" s="123">
        <v>2369.58</v>
      </c>
      <c r="M239" s="128">
        <v>236.96</v>
      </c>
      <c r="N239" s="128"/>
      <c r="O239" s="125">
        <f>+N239+M239</f>
        <v>236.96</v>
      </c>
      <c r="P239" s="124">
        <f>+M239*0.5</f>
        <v>118.48</v>
      </c>
      <c r="Q239" s="124"/>
      <c r="R239" s="125">
        <f>+Q239+P239</f>
        <v>118.48</v>
      </c>
      <c r="S239" s="257"/>
      <c r="T239" s="258"/>
    </row>
    <row r="240" spans="1:20" ht="21" customHeight="1">
      <c r="A240" s="75" t="s">
        <v>214</v>
      </c>
      <c r="B240" s="76"/>
      <c r="C240" s="77" t="s">
        <v>54</v>
      </c>
      <c r="D240" s="78" t="s">
        <v>118</v>
      </c>
      <c r="E240" s="78" t="s">
        <v>112</v>
      </c>
      <c r="F240" s="121" t="s">
        <v>119</v>
      </c>
      <c r="G240" s="79">
        <v>38765</v>
      </c>
      <c r="H240" s="80">
        <v>38779</v>
      </c>
      <c r="I240" s="95" t="s">
        <v>114</v>
      </c>
      <c r="J240" s="122">
        <v>3951.43</v>
      </c>
      <c r="K240" s="122">
        <v>790.2860000000001</v>
      </c>
      <c r="L240" s="123">
        <v>4741.716</v>
      </c>
      <c r="M240" s="128">
        <v>790.29</v>
      </c>
      <c r="N240" s="128"/>
      <c r="O240" s="125">
        <f>+N240+M240</f>
        <v>790.29</v>
      </c>
      <c r="P240" s="124">
        <f>+M240*0.5</f>
        <v>395.145</v>
      </c>
      <c r="Q240" s="124"/>
      <c r="R240" s="125">
        <f>+Q240+P240</f>
        <v>395.145</v>
      </c>
      <c r="S240" s="257"/>
      <c r="T240" s="258"/>
    </row>
    <row r="241" spans="1:20" ht="21" customHeight="1">
      <c r="A241" s="75" t="s">
        <v>214</v>
      </c>
      <c r="B241" s="76"/>
      <c r="C241" s="77" t="s">
        <v>54</v>
      </c>
      <c r="D241" s="78" t="s">
        <v>120</v>
      </c>
      <c r="E241" s="78" t="s">
        <v>112</v>
      </c>
      <c r="F241" s="121" t="s">
        <v>121</v>
      </c>
      <c r="G241" s="79">
        <v>38792</v>
      </c>
      <c r="H241" s="80">
        <v>38807</v>
      </c>
      <c r="I241" s="95" t="s">
        <v>114</v>
      </c>
      <c r="J241" s="122">
        <v>4628.61</v>
      </c>
      <c r="K241" s="122">
        <v>925.722</v>
      </c>
      <c r="L241" s="123">
        <v>5554.331999999999</v>
      </c>
      <c r="M241" s="128">
        <v>925.72</v>
      </c>
      <c r="N241" s="128"/>
      <c r="O241" s="125">
        <f>+N241+M241</f>
        <v>925.72</v>
      </c>
      <c r="P241" s="124">
        <f>+M241*0.5</f>
        <v>462.86</v>
      </c>
      <c r="Q241" s="124"/>
      <c r="R241" s="125">
        <f>+Q241+P241</f>
        <v>462.86</v>
      </c>
      <c r="S241" s="257"/>
      <c r="T241" s="258"/>
    </row>
    <row r="242" spans="1:20" ht="10.5" customHeight="1">
      <c r="A242" s="75" t="s">
        <v>214</v>
      </c>
      <c r="B242" s="76"/>
      <c r="C242" s="77" t="s">
        <v>54</v>
      </c>
      <c r="D242" s="78" t="s">
        <v>106</v>
      </c>
      <c r="E242" s="78" t="s">
        <v>107</v>
      </c>
      <c r="F242" s="121" t="s">
        <v>122</v>
      </c>
      <c r="G242" s="79">
        <v>38749</v>
      </c>
      <c r="H242" s="80">
        <v>38756</v>
      </c>
      <c r="I242" s="95" t="s">
        <v>109</v>
      </c>
      <c r="J242" s="122">
        <v>34.67</v>
      </c>
      <c r="K242" s="122">
        <v>6.934000000000001</v>
      </c>
      <c r="L242" s="123">
        <v>41.604</v>
      </c>
      <c r="M242" s="128"/>
      <c r="N242" s="128"/>
      <c r="O242" s="125"/>
      <c r="P242" s="124"/>
      <c r="Q242" s="124"/>
      <c r="R242" s="125"/>
      <c r="S242" s="257" t="s">
        <v>300</v>
      </c>
      <c r="T242" s="258"/>
    </row>
    <row r="243" spans="1:20" ht="10.5" customHeight="1">
      <c r="A243" s="75" t="s">
        <v>214</v>
      </c>
      <c r="B243" s="76"/>
      <c r="C243" s="77" t="s">
        <v>54</v>
      </c>
      <c r="D243" s="78" t="s">
        <v>106</v>
      </c>
      <c r="E243" s="78" t="s">
        <v>107</v>
      </c>
      <c r="F243" s="121" t="s">
        <v>123</v>
      </c>
      <c r="G243" s="79">
        <v>38749</v>
      </c>
      <c r="H243" s="80">
        <v>38756</v>
      </c>
      <c r="I243" s="95" t="s">
        <v>109</v>
      </c>
      <c r="J243" s="122">
        <v>103.98</v>
      </c>
      <c r="K243" s="122">
        <v>20.796000000000003</v>
      </c>
      <c r="L243" s="123">
        <v>124.77600000000001</v>
      </c>
      <c r="M243" s="128"/>
      <c r="N243" s="128"/>
      <c r="O243" s="125"/>
      <c r="P243" s="124"/>
      <c r="Q243" s="124"/>
      <c r="R243" s="125"/>
      <c r="S243" s="257" t="s">
        <v>300</v>
      </c>
      <c r="T243" s="258"/>
    </row>
    <row r="244" spans="1:20" ht="10.5" customHeight="1">
      <c r="A244" s="75" t="s">
        <v>214</v>
      </c>
      <c r="B244" s="76"/>
      <c r="C244" s="77" t="s">
        <v>54</v>
      </c>
      <c r="D244" s="78" t="s">
        <v>106</v>
      </c>
      <c r="E244" s="78" t="s">
        <v>107</v>
      </c>
      <c r="F244" s="121" t="s">
        <v>124</v>
      </c>
      <c r="G244" s="79">
        <v>38777</v>
      </c>
      <c r="H244" s="80">
        <v>38789</v>
      </c>
      <c r="I244" s="95" t="s">
        <v>109</v>
      </c>
      <c r="J244" s="122">
        <v>34.67</v>
      </c>
      <c r="K244" s="122">
        <v>6.934000000000001</v>
      </c>
      <c r="L244" s="123">
        <v>41.604</v>
      </c>
      <c r="M244" s="128"/>
      <c r="N244" s="128"/>
      <c r="O244" s="125"/>
      <c r="P244" s="124"/>
      <c r="Q244" s="124"/>
      <c r="R244" s="125"/>
      <c r="S244" s="257" t="s">
        <v>300</v>
      </c>
      <c r="T244" s="258"/>
    </row>
    <row r="245" spans="1:20" ht="10.5" customHeight="1">
      <c r="A245" s="75" t="s">
        <v>214</v>
      </c>
      <c r="B245" s="76"/>
      <c r="C245" s="77" t="s">
        <v>54</v>
      </c>
      <c r="D245" s="78" t="s">
        <v>106</v>
      </c>
      <c r="E245" s="78" t="s">
        <v>107</v>
      </c>
      <c r="F245" s="121" t="s">
        <v>125</v>
      </c>
      <c r="G245" s="79">
        <v>38777</v>
      </c>
      <c r="H245" s="80">
        <v>38789</v>
      </c>
      <c r="I245" s="95" t="s">
        <v>109</v>
      </c>
      <c r="J245" s="122">
        <v>103.98</v>
      </c>
      <c r="K245" s="122">
        <v>20.796000000000003</v>
      </c>
      <c r="L245" s="123">
        <v>124.77600000000001</v>
      </c>
      <c r="M245" s="128"/>
      <c r="N245" s="128"/>
      <c r="O245" s="125"/>
      <c r="P245" s="124"/>
      <c r="Q245" s="124"/>
      <c r="R245" s="125"/>
      <c r="S245" s="257" t="s">
        <v>300</v>
      </c>
      <c r="T245" s="258"/>
    </row>
    <row r="246" spans="1:20" ht="21" customHeight="1">
      <c r="A246" s="75" t="s">
        <v>214</v>
      </c>
      <c r="B246" s="76"/>
      <c r="C246" s="77" t="s">
        <v>54</v>
      </c>
      <c r="D246" s="78" t="s">
        <v>115</v>
      </c>
      <c r="E246" s="78" t="s">
        <v>133</v>
      </c>
      <c r="F246" s="121" t="s">
        <v>245</v>
      </c>
      <c r="G246" s="79">
        <v>38908</v>
      </c>
      <c r="H246" s="80">
        <v>38929</v>
      </c>
      <c r="I246" s="95" t="s">
        <v>109</v>
      </c>
      <c r="J246" s="122">
        <v>441.78</v>
      </c>
      <c r="K246" s="122">
        <v>88.36</v>
      </c>
      <c r="L246" s="123">
        <v>530</v>
      </c>
      <c r="M246" s="128">
        <v>88.356</v>
      </c>
      <c r="N246" s="128"/>
      <c r="O246" s="125">
        <f aca="true" t="shared" si="47" ref="O246:O251">+N246+M246</f>
        <v>88.356</v>
      </c>
      <c r="P246" s="124">
        <f aca="true" t="shared" si="48" ref="P246:P251">+M246*0.5</f>
        <v>44.178</v>
      </c>
      <c r="Q246" s="124"/>
      <c r="R246" s="125">
        <f aca="true" t="shared" si="49" ref="R246:R251">+Q246+P246</f>
        <v>44.178</v>
      </c>
      <c r="S246" s="257"/>
      <c r="T246" s="258"/>
    </row>
    <row r="247" spans="1:20" ht="21">
      <c r="A247" s="75" t="s">
        <v>214</v>
      </c>
      <c r="B247" s="76"/>
      <c r="C247" s="77" t="s">
        <v>54</v>
      </c>
      <c r="D247" s="78" t="s">
        <v>115</v>
      </c>
      <c r="E247" s="78" t="s">
        <v>133</v>
      </c>
      <c r="F247" s="121" t="s">
        <v>246</v>
      </c>
      <c r="G247" s="79">
        <v>38846</v>
      </c>
      <c r="H247" s="80">
        <v>38880</v>
      </c>
      <c r="I247" s="95" t="s">
        <v>109</v>
      </c>
      <c r="J247" s="122">
        <v>461.27</v>
      </c>
      <c r="K247" s="122">
        <v>92.23</v>
      </c>
      <c r="L247" s="123">
        <v>553.5</v>
      </c>
      <c r="M247" s="128">
        <v>92.254</v>
      </c>
      <c r="N247" s="128"/>
      <c r="O247" s="125">
        <f t="shared" si="47"/>
        <v>92.254</v>
      </c>
      <c r="P247" s="124">
        <f t="shared" si="48"/>
        <v>46.127</v>
      </c>
      <c r="Q247" s="124"/>
      <c r="R247" s="125">
        <f t="shared" si="49"/>
        <v>46.127</v>
      </c>
      <c r="S247" s="257"/>
      <c r="T247" s="258"/>
    </row>
    <row r="248" spans="1:20" ht="21">
      <c r="A248" s="75" t="s">
        <v>214</v>
      </c>
      <c r="B248" s="76"/>
      <c r="C248" s="77" t="s">
        <v>54</v>
      </c>
      <c r="D248" s="78" t="s">
        <v>115</v>
      </c>
      <c r="E248" s="78" t="s">
        <v>116</v>
      </c>
      <c r="F248" s="121" t="s">
        <v>215</v>
      </c>
      <c r="G248" s="79">
        <v>38878</v>
      </c>
      <c r="H248" s="80">
        <v>38908</v>
      </c>
      <c r="I248" s="95" t="s">
        <v>114</v>
      </c>
      <c r="J248" s="122">
        <v>2606.31</v>
      </c>
      <c r="K248" s="122">
        <v>496.13</v>
      </c>
      <c r="L248" s="123">
        <v>3102.44</v>
      </c>
      <c r="M248" s="128">
        <v>521.2620000000001</v>
      </c>
      <c r="N248" s="128"/>
      <c r="O248" s="125">
        <f t="shared" si="47"/>
        <v>521.2620000000001</v>
      </c>
      <c r="P248" s="124">
        <f t="shared" si="48"/>
        <v>260.63100000000003</v>
      </c>
      <c r="Q248" s="124"/>
      <c r="R248" s="125">
        <f t="shared" si="49"/>
        <v>260.63100000000003</v>
      </c>
      <c r="S248" s="257"/>
      <c r="T248" s="258"/>
    </row>
    <row r="249" spans="1:20" ht="21">
      <c r="A249" s="75" t="s">
        <v>214</v>
      </c>
      <c r="B249" s="76"/>
      <c r="C249" s="77" t="s">
        <v>54</v>
      </c>
      <c r="D249" s="78" t="s">
        <v>115</v>
      </c>
      <c r="E249" s="78" t="s">
        <v>116</v>
      </c>
      <c r="F249" s="121" t="s">
        <v>216</v>
      </c>
      <c r="G249" s="79">
        <v>38878</v>
      </c>
      <c r="H249" s="80">
        <v>38938</v>
      </c>
      <c r="I249" s="95" t="s">
        <v>114</v>
      </c>
      <c r="J249" s="122">
        <v>3003.45</v>
      </c>
      <c r="K249" s="122">
        <v>501.16</v>
      </c>
      <c r="L249" s="123">
        <v>3504.61</v>
      </c>
      <c r="M249" s="128">
        <v>600.69</v>
      </c>
      <c r="N249" s="128"/>
      <c r="O249" s="125">
        <f t="shared" si="47"/>
        <v>600.69</v>
      </c>
      <c r="P249" s="124">
        <f t="shared" si="48"/>
        <v>300.345</v>
      </c>
      <c r="Q249" s="124"/>
      <c r="R249" s="125">
        <f t="shared" si="49"/>
        <v>300.345</v>
      </c>
      <c r="S249" s="257"/>
      <c r="T249" s="258"/>
    </row>
    <row r="250" spans="1:20" ht="21">
      <c r="A250" s="75" t="s">
        <v>214</v>
      </c>
      <c r="B250" s="76"/>
      <c r="C250" s="77" t="s">
        <v>54</v>
      </c>
      <c r="D250" s="78" t="s">
        <v>115</v>
      </c>
      <c r="E250" s="78" t="s">
        <v>116</v>
      </c>
      <c r="F250" s="121" t="s">
        <v>217</v>
      </c>
      <c r="G250" s="79">
        <v>38915</v>
      </c>
      <c r="H250" s="80">
        <v>38945</v>
      </c>
      <c r="I250" s="95" t="s">
        <v>114</v>
      </c>
      <c r="J250" s="122">
        <v>3115.06</v>
      </c>
      <c r="K250" s="122">
        <v>560.68</v>
      </c>
      <c r="L250" s="123">
        <v>3675.74</v>
      </c>
      <c r="M250" s="128">
        <v>623.0120000000001</v>
      </c>
      <c r="N250" s="128"/>
      <c r="O250" s="125">
        <f t="shared" si="47"/>
        <v>623.0120000000001</v>
      </c>
      <c r="P250" s="124">
        <f t="shared" si="48"/>
        <v>311.50600000000003</v>
      </c>
      <c r="Q250" s="124"/>
      <c r="R250" s="125">
        <f t="shared" si="49"/>
        <v>311.50600000000003</v>
      </c>
      <c r="S250" s="257"/>
      <c r="T250" s="258"/>
    </row>
    <row r="251" spans="1:20" ht="21">
      <c r="A251" s="75" t="s">
        <v>214</v>
      </c>
      <c r="B251" s="76"/>
      <c r="C251" s="77" t="s">
        <v>54</v>
      </c>
      <c r="D251" s="78" t="s">
        <v>218</v>
      </c>
      <c r="E251" s="78" t="s">
        <v>112</v>
      </c>
      <c r="F251" s="121" t="s">
        <v>219</v>
      </c>
      <c r="G251" s="79">
        <v>38915</v>
      </c>
      <c r="H251" s="80">
        <v>38930</v>
      </c>
      <c r="I251" s="95" t="s">
        <v>114</v>
      </c>
      <c r="J251" s="122">
        <v>6266.05</v>
      </c>
      <c r="K251" s="122">
        <v>1253.21</v>
      </c>
      <c r="L251" s="123">
        <v>7519.26</v>
      </c>
      <c r="M251" s="128">
        <v>1253.21</v>
      </c>
      <c r="N251" s="128"/>
      <c r="O251" s="125">
        <f t="shared" si="47"/>
        <v>1253.21</v>
      </c>
      <c r="P251" s="124">
        <f t="shared" si="48"/>
        <v>626.605</v>
      </c>
      <c r="Q251" s="124"/>
      <c r="R251" s="125">
        <f t="shared" si="49"/>
        <v>626.605</v>
      </c>
      <c r="S251" s="257"/>
      <c r="T251" s="258"/>
    </row>
    <row r="252" spans="1:20" ht="21">
      <c r="A252" s="75" t="s">
        <v>214</v>
      </c>
      <c r="B252" s="76"/>
      <c r="C252" s="77" t="s">
        <v>54</v>
      </c>
      <c r="D252" s="78" t="s">
        <v>220</v>
      </c>
      <c r="E252" s="78" t="s">
        <v>112</v>
      </c>
      <c r="F252" s="121" t="s">
        <v>221</v>
      </c>
      <c r="G252" s="79">
        <v>38882</v>
      </c>
      <c r="H252" s="80">
        <v>38903</v>
      </c>
      <c r="I252" s="95" t="s">
        <v>114</v>
      </c>
      <c r="J252" s="122">
        <v>4180.05</v>
      </c>
      <c r="K252" s="122">
        <v>836.01</v>
      </c>
      <c r="L252" s="123">
        <v>5016.06</v>
      </c>
      <c r="M252" s="128">
        <v>836.01</v>
      </c>
      <c r="N252" s="128"/>
      <c r="O252" s="125">
        <f>+N252+M252</f>
        <v>836.01</v>
      </c>
      <c r="P252" s="124">
        <f>+M252*0.5</f>
        <v>418.005</v>
      </c>
      <c r="Q252" s="124"/>
      <c r="R252" s="125">
        <f>+Q252+P252</f>
        <v>418.005</v>
      </c>
      <c r="S252" s="257"/>
      <c r="T252" s="258"/>
    </row>
    <row r="253" spans="1:20" ht="10.5">
      <c r="A253" s="75" t="s">
        <v>214</v>
      </c>
      <c r="B253" s="76"/>
      <c r="C253" s="77" t="s">
        <v>54</v>
      </c>
      <c r="D253" s="78" t="s">
        <v>106</v>
      </c>
      <c r="E253" s="78" t="s">
        <v>107</v>
      </c>
      <c r="F253" s="121" t="s">
        <v>222</v>
      </c>
      <c r="G253" s="79">
        <v>38808</v>
      </c>
      <c r="H253" s="80">
        <v>38842</v>
      </c>
      <c r="I253" s="95" t="s">
        <v>109</v>
      </c>
      <c r="J253" s="122">
        <v>103.98</v>
      </c>
      <c r="K253" s="122">
        <v>20.796000000000003</v>
      </c>
      <c r="L253" s="123">
        <v>124.78</v>
      </c>
      <c r="M253" s="128"/>
      <c r="N253" s="128"/>
      <c r="O253" s="125"/>
      <c r="P253" s="124"/>
      <c r="Q253" s="124"/>
      <c r="R253" s="125"/>
      <c r="S253" s="187" t="s">
        <v>300</v>
      </c>
      <c r="T253" s="188"/>
    </row>
    <row r="254" spans="1:20" ht="10.5">
      <c r="A254" s="75" t="s">
        <v>214</v>
      </c>
      <c r="B254" s="76"/>
      <c r="C254" s="77" t="s">
        <v>54</v>
      </c>
      <c r="D254" s="78" t="s">
        <v>106</v>
      </c>
      <c r="E254" s="78" t="s">
        <v>107</v>
      </c>
      <c r="F254" s="121" t="s">
        <v>223</v>
      </c>
      <c r="G254" s="79">
        <v>38808</v>
      </c>
      <c r="H254" s="80">
        <v>38842</v>
      </c>
      <c r="I254" s="95" t="s">
        <v>109</v>
      </c>
      <c r="J254" s="122">
        <v>34.67</v>
      </c>
      <c r="K254" s="122">
        <v>6.93</v>
      </c>
      <c r="L254" s="123">
        <v>41.6</v>
      </c>
      <c r="M254" s="128"/>
      <c r="N254" s="128"/>
      <c r="O254" s="125"/>
      <c r="P254" s="124"/>
      <c r="Q254" s="124"/>
      <c r="R254" s="125"/>
      <c r="S254" s="187" t="s">
        <v>300</v>
      </c>
      <c r="T254" s="188"/>
    </row>
    <row r="255" spans="1:20" ht="10.5">
      <c r="A255" s="75" t="s">
        <v>214</v>
      </c>
      <c r="B255" s="76"/>
      <c r="C255" s="77" t="s">
        <v>54</v>
      </c>
      <c r="D255" s="78" t="s">
        <v>106</v>
      </c>
      <c r="E255" s="78" t="s">
        <v>107</v>
      </c>
      <c r="F255" s="121" t="s">
        <v>224</v>
      </c>
      <c r="G255" s="79">
        <v>38839</v>
      </c>
      <c r="H255" s="80">
        <v>38876</v>
      </c>
      <c r="I255" s="95" t="s">
        <v>109</v>
      </c>
      <c r="J255" s="122">
        <v>34.67</v>
      </c>
      <c r="K255" s="122">
        <v>6.93</v>
      </c>
      <c r="L255" s="123">
        <v>41.6</v>
      </c>
      <c r="M255" s="128"/>
      <c r="N255" s="128"/>
      <c r="O255" s="125"/>
      <c r="P255" s="124"/>
      <c r="Q255" s="124"/>
      <c r="R255" s="125"/>
      <c r="S255" s="187" t="s">
        <v>300</v>
      </c>
      <c r="T255" s="188"/>
    </row>
    <row r="256" spans="1:20" ht="10.5">
      <c r="A256" s="75" t="s">
        <v>214</v>
      </c>
      <c r="B256" s="76"/>
      <c r="C256" s="77" t="s">
        <v>54</v>
      </c>
      <c r="D256" s="78" t="s">
        <v>106</v>
      </c>
      <c r="E256" s="78" t="s">
        <v>107</v>
      </c>
      <c r="F256" s="121" t="s">
        <v>225</v>
      </c>
      <c r="G256" s="79">
        <v>38839</v>
      </c>
      <c r="H256" s="80">
        <v>38876</v>
      </c>
      <c r="I256" s="95" t="s">
        <v>109</v>
      </c>
      <c r="J256" s="122">
        <v>103.98</v>
      </c>
      <c r="K256" s="122">
        <v>20.8</v>
      </c>
      <c r="L256" s="123">
        <v>124.78</v>
      </c>
      <c r="M256" s="128"/>
      <c r="N256" s="128"/>
      <c r="O256" s="125"/>
      <c r="P256" s="124"/>
      <c r="Q256" s="124"/>
      <c r="R256" s="125"/>
      <c r="S256" s="187" t="s">
        <v>300</v>
      </c>
      <c r="T256" s="188"/>
    </row>
    <row r="257" spans="1:20" ht="10.5">
      <c r="A257" s="75" t="s">
        <v>214</v>
      </c>
      <c r="B257" s="76"/>
      <c r="C257" s="77" t="s">
        <v>54</v>
      </c>
      <c r="D257" s="78" t="s">
        <v>106</v>
      </c>
      <c r="E257" s="78" t="s">
        <v>107</v>
      </c>
      <c r="F257" s="121" t="s">
        <v>226</v>
      </c>
      <c r="G257" s="79">
        <v>38899</v>
      </c>
      <c r="H257" s="80">
        <v>38903</v>
      </c>
      <c r="I257" s="95" t="s">
        <v>109</v>
      </c>
      <c r="J257" s="122">
        <v>34.67</v>
      </c>
      <c r="K257" s="122">
        <v>6.93</v>
      </c>
      <c r="L257" s="123">
        <v>41.6</v>
      </c>
      <c r="M257" s="128"/>
      <c r="N257" s="128"/>
      <c r="O257" s="125"/>
      <c r="P257" s="124"/>
      <c r="Q257" s="124"/>
      <c r="R257" s="125"/>
      <c r="S257" s="187" t="s">
        <v>300</v>
      </c>
      <c r="T257" s="188"/>
    </row>
    <row r="258" spans="1:20" ht="10.5">
      <c r="A258" s="75" t="s">
        <v>214</v>
      </c>
      <c r="B258" s="76"/>
      <c r="C258" s="77" t="s">
        <v>54</v>
      </c>
      <c r="D258" s="78" t="s">
        <v>106</v>
      </c>
      <c r="E258" s="78" t="s">
        <v>107</v>
      </c>
      <c r="F258" s="121" t="s">
        <v>227</v>
      </c>
      <c r="G258" s="79">
        <v>38899</v>
      </c>
      <c r="H258" s="80">
        <v>38903</v>
      </c>
      <c r="I258" s="95" t="s">
        <v>109</v>
      </c>
      <c r="J258" s="122">
        <v>103.98</v>
      </c>
      <c r="K258" s="122">
        <v>20.8</v>
      </c>
      <c r="L258" s="123">
        <v>124.78</v>
      </c>
      <c r="M258" s="128"/>
      <c r="N258" s="128"/>
      <c r="O258" s="125"/>
      <c r="P258" s="124"/>
      <c r="Q258" s="124"/>
      <c r="R258" s="125"/>
      <c r="S258" s="187" t="s">
        <v>300</v>
      </c>
      <c r="T258" s="188"/>
    </row>
    <row r="259" spans="1:20" ht="10.5">
      <c r="A259" s="75" t="s">
        <v>214</v>
      </c>
      <c r="B259" s="76"/>
      <c r="C259" s="77" t="s">
        <v>54</v>
      </c>
      <c r="D259" s="78" t="s">
        <v>106</v>
      </c>
      <c r="E259" s="78" t="s">
        <v>107</v>
      </c>
      <c r="F259" s="121" t="s">
        <v>228</v>
      </c>
      <c r="G259" s="79">
        <v>38869</v>
      </c>
      <c r="H259" s="80">
        <v>38903</v>
      </c>
      <c r="I259" s="95" t="s">
        <v>109</v>
      </c>
      <c r="J259" s="122">
        <v>34.67</v>
      </c>
      <c r="K259" s="122">
        <v>6.93</v>
      </c>
      <c r="L259" s="123">
        <v>41.6</v>
      </c>
      <c r="M259" s="128"/>
      <c r="N259" s="128"/>
      <c r="O259" s="125"/>
      <c r="P259" s="124"/>
      <c r="Q259" s="124"/>
      <c r="R259" s="125"/>
      <c r="S259" s="187" t="s">
        <v>300</v>
      </c>
      <c r="T259" s="188"/>
    </row>
    <row r="260" spans="1:20" ht="10.5">
      <c r="A260" s="75" t="s">
        <v>214</v>
      </c>
      <c r="B260" s="76"/>
      <c r="C260" s="77" t="s">
        <v>54</v>
      </c>
      <c r="D260" s="78" t="s">
        <v>106</v>
      </c>
      <c r="E260" s="78" t="s">
        <v>107</v>
      </c>
      <c r="F260" s="121" t="s">
        <v>229</v>
      </c>
      <c r="G260" s="79">
        <v>38869</v>
      </c>
      <c r="H260" s="80">
        <v>38903</v>
      </c>
      <c r="I260" s="95" t="s">
        <v>109</v>
      </c>
      <c r="J260" s="122">
        <v>103.98</v>
      </c>
      <c r="K260" s="122">
        <v>20.8</v>
      </c>
      <c r="L260" s="123">
        <v>124.78</v>
      </c>
      <c r="M260" s="128"/>
      <c r="N260" s="128"/>
      <c r="O260" s="125"/>
      <c r="P260" s="124"/>
      <c r="Q260" s="124"/>
      <c r="R260" s="125"/>
      <c r="S260" s="187" t="s">
        <v>300</v>
      </c>
      <c r="T260" s="188"/>
    </row>
    <row r="261" spans="1:20" ht="10.5">
      <c r="A261" s="75" t="s">
        <v>214</v>
      </c>
      <c r="B261" s="76"/>
      <c r="C261" s="77" t="s">
        <v>54</v>
      </c>
      <c r="D261" s="78" t="s">
        <v>230</v>
      </c>
      <c r="E261" s="78" t="s">
        <v>231</v>
      </c>
      <c r="F261" s="121" t="s">
        <v>232</v>
      </c>
      <c r="G261" s="79">
        <v>38912</v>
      </c>
      <c r="H261" s="80">
        <v>38913</v>
      </c>
      <c r="I261" s="95" t="s">
        <v>109</v>
      </c>
      <c r="J261" s="122">
        <v>110.83</v>
      </c>
      <c r="K261" s="122">
        <v>22.17</v>
      </c>
      <c r="L261" s="123">
        <v>133</v>
      </c>
      <c r="M261" s="128"/>
      <c r="N261" s="128"/>
      <c r="O261" s="125"/>
      <c r="P261" s="124"/>
      <c r="Q261" s="124"/>
      <c r="R261" s="125"/>
      <c r="S261" s="187" t="s">
        <v>300</v>
      </c>
      <c r="T261" s="188"/>
    </row>
    <row r="262" spans="1:20" ht="10.5">
      <c r="A262" s="75" t="s">
        <v>214</v>
      </c>
      <c r="B262" s="76"/>
      <c r="C262" s="77" t="s">
        <v>54</v>
      </c>
      <c r="D262" s="78" t="s">
        <v>230</v>
      </c>
      <c r="E262" s="78" t="s">
        <v>231</v>
      </c>
      <c r="F262" s="121" t="s">
        <v>233</v>
      </c>
      <c r="G262" s="79">
        <v>38831</v>
      </c>
      <c r="H262" s="80">
        <v>38834</v>
      </c>
      <c r="I262" s="95" t="s">
        <v>109</v>
      </c>
      <c r="J262" s="122">
        <v>412.39</v>
      </c>
      <c r="K262" s="122">
        <v>82.48</v>
      </c>
      <c r="L262" s="123">
        <v>494.87</v>
      </c>
      <c r="M262" s="128"/>
      <c r="N262" s="128"/>
      <c r="O262" s="125"/>
      <c r="P262" s="124"/>
      <c r="Q262" s="124"/>
      <c r="R262" s="125"/>
      <c r="S262" s="187" t="s">
        <v>300</v>
      </c>
      <c r="T262" s="188"/>
    </row>
    <row r="263" spans="1:20" ht="10.5">
      <c r="A263" s="75" t="s">
        <v>214</v>
      </c>
      <c r="B263" s="76"/>
      <c r="C263" s="77" t="s">
        <v>54</v>
      </c>
      <c r="D263" s="78" t="s">
        <v>230</v>
      </c>
      <c r="E263" s="78" t="s">
        <v>231</v>
      </c>
      <c r="F263" s="121" t="s">
        <v>234</v>
      </c>
      <c r="G263" s="79">
        <v>38828</v>
      </c>
      <c r="H263" s="80">
        <v>38834</v>
      </c>
      <c r="I263" s="95" t="s">
        <v>109</v>
      </c>
      <c r="J263" s="122">
        <v>20</v>
      </c>
      <c r="K263" s="122">
        <v>4</v>
      </c>
      <c r="L263" s="123">
        <v>24</v>
      </c>
      <c r="M263" s="128"/>
      <c r="N263" s="128"/>
      <c r="O263" s="125"/>
      <c r="P263" s="124"/>
      <c r="Q263" s="124"/>
      <c r="R263" s="125"/>
      <c r="S263" s="187" t="s">
        <v>300</v>
      </c>
      <c r="T263" s="188"/>
    </row>
    <row r="264" spans="1:20" ht="10.5">
      <c r="A264" s="75" t="s">
        <v>214</v>
      </c>
      <c r="B264" s="76"/>
      <c r="C264" s="77" t="s">
        <v>54</v>
      </c>
      <c r="D264" s="78" t="s">
        <v>230</v>
      </c>
      <c r="E264" s="78" t="s">
        <v>231</v>
      </c>
      <c r="F264" s="121" t="s">
        <v>235</v>
      </c>
      <c r="G264" s="79">
        <v>38898</v>
      </c>
      <c r="H264" s="80">
        <v>38899</v>
      </c>
      <c r="I264" s="95" t="s">
        <v>109</v>
      </c>
      <c r="J264" s="122">
        <v>65.83</v>
      </c>
      <c r="K264" s="122">
        <v>13.17</v>
      </c>
      <c r="L264" s="123">
        <v>79</v>
      </c>
      <c r="M264" s="128"/>
      <c r="N264" s="128"/>
      <c r="O264" s="125"/>
      <c r="P264" s="124"/>
      <c r="Q264" s="124"/>
      <c r="R264" s="125"/>
      <c r="S264" s="187" t="s">
        <v>300</v>
      </c>
      <c r="T264" s="188"/>
    </row>
    <row r="265" spans="1:20" ht="10.5">
      <c r="A265" s="75" t="s">
        <v>214</v>
      </c>
      <c r="B265" s="76"/>
      <c r="C265" s="77" t="s">
        <v>54</v>
      </c>
      <c r="D265" s="78" t="s">
        <v>230</v>
      </c>
      <c r="E265" s="78" t="s">
        <v>231</v>
      </c>
      <c r="F265" s="121" t="s">
        <v>236</v>
      </c>
      <c r="G265" s="79">
        <v>38826</v>
      </c>
      <c r="H265" s="80">
        <v>38834</v>
      </c>
      <c r="I265" s="95" t="s">
        <v>109</v>
      </c>
      <c r="J265" s="122">
        <v>15.42</v>
      </c>
      <c r="K265" s="122">
        <v>3.08</v>
      </c>
      <c r="L265" s="123">
        <v>18.5</v>
      </c>
      <c r="M265" s="128"/>
      <c r="N265" s="128"/>
      <c r="O265" s="125"/>
      <c r="P265" s="124"/>
      <c r="Q265" s="124"/>
      <c r="R265" s="125"/>
      <c r="S265" s="187" t="s">
        <v>300</v>
      </c>
      <c r="T265" s="188"/>
    </row>
    <row r="266" spans="1:20" ht="10.5">
      <c r="A266" s="75" t="s">
        <v>214</v>
      </c>
      <c r="B266" s="76"/>
      <c r="C266" s="77" t="s">
        <v>54</v>
      </c>
      <c r="D266" s="78" t="s">
        <v>230</v>
      </c>
      <c r="E266" s="78" t="s">
        <v>231</v>
      </c>
      <c r="F266" s="121" t="s">
        <v>237</v>
      </c>
      <c r="G266" s="79">
        <v>38833</v>
      </c>
      <c r="H266" s="80">
        <v>38834</v>
      </c>
      <c r="I266" s="95" t="s">
        <v>109</v>
      </c>
      <c r="J266" s="122">
        <v>45.83</v>
      </c>
      <c r="K266" s="122">
        <v>9.17</v>
      </c>
      <c r="L266" s="123">
        <v>55</v>
      </c>
      <c r="M266" s="128"/>
      <c r="N266" s="128"/>
      <c r="O266" s="125"/>
      <c r="P266" s="124"/>
      <c r="Q266" s="124"/>
      <c r="R266" s="125"/>
      <c r="S266" s="187" t="s">
        <v>300</v>
      </c>
      <c r="T266" s="188"/>
    </row>
    <row r="267" spans="1:20" ht="10.5">
      <c r="A267" s="75" t="s">
        <v>214</v>
      </c>
      <c r="B267" s="76"/>
      <c r="C267" s="77" t="s">
        <v>54</v>
      </c>
      <c r="D267" s="78" t="s">
        <v>238</v>
      </c>
      <c r="E267" s="78" t="s">
        <v>239</v>
      </c>
      <c r="F267" s="121">
        <v>311</v>
      </c>
      <c r="G267" s="79">
        <v>38922</v>
      </c>
      <c r="H267" s="80">
        <v>38924</v>
      </c>
      <c r="I267" s="95" t="s">
        <v>109</v>
      </c>
      <c r="J267" s="122">
        <v>535</v>
      </c>
      <c r="K267" s="122">
        <v>107</v>
      </c>
      <c r="L267" s="123">
        <v>642</v>
      </c>
      <c r="M267" s="128"/>
      <c r="N267" s="128"/>
      <c r="O267" s="125"/>
      <c r="P267" s="124"/>
      <c r="Q267" s="124"/>
      <c r="R267" s="125"/>
      <c r="S267" s="187" t="s">
        <v>300</v>
      </c>
      <c r="T267" s="188"/>
    </row>
    <row r="268" spans="1:20" ht="10.5">
      <c r="A268" s="75" t="s">
        <v>214</v>
      </c>
      <c r="B268" s="76"/>
      <c r="C268" s="77" t="s">
        <v>54</v>
      </c>
      <c r="D268" s="78" t="s">
        <v>238</v>
      </c>
      <c r="E268" s="78" t="s">
        <v>239</v>
      </c>
      <c r="F268" s="121">
        <v>281</v>
      </c>
      <c r="G268" s="79">
        <v>38897</v>
      </c>
      <c r="H268" s="80">
        <v>38919</v>
      </c>
      <c r="I268" s="95" t="s">
        <v>109</v>
      </c>
      <c r="J268" s="122">
        <v>182</v>
      </c>
      <c r="K268" s="122">
        <v>36.4</v>
      </c>
      <c r="L268" s="123">
        <v>218.4</v>
      </c>
      <c r="M268" s="128"/>
      <c r="N268" s="128"/>
      <c r="O268" s="125"/>
      <c r="P268" s="124"/>
      <c r="Q268" s="124"/>
      <c r="R268" s="125"/>
      <c r="S268" s="187" t="s">
        <v>300</v>
      </c>
      <c r="T268" s="188"/>
    </row>
    <row r="269" spans="1:20" ht="10.5">
      <c r="A269" s="75" t="s">
        <v>214</v>
      </c>
      <c r="B269" s="76"/>
      <c r="C269" s="77" t="s">
        <v>54</v>
      </c>
      <c r="D269" s="78" t="s">
        <v>238</v>
      </c>
      <c r="E269" s="78" t="s">
        <v>239</v>
      </c>
      <c r="F269" s="121">
        <v>169</v>
      </c>
      <c r="G269" s="79">
        <v>38826</v>
      </c>
      <c r="H269" s="80">
        <v>38826</v>
      </c>
      <c r="I269" s="95" t="s">
        <v>109</v>
      </c>
      <c r="J269" s="122">
        <v>97.5</v>
      </c>
      <c r="K269" s="122">
        <v>19.5</v>
      </c>
      <c r="L269" s="123">
        <v>117</v>
      </c>
      <c r="M269" s="128"/>
      <c r="N269" s="128"/>
      <c r="O269" s="125"/>
      <c r="P269" s="124"/>
      <c r="Q269" s="124"/>
      <c r="R269" s="125"/>
      <c r="S269" s="187" t="s">
        <v>300</v>
      </c>
      <c r="T269" s="188"/>
    </row>
    <row r="270" spans="1:20" ht="10.5">
      <c r="A270" s="75" t="s">
        <v>214</v>
      </c>
      <c r="B270" s="76"/>
      <c r="C270" s="77" t="s">
        <v>54</v>
      </c>
      <c r="D270" s="78" t="s">
        <v>240</v>
      </c>
      <c r="E270" s="78" t="s">
        <v>241</v>
      </c>
      <c r="F270" s="121">
        <v>3708</v>
      </c>
      <c r="G270" s="79">
        <v>38843</v>
      </c>
      <c r="H270" s="80">
        <v>38843</v>
      </c>
      <c r="I270" s="95" t="s">
        <v>109</v>
      </c>
      <c r="J270" s="122">
        <v>52</v>
      </c>
      <c r="K270" s="122">
        <v>6.6</v>
      </c>
      <c r="L270" s="123">
        <v>58.6</v>
      </c>
      <c r="M270" s="128"/>
      <c r="N270" s="128"/>
      <c r="O270" s="125"/>
      <c r="P270" s="124"/>
      <c r="Q270" s="124"/>
      <c r="R270" s="125"/>
      <c r="S270" s="187" t="s">
        <v>300</v>
      </c>
      <c r="T270" s="188"/>
    </row>
    <row r="271" spans="1:20" ht="10.5">
      <c r="A271" s="75" t="s">
        <v>214</v>
      </c>
      <c r="B271" s="76"/>
      <c r="C271" s="77" t="s">
        <v>54</v>
      </c>
      <c r="D271" s="78" t="s">
        <v>131</v>
      </c>
      <c r="E271" s="78" t="s">
        <v>242</v>
      </c>
      <c r="F271" s="121">
        <v>108</v>
      </c>
      <c r="G271" s="79">
        <v>38910</v>
      </c>
      <c r="H271" s="80">
        <v>38912</v>
      </c>
      <c r="I271" s="95" t="s">
        <v>109</v>
      </c>
      <c r="J271" s="122">
        <v>137.5</v>
      </c>
      <c r="K271" s="122">
        <v>27.5</v>
      </c>
      <c r="L271" s="123">
        <v>165</v>
      </c>
      <c r="M271" s="128"/>
      <c r="N271" s="128"/>
      <c r="O271" s="125"/>
      <c r="P271" s="124"/>
      <c r="Q271" s="124"/>
      <c r="R271" s="125"/>
      <c r="S271" s="187" t="s">
        <v>300</v>
      </c>
      <c r="T271" s="188"/>
    </row>
    <row r="272" spans="1:20" ht="10.5">
      <c r="A272" s="75" t="s">
        <v>214</v>
      </c>
      <c r="B272" s="76"/>
      <c r="C272" s="77" t="s">
        <v>54</v>
      </c>
      <c r="D272" s="78" t="s">
        <v>243</v>
      </c>
      <c r="E272" s="78" t="s">
        <v>244</v>
      </c>
      <c r="F272" s="121">
        <v>505</v>
      </c>
      <c r="G272" s="79">
        <v>38901</v>
      </c>
      <c r="H272" s="80">
        <v>38909</v>
      </c>
      <c r="I272" s="95" t="s">
        <v>109</v>
      </c>
      <c r="J272" s="122">
        <v>335.7</v>
      </c>
      <c r="K272" s="122">
        <v>67.14</v>
      </c>
      <c r="L272" s="123">
        <v>402.84</v>
      </c>
      <c r="M272" s="128"/>
      <c r="N272" s="128"/>
      <c r="O272" s="125"/>
      <c r="P272" s="124"/>
      <c r="Q272" s="124"/>
      <c r="R272" s="125"/>
      <c r="S272" s="187" t="s">
        <v>300</v>
      </c>
      <c r="T272" s="188"/>
    </row>
    <row r="273" spans="1:20" s="206" customFormat="1" ht="21" customHeight="1">
      <c r="A273" s="191" t="s">
        <v>214</v>
      </c>
      <c r="B273" s="200"/>
      <c r="C273" s="201" t="s">
        <v>53</v>
      </c>
      <c r="D273" s="202" t="s">
        <v>247</v>
      </c>
      <c r="E273" s="202" t="s">
        <v>248</v>
      </c>
      <c r="F273" s="218">
        <v>372</v>
      </c>
      <c r="G273" s="203">
        <v>38825</v>
      </c>
      <c r="H273" s="204">
        <v>38812</v>
      </c>
      <c r="I273" s="219" t="s">
        <v>142</v>
      </c>
      <c r="J273" s="220">
        <v>173.81</v>
      </c>
      <c r="K273" s="220">
        <v>0</v>
      </c>
      <c r="L273" s="220">
        <v>173.81</v>
      </c>
      <c r="M273" s="228"/>
      <c r="N273" s="228"/>
      <c r="O273" s="221">
        <f>+N273+M273</f>
        <v>0</v>
      </c>
      <c r="P273" s="221">
        <f>+M273*0.5</f>
        <v>0</v>
      </c>
      <c r="Q273" s="221"/>
      <c r="R273" s="221">
        <f>+Q273+P273</f>
        <v>0</v>
      </c>
      <c r="S273" s="192"/>
      <c r="T273" s="193"/>
    </row>
    <row r="274" spans="1:20" s="206" customFormat="1" ht="21" customHeight="1">
      <c r="A274" s="191" t="s">
        <v>214</v>
      </c>
      <c r="B274" s="200"/>
      <c r="C274" s="201" t="s">
        <v>53</v>
      </c>
      <c r="D274" s="202" t="s">
        <v>249</v>
      </c>
      <c r="E274" s="202" t="s">
        <v>62</v>
      </c>
      <c r="F274" s="218">
        <v>12</v>
      </c>
      <c r="G274" s="203">
        <v>38835</v>
      </c>
      <c r="H274" s="204">
        <v>38826</v>
      </c>
      <c r="I274" s="219" t="s">
        <v>142</v>
      </c>
      <c r="J274" s="220">
        <v>600</v>
      </c>
      <c r="K274" s="220">
        <v>0</v>
      </c>
      <c r="L274" s="220">
        <v>600</v>
      </c>
      <c r="M274" s="228"/>
      <c r="N274" s="228"/>
      <c r="O274" s="221">
        <f aca="true" t="shared" si="50" ref="O274:O295">+N274+M274</f>
        <v>0</v>
      </c>
      <c r="P274" s="221">
        <f aca="true" t="shared" si="51" ref="P274:P295">+M274*0.5</f>
        <v>0</v>
      </c>
      <c r="Q274" s="221"/>
      <c r="R274" s="221">
        <f aca="true" t="shared" si="52" ref="R274:R295">+Q274+P274</f>
        <v>0</v>
      </c>
      <c r="S274" s="192"/>
      <c r="T274" s="193"/>
    </row>
    <row r="275" spans="1:20" s="206" customFormat="1" ht="20.25" customHeight="1">
      <c r="A275" s="191" t="s">
        <v>214</v>
      </c>
      <c r="B275" s="200"/>
      <c r="C275" s="201" t="s">
        <v>53</v>
      </c>
      <c r="D275" s="202" t="s">
        <v>250</v>
      </c>
      <c r="E275" s="202" t="s">
        <v>151</v>
      </c>
      <c r="F275" s="218" t="s">
        <v>267</v>
      </c>
      <c r="G275" s="203">
        <v>38835</v>
      </c>
      <c r="H275" s="204">
        <v>38859</v>
      </c>
      <c r="I275" s="219" t="s">
        <v>251</v>
      </c>
      <c r="J275" s="220">
        <v>39.04</v>
      </c>
      <c r="K275" s="220">
        <v>7.81</v>
      </c>
      <c r="L275" s="220">
        <v>46.85</v>
      </c>
      <c r="M275" s="228"/>
      <c r="N275" s="228"/>
      <c r="O275" s="221">
        <f t="shared" si="50"/>
        <v>0</v>
      </c>
      <c r="P275" s="221">
        <f t="shared" si="51"/>
        <v>0</v>
      </c>
      <c r="Q275" s="221"/>
      <c r="R275" s="221">
        <f t="shared" si="52"/>
        <v>0</v>
      </c>
      <c r="S275" s="192"/>
      <c r="T275" s="193"/>
    </row>
    <row r="276" spans="1:20" s="206" customFormat="1" ht="18.75" customHeight="1">
      <c r="A276" s="191" t="s">
        <v>214</v>
      </c>
      <c r="B276" s="200"/>
      <c r="C276" s="201" t="s">
        <v>53</v>
      </c>
      <c r="D276" s="202" t="s">
        <v>58</v>
      </c>
      <c r="E276" s="202" t="s">
        <v>59</v>
      </c>
      <c r="F276" s="218" t="s">
        <v>252</v>
      </c>
      <c r="G276" s="203">
        <v>38846</v>
      </c>
      <c r="H276" s="204">
        <v>38881</v>
      </c>
      <c r="I276" s="219" t="s">
        <v>251</v>
      </c>
      <c r="J276" s="220">
        <v>183.72</v>
      </c>
      <c r="K276" s="220">
        <v>36.78</v>
      </c>
      <c r="L276" s="220">
        <v>220.5</v>
      </c>
      <c r="M276" s="228"/>
      <c r="N276" s="228"/>
      <c r="O276" s="221">
        <f t="shared" si="50"/>
        <v>0</v>
      </c>
      <c r="P276" s="221">
        <f t="shared" si="51"/>
        <v>0</v>
      </c>
      <c r="Q276" s="221"/>
      <c r="R276" s="221">
        <f t="shared" si="52"/>
        <v>0</v>
      </c>
      <c r="S276" s="192"/>
      <c r="T276" s="193"/>
    </row>
    <row r="277" spans="1:20" s="206" customFormat="1" ht="22.5" customHeight="1">
      <c r="A277" s="191" t="s">
        <v>214</v>
      </c>
      <c r="B277" s="200"/>
      <c r="C277" s="201" t="s">
        <v>53</v>
      </c>
      <c r="D277" s="202" t="s">
        <v>58</v>
      </c>
      <c r="E277" s="202" t="s">
        <v>59</v>
      </c>
      <c r="F277" s="218" t="s">
        <v>253</v>
      </c>
      <c r="G277" s="203">
        <v>38846</v>
      </c>
      <c r="H277" s="204">
        <v>38881</v>
      </c>
      <c r="I277" s="219" t="s">
        <v>251</v>
      </c>
      <c r="J277" s="220">
        <v>48.37</v>
      </c>
      <c r="K277" s="220">
        <v>9.63</v>
      </c>
      <c r="L277" s="220">
        <v>58</v>
      </c>
      <c r="M277" s="228"/>
      <c r="N277" s="228"/>
      <c r="O277" s="221">
        <f t="shared" si="50"/>
        <v>0</v>
      </c>
      <c r="P277" s="221">
        <f t="shared" si="51"/>
        <v>0</v>
      </c>
      <c r="Q277" s="221"/>
      <c r="R277" s="221">
        <f t="shared" si="52"/>
        <v>0</v>
      </c>
      <c r="S277" s="192"/>
      <c r="T277" s="193"/>
    </row>
    <row r="278" spans="1:20" s="206" customFormat="1" ht="21.75" customHeight="1">
      <c r="A278" s="191" t="s">
        <v>214</v>
      </c>
      <c r="B278" s="200"/>
      <c r="C278" s="201" t="s">
        <v>53</v>
      </c>
      <c r="D278" s="202" t="s">
        <v>65</v>
      </c>
      <c r="E278" s="202" t="s">
        <v>66</v>
      </c>
      <c r="F278" s="218" t="s">
        <v>254</v>
      </c>
      <c r="G278" s="203">
        <v>38862</v>
      </c>
      <c r="H278" s="204">
        <v>38882</v>
      </c>
      <c r="I278" s="219" t="s">
        <v>251</v>
      </c>
      <c r="J278" s="220">
        <v>90.63</v>
      </c>
      <c r="K278" s="220">
        <v>18.13</v>
      </c>
      <c r="L278" s="220">
        <v>108.76</v>
      </c>
      <c r="M278" s="228"/>
      <c r="N278" s="228"/>
      <c r="O278" s="221">
        <f t="shared" si="50"/>
        <v>0</v>
      </c>
      <c r="P278" s="221">
        <f t="shared" si="51"/>
        <v>0</v>
      </c>
      <c r="Q278" s="221"/>
      <c r="R278" s="221">
        <f t="shared" si="52"/>
        <v>0</v>
      </c>
      <c r="S278" s="192"/>
      <c r="T278" s="193"/>
    </row>
    <row r="279" spans="1:20" s="206" customFormat="1" ht="21" customHeight="1">
      <c r="A279" s="191" t="s">
        <v>214</v>
      </c>
      <c r="B279" s="200"/>
      <c r="C279" s="201" t="s">
        <v>53</v>
      </c>
      <c r="D279" s="202" t="s">
        <v>255</v>
      </c>
      <c r="E279" s="202" t="s">
        <v>62</v>
      </c>
      <c r="F279" s="218">
        <v>13</v>
      </c>
      <c r="G279" s="203">
        <v>38868</v>
      </c>
      <c r="H279" s="204">
        <v>38853</v>
      </c>
      <c r="I279" s="219" t="s">
        <v>142</v>
      </c>
      <c r="J279" s="220">
        <v>600</v>
      </c>
      <c r="K279" s="220">
        <v>0</v>
      </c>
      <c r="L279" s="220">
        <v>600</v>
      </c>
      <c r="M279" s="228"/>
      <c r="N279" s="228"/>
      <c r="O279" s="221">
        <f t="shared" si="50"/>
        <v>0</v>
      </c>
      <c r="P279" s="221">
        <f t="shared" si="51"/>
        <v>0</v>
      </c>
      <c r="Q279" s="221"/>
      <c r="R279" s="221">
        <f t="shared" si="52"/>
        <v>0</v>
      </c>
      <c r="S279" s="192"/>
      <c r="T279" s="193"/>
    </row>
    <row r="280" spans="1:20" s="206" customFormat="1" ht="21" customHeight="1">
      <c r="A280" s="191" t="s">
        <v>214</v>
      </c>
      <c r="B280" s="200"/>
      <c r="C280" s="201" t="s">
        <v>53</v>
      </c>
      <c r="D280" s="202" t="s">
        <v>256</v>
      </c>
      <c r="E280" s="202" t="s">
        <v>62</v>
      </c>
      <c r="F280" s="218" t="s">
        <v>257</v>
      </c>
      <c r="G280" s="203">
        <v>38898</v>
      </c>
      <c r="H280" s="204">
        <v>38890</v>
      </c>
      <c r="I280" s="219" t="s">
        <v>142</v>
      </c>
      <c r="J280" s="220">
        <v>600</v>
      </c>
      <c r="K280" s="220">
        <v>0</v>
      </c>
      <c r="L280" s="220">
        <v>600</v>
      </c>
      <c r="M280" s="228"/>
      <c r="N280" s="228"/>
      <c r="O280" s="221">
        <f t="shared" si="50"/>
        <v>0</v>
      </c>
      <c r="P280" s="221">
        <f t="shared" si="51"/>
        <v>0</v>
      </c>
      <c r="Q280" s="221"/>
      <c r="R280" s="221">
        <f t="shared" si="52"/>
        <v>0</v>
      </c>
      <c r="S280" s="192"/>
      <c r="T280" s="193"/>
    </row>
    <row r="281" spans="1:20" s="206" customFormat="1" ht="21" customHeight="1">
      <c r="A281" s="191" t="s">
        <v>214</v>
      </c>
      <c r="B281" s="200"/>
      <c r="C281" s="201" t="s">
        <v>53</v>
      </c>
      <c r="D281" s="202" t="s">
        <v>258</v>
      </c>
      <c r="E281" s="202" t="s">
        <v>248</v>
      </c>
      <c r="F281" s="218">
        <v>380</v>
      </c>
      <c r="G281" s="203">
        <v>38881</v>
      </c>
      <c r="H281" s="204">
        <v>38867</v>
      </c>
      <c r="I281" s="219" t="s">
        <v>142</v>
      </c>
      <c r="J281" s="220">
        <v>27.4</v>
      </c>
      <c r="K281" s="220">
        <v>0</v>
      </c>
      <c r="L281" s="220">
        <v>27.4</v>
      </c>
      <c r="M281" s="228"/>
      <c r="N281" s="228"/>
      <c r="O281" s="221">
        <f t="shared" si="50"/>
        <v>0</v>
      </c>
      <c r="P281" s="221">
        <f t="shared" si="51"/>
        <v>0</v>
      </c>
      <c r="Q281" s="221"/>
      <c r="R281" s="221">
        <f t="shared" si="52"/>
        <v>0</v>
      </c>
      <c r="S281" s="192"/>
      <c r="T281" s="193"/>
    </row>
    <row r="282" spans="1:20" s="206" customFormat="1" ht="21" customHeight="1">
      <c r="A282" s="191" t="s">
        <v>214</v>
      </c>
      <c r="B282" s="200"/>
      <c r="C282" s="201" t="s">
        <v>53</v>
      </c>
      <c r="D282" s="202" t="s">
        <v>259</v>
      </c>
      <c r="E282" s="202" t="s">
        <v>248</v>
      </c>
      <c r="F282" s="218" t="s">
        <v>260</v>
      </c>
      <c r="G282" s="203">
        <v>38930</v>
      </c>
      <c r="H282" s="204">
        <v>38915</v>
      </c>
      <c r="I282" s="219" t="s">
        <v>142</v>
      </c>
      <c r="J282" s="220">
        <v>173.81</v>
      </c>
      <c r="K282" s="220">
        <v>0</v>
      </c>
      <c r="L282" s="220">
        <v>173.81</v>
      </c>
      <c r="M282" s="228"/>
      <c r="N282" s="228"/>
      <c r="O282" s="221">
        <f t="shared" si="50"/>
        <v>0</v>
      </c>
      <c r="P282" s="221">
        <f t="shared" si="51"/>
        <v>0</v>
      </c>
      <c r="Q282" s="221"/>
      <c r="R282" s="221">
        <f t="shared" si="52"/>
        <v>0</v>
      </c>
      <c r="S282" s="192"/>
      <c r="T282" s="193"/>
    </row>
    <row r="283" spans="1:20" s="206" customFormat="1" ht="21" customHeight="1">
      <c r="A283" s="191" t="s">
        <v>214</v>
      </c>
      <c r="B283" s="200"/>
      <c r="C283" s="201" t="s">
        <v>53</v>
      </c>
      <c r="D283" s="202" t="s">
        <v>58</v>
      </c>
      <c r="E283" s="202" t="s">
        <v>59</v>
      </c>
      <c r="F283" s="218" t="s">
        <v>261</v>
      </c>
      <c r="G283" s="203">
        <v>38908</v>
      </c>
      <c r="H283" s="204">
        <v>38943</v>
      </c>
      <c r="I283" s="219" t="s">
        <v>251</v>
      </c>
      <c r="J283" s="220">
        <v>241.66</v>
      </c>
      <c r="K283" s="220">
        <v>48.34</v>
      </c>
      <c r="L283" s="220">
        <v>290</v>
      </c>
      <c r="M283" s="228"/>
      <c r="N283" s="228"/>
      <c r="O283" s="221">
        <f t="shared" si="50"/>
        <v>0</v>
      </c>
      <c r="P283" s="221">
        <f t="shared" si="51"/>
        <v>0</v>
      </c>
      <c r="Q283" s="221"/>
      <c r="R283" s="221">
        <f t="shared" si="52"/>
        <v>0</v>
      </c>
      <c r="S283" s="192"/>
      <c r="T283" s="193"/>
    </row>
    <row r="284" spans="1:20" s="206" customFormat="1" ht="19.5" customHeight="1">
      <c r="A284" s="191" t="s">
        <v>214</v>
      </c>
      <c r="B284" s="200"/>
      <c r="C284" s="201" t="s">
        <v>53</v>
      </c>
      <c r="D284" s="202" t="s">
        <v>58</v>
      </c>
      <c r="E284" s="202" t="s">
        <v>59</v>
      </c>
      <c r="F284" s="218" t="s">
        <v>262</v>
      </c>
      <c r="G284" s="203">
        <v>38908</v>
      </c>
      <c r="H284" s="204">
        <v>38943</v>
      </c>
      <c r="I284" s="219" t="s">
        <v>251</v>
      </c>
      <c r="J284" s="220">
        <v>293.74</v>
      </c>
      <c r="K284" s="220">
        <v>58.76</v>
      </c>
      <c r="L284" s="220">
        <v>352.5</v>
      </c>
      <c r="M284" s="228"/>
      <c r="N284" s="228"/>
      <c r="O284" s="221">
        <f t="shared" si="50"/>
        <v>0</v>
      </c>
      <c r="P284" s="221">
        <f t="shared" si="51"/>
        <v>0</v>
      </c>
      <c r="Q284" s="221"/>
      <c r="R284" s="221">
        <f t="shared" si="52"/>
        <v>0</v>
      </c>
      <c r="S284" s="192"/>
      <c r="T284" s="193"/>
    </row>
    <row r="285" spans="1:20" s="206" customFormat="1" ht="18.75" customHeight="1">
      <c r="A285" s="191" t="s">
        <v>214</v>
      </c>
      <c r="B285" s="200"/>
      <c r="C285" s="201" t="s">
        <v>53</v>
      </c>
      <c r="D285" s="202" t="s">
        <v>58</v>
      </c>
      <c r="E285" s="202" t="s">
        <v>59</v>
      </c>
      <c r="F285" s="218" t="s">
        <v>263</v>
      </c>
      <c r="G285" s="203">
        <v>38908</v>
      </c>
      <c r="H285" s="204">
        <v>38943</v>
      </c>
      <c r="I285" s="219" t="s">
        <v>251</v>
      </c>
      <c r="J285" s="220">
        <v>45.35</v>
      </c>
      <c r="K285" s="220">
        <v>9.15</v>
      </c>
      <c r="L285" s="220">
        <v>54.5</v>
      </c>
      <c r="M285" s="228"/>
      <c r="N285" s="228"/>
      <c r="O285" s="221">
        <f t="shared" si="50"/>
        <v>0</v>
      </c>
      <c r="P285" s="221">
        <f t="shared" si="51"/>
        <v>0</v>
      </c>
      <c r="Q285" s="221"/>
      <c r="R285" s="221">
        <f t="shared" si="52"/>
        <v>0</v>
      </c>
      <c r="S285" s="192"/>
      <c r="T285" s="193"/>
    </row>
    <row r="286" spans="1:20" s="206" customFormat="1" ht="18.75" customHeight="1">
      <c r="A286" s="191" t="s">
        <v>214</v>
      </c>
      <c r="B286" s="200"/>
      <c r="C286" s="201" t="s">
        <v>53</v>
      </c>
      <c r="D286" s="202" t="s">
        <v>264</v>
      </c>
      <c r="E286" s="202" t="s">
        <v>151</v>
      </c>
      <c r="F286" s="218" t="s">
        <v>265</v>
      </c>
      <c r="G286" s="203">
        <v>38916</v>
      </c>
      <c r="H286" s="204">
        <v>38938</v>
      </c>
      <c r="I286" s="219" t="s">
        <v>251</v>
      </c>
      <c r="J286" s="220">
        <v>43.87</v>
      </c>
      <c r="K286" s="220">
        <v>8.77</v>
      </c>
      <c r="L286" s="220">
        <v>52.64</v>
      </c>
      <c r="M286" s="228"/>
      <c r="N286" s="228"/>
      <c r="O286" s="221">
        <f t="shared" si="50"/>
        <v>0</v>
      </c>
      <c r="P286" s="221">
        <f t="shared" si="51"/>
        <v>0</v>
      </c>
      <c r="Q286" s="221"/>
      <c r="R286" s="221">
        <f t="shared" si="52"/>
        <v>0</v>
      </c>
      <c r="S286" s="192"/>
      <c r="T286" s="193"/>
    </row>
    <row r="287" spans="1:20" s="206" customFormat="1" ht="21" customHeight="1">
      <c r="A287" s="191" t="s">
        <v>214</v>
      </c>
      <c r="B287" s="200"/>
      <c r="C287" s="201" t="s">
        <v>53</v>
      </c>
      <c r="D287" s="202" t="s">
        <v>266</v>
      </c>
      <c r="E287" s="202" t="s">
        <v>62</v>
      </c>
      <c r="F287" s="218">
        <v>18</v>
      </c>
      <c r="G287" s="203">
        <v>38929</v>
      </c>
      <c r="H287" s="204">
        <v>38915</v>
      </c>
      <c r="I287" s="219" t="s">
        <v>142</v>
      </c>
      <c r="J287" s="220">
        <v>600</v>
      </c>
      <c r="K287" s="220">
        <v>0</v>
      </c>
      <c r="L287" s="220">
        <v>600</v>
      </c>
      <c r="M287" s="228"/>
      <c r="N287" s="228"/>
      <c r="O287" s="221">
        <f t="shared" si="50"/>
        <v>0</v>
      </c>
      <c r="P287" s="221">
        <f t="shared" si="51"/>
        <v>0</v>
      </c>
      <c r="Q287" s="221"/>
      <c r="R287" s="221">
        <f t="shared" si="52"/>
        <v>0</v>
      </c>
      <c r="S287" s="192"/>
      <c r="T287" s="193"/>
    </row>
    <row r="288" spans="1:20" ht="21">
      <c r="A288" s="75" t="s">
        <v>303</v>
      </c>
      <c r="B288" s="76"/>
      <c r="C288" s="77" t="s">
        <v>50</v>
      </c>
      <c r="D288" s="78" t="s">
        <v>279</v>
      </c>
      <c r="E288" s="78" t="s">
        <v>280</v>
      </c>
      <c r="F288" s="121" t="s">
        <v>281</v>
      </c>
      <c r="G288" s="79"/>
      <c r="H288" s="80">
        <v>38875</v>
      </c>
      <c r="I288" s="95" t="s">
        <v>185</v>
      </c>
      <c r="J288" s="122"/>
      <c r="K288" s="122"/>
      <c r="L288" s="123">
        <v>1003.36</v>
      </c>
      <c r="M288" s="128">
        <f aca="true" t="shared" si="53" ref="M288:M294">+L288</f>
        <v>1003.36</v>
      </c>
      <c r="N288" s="128"/>
      <c r="O288" s="125">
        <f t="shared" si="50"/>
        <v>1003.36</v>
      </c>
      <c r="P288" s="124">
        <f t="shared" si="51"/>
        <v>501.68</v>
      </c>
      <c r="Q288" s="124"/>
      <c r="R288" s="125">
        <f t="shared" si="52"/>
        <v>501.68</v>
      </c>
      <c r="S288" s="187" t="s">
        <v>400</v>
      </c>
      <c r="T288" s="188"/>
    </row>
    <row r="289" spans="1:20" ht="21" customHeight="1">
      <c r="A289" s="75" t="s">
        <v>303</v>
      </c>
      <c r="B289" s="76"/>
      <c r="C289" s="77" t="s">
        <v>50</v>
      </c>
      <c r="D289" s="78" t="s">
        <v>279</v>
      </c>
      <c r="E289" s="78" t="s">
        <v>282</v>
      </c>
      <c r="F289" s="121" t="s">
        <v>281</v>
      </c>
      <c r="G289" s="79"/>
      <c r="H289" s="80">
        <v>38875</v>
      </c>
      <c r="I289" s="95" t="s">
        <v>185</v>
      </c>
      <c r="J289" s="122"/>
      <c r="K289" s="122"/>
      <c r="L289" s="123">
        <v>1003.36</v>
      </c>
      <c r="M289" s="128">
        <f t="shared" si="53"/>
        <v>1003.36</v>
      </c>
      <c r="N289" s="128"/>
      <c r="O289" s="125">
        <f t="shared" si="50"/>
        <v>1003.36</v>
      </c>
      <c r="P289" s="124">
        <f t="shared" si="51"/>
        <v>501.68</v>
      </c>
      <c r="Q289" s="124"/>
      <c r="R289" s="125">
        <f t="shared" si="52"/>
        <v>501.68</v>
      </c>
      <c r="S289" s="187" t="s">
        <v>400</v>
      </c>
      <c r="T289" s="188"/>
    </row>
    <row r="290" spans="1:20" ht="21" customHeight="1">
      <c r="A290" s="75" t="s">
        <v>303</v>
      </c>
      <c r="B290" s="76"/>
      <c r="C290" s="77" t="s">
        <v>50</v>
      </c>
      <c r="D290" s="78" t="s">
        <v>283</v>
      </c>
      <c r="E290" s="78" t="s">
        <v>280</v>
      </c>
      <c r="F290" s="121" t="s">
        <v>284</v>
      </c>
      <c r="G290" s="79"/>
      <c r="H290" s="80">
        <v>38877</v>
      </c>
      <c r="I290" s="95" t="s">
        <v>185</v>
      </c>
      <c r="J290" s="122"/>
      <c r="K290" s="122"/>
      <c r="L290" s="123">
        <v>1350</v>
      </c>
      <c r="M290" s="128">
        <f t="shared" si="53"/>
        <v>1350</v>
      </c>
      <c r="N290" s="128"/>
      <c r="O290" s="125">
        <f t="shared" si="50"/>
        <v>1350</v>
      </c>
      <c r="P290" s="124">
        <f t="shared" si="51"/>
        <v>675</v>
      </c>
      <c r="Q290" s="124"/>
      <c r="R290" s="125">
        <f t="shared" si="52"/>
        <v>675</v>
      </c>
      <c r="S290" s="187" t="s">
        <v>400</v>
      </c>
      <c r="T290" s="188"/>
    </row>
    <row r="291" spans="1:20" ht="21" customHeight="1">
      <c r="A291" s="75" t="s">
        <v>303</v>
      </c>
      <c r="B291" s="76"/>
      <c r="C291" s="77" t="s">
        <v>50</v>
      </c>
      <c r="D291" s="78" t="s">
        <v>285</v>
      </c>
      <c r="E291" s="78" t="s">
        <v>286</v>
      </c>
      <c r="F291" s="121" t="s">
        <v>287</v>
      </c>
      <c r="G291" s="79"/>
      <c r="H291" s="80">
        <v>38863</v>
      </c>
      <c r="I291" s="95" t="s">
        <v>177</v>
      </c>
      <c r="J291" s="122"/>
      <c r="K291" s="122"/>
      <c r="L291" s="123">
        <v>278.27</v>
      </c>
      <c r="M291" s="128">
        <f t="shared" si="53"/>
        <v>278.27</v>
      </c>
      <c r="N291" s="128"/>
      <c r="O291" s="125">
        <f t="shared" si="50"/>
        <v>278.27</v>
      </c>
      <c r="P291" s="124">
        <f t="shared" si="51"/>
        <v>139.135</v>
      </c>
      <c r="Q291" s="124"/>
      <c r="R291" s="125">
        <f t="shared" si="52"/>
        <v>139.135</v>
      </c>
      <c r="S291" s="187" t="s">
        <v>400</v>
      </c>
      <c r="T291" s="188"/>
    </row>
    <row r="292" spans="1:20" ht="21" customHeight="1">
      <c r="A292" s="75" t="s">
        <v>303</v>
      </c>
      <c r="B292" s="76"/>
      <c r="C292" s="77" t="s">
        <v>50</v>
      </c>
      <c r="D292" s="78" t="s">
        <v>288</v>
      </c>
      <c r="E292" s="78" t="s">
        <v>286</v>
      </c>
      <c r="F292" s="121" t="s">
        <v>289</v>
      </c>
      <c r="G292" s="79"/>
      <c r="H292" s="80">
        <v>38863</v>
      </c>
      <c r="I292" s="95" t="s">
        <v>177</v>
      </c>
      <c r="J292" s="122"/>
      <c r="K292" s="122"/>
      <c r="L292" s="123">
        <v>650.8</v>
      </c>
      <c r="M292" s="128">
        <f t="shared" si="53"/>
        <v>650.8</v>
      </c>
      <c r="N292" s="128"/>
      <c r="O292" s="125">
        <f t="shared" si="50"/>
        <v>650.8</v>
      </c>
      <c r="P292" s="124">
        <f t="shared" si="51"/>
        <v>325.4</v>
      </c>
      <c r="Q292" s="124"/>
      <c r="R292" s="125">
        <f t="shared" si="52"/>
        <v>325.4</v>
      </c>
      <c r="S292" s="187" t="s">
        <v>400</v>
      </c>
      <c r="T292" s="188"/>
    </row>
    <row r="293" spans="1:20" ht="21" customHeight="1">
      <c r="A293" s="75" t="s">
        <v>303</v>
      </c>
      <c r="B293" s="76"/>
      <c r="C293" s="77" t="s">
        <v>50</v>
      </c>
      <c r="D293" s="78" t="s">
        <v>290</v>
      </c>
      <c r="E293" s="78" t="s">
        <v>291</v>
      </c>
      <c r="F293" s="121" t="s">
        <v>292</v>
      </c>
      <c r="G293" s="79"/>
      <c r="H293" s="80">
        <v>38922</v>
      </c>
      <c r="I293" s="95" t="s">
        <v>177</v>
      </c>
      <c r="J293" s="122"/>
      <c r="K293" s="122"/>
      <c r="L293" s="123">
        <v>589.45</v>
      </c>
      <c r="M293" s="128">
        <f t="shared" si="53"/>
        <v>589.45</v>
      </c>
      <c r="N293" s="128"/>
      <c r="O293" s="125">
        <f t="shared" si="50"/>
        <v>589.45</v>
      </c>
      <c r="P293" s="124">
        <f t="shared" si="51"/>
        <v>294.725</v>
      </c>
      <c r="Q293" s="124"/>
      <c r="R293" s="125">
        <f t="shared" si="52"/>
        <v>294.725</v>
      </c>
      <c r="S293" s="187" t="s">
        <v>400</v>
      </c>
      <c r="T293" s="188"/>
    </row>
    <row r="294" spans="1:20" ht="21" customHeight="1">
      <c r="A294" s="75" t="s">
        <v>303</v>
      </c>
      <c r="B294" s="76"/>
      <c r="C294" s="77" t="s">
        <v>50</v>
      </c>
      <c r="D294" s="78" t="s">
        <v>293</v>
      </c>
      <c r="E294" s="78" t="s">
        <v>291</v>
      </c>
      <c r="F294" s="121" t="s">
        <v>294</v>
      </c>
      <c r="G294" s="79"/>
      <c r="H294" s="80">
        <v>38922</v>
      </c>
      <c r="I294" s="95" t="s">
        <v>177</v>
      </c>
      <c r="J294" s="122"/>
      <c r="K294" s="122"/>
      <c r="L294" s="123">
        <v>286.45</v>
      </c>
      <c r="M294" s="128">
        <f t="shared" si="53"/>
        <v>286.45</v>
      </c>
      <c r="N294" s="128"/>
      <c r="O294" s="125">
        <f t="shared" si="50"/>
        <v>286.45</v>
      </c>
      <c r="P294" s="124">
        <f t="shared" si="51"/>
        <v>143.225</v>
      </c>
      <c r="Q294" s="124"/>
      <c r="R294" s="125">
        <f t="shared" si="52"/>
        <v>143.225</v>
      </c>
      <c r="S294" s="187" t="s">
        <v>400</v>
      </c>
      <c r="T294" s="188"/>
    </row>
    <row r="295" spans="1:20" ht="21" customHeight="1">
      <c r="A295" s="75" t="s">
        <v>303</v>
      </c>
      <c r="B295" s="76"/>
      <c r="C295" s="77" t="s">
        <v>50</v>
      </c>
      <c r="D295" s="78" t="s">
        <v>295</v>
      </c>
      <c r="E295" s="78" t="s">
        <v>291</v>
      </c>
      <c r="F295" s="121" t="s">
        <v>296</v>
      </c>
      <c r="G295" s="79"/>
      <c r="H295" s="80">
        <v>38922</v>
      </c>
      <c r="I295" s="95" t="s">
        <v>177</v>
      </c>
      <c r="J295" s="122"/>
      <c r="K295" s="122"/>
      <c r="L295" s="123">
        <v>402.09</v>
      </c>
      <c r="M295" s="128">
        <f>+L295</f>
        <v>402.09</v>
      </c>
      <c r="N295" s="128"/>
      <c r="O295" s="125">
        <f t="shared" si="50"/>
        <v>402.09</v>
      </c>
      <c r="P295" s="124">
        <f t="shared" si="51"/>
        <v>201.045</v>
      </c>
      <c r="Q295" s="124"/>
      <c r="R295" s="125">
        <f t="shared" si="52"/>
        <v>201.045</v>
      </c>
      <c r="S295" s="187" t="s">
        <v>400</v>
      </c>
      <c r="T295" s="188"/>
    </row>
    <row r="296" spans="1:20" s="206" customFormat="1" ht="27.75" customHeight="1">
      <c r="A296" s="191" t="s">
        <v>303</v>
      </c>
      <c r="B296" s="217"/>
      <c r="C296" s="201" t="s">
        <v>53</v>
      </c>
      <c r="D296" s="202" t="s">
        <v>143</v>
      </c>
      <c r="E296" s="202" t="s">
        <v>144</v>
      </c>
      <c r="F296" s="218">
        <v>800157530</v>
      </c>
      <c r="G296" s="203">
        <v>38686</v>
      </c>
      <c r="H296" s="204">
        <v>38717</v>
      </c>
      <c r="I296" s="219" t="s">
        <v>166</v>
      </c>
      <c r="J296" s="220">
        <v>818.3</v>
      </c>
      <c r="K296" s="220">
        <v>163.66</v>
      </c>
      <c r="L296" s="220">
        <v>981.96</v>
      </c>
      <c r="M296" s="228"/>
      <c r="N296" s="228"/>
      <c r="O296" s="221">
        <f>+N296+M296</f>
        <v>0</v>
      </c>
      <c r="P296" s="221">
        <f>+M296*0.5</f>
        <v>0</v>
      </c>
      <c r="Q296" s="221"/>
      <c r="R296" s="221">
        <f>+Q296+P296</f>
        <v>0</v>
      </c>
      <c r="S296" s="192" t="s">
        <v>306</v>
      </c>
      <c r="T296" s="193"/>
    </row>
    <row r="297" spans="1:20" s="206" customFormat="1" ht="27.75" customHeight="1">
      <c r="A297" s="191" t="s">
        <v>303</v>
      </c>
      <c r="B297" s="217"/>
      <c r="C297" s="201" t="s">
        <v>53</v>
      </c>
      <c r="D297" s="202" t="s">
        <v>143</v>
      </c>
      <c r="E297" s="202" t="s">
        <v>313</v>
      </c>
      <c r="F297" s="218">
        <v>800099393</v>
      </c>
      <c r="G297" s="203">
        <v>38898</v>
      </c>
      <c r="H297" s="204">
        <v>38929</v>
      </c>
      <c r="I297" s="219" t="s">
        <v>314</v>
      </c>
      <c r="J297" s="220">
        <v>237.22</v>
      </c>
      <c r="K297" s="220">
        <v>47.44</v>
      </c>
      <c r="L297" s="220">
        <v>284.66</v>
      </c>
      <c r="M297" s="228"/>
      <c r="N297" s="228"/>
      <c r="O297" s="221">
        <f>+N297+M297</f>
        <v>0</v>
      </c>
      <c r="P297" s="221">
        <f>+M297*0.5</f>
        <v>0</v>
      </c>
      <c r="Q297" s="221"/>
      <c r="R297" s="221">
        <f>+Q297+P297</f>
        <v>0</v>
      </c>
      <c r="S297" s="192" t="s">
        <v>335</v>
      </c>
      <c r="T297" s="193"/>
    </row>
    <row r="298" spans="1:20" s="206" customFormat="1" ht="27.75" customHeight="1">
      <c r="A298" s="191" t="s">
        <v>303</v>
      </c>
      <c r="B298" s="217"/>
      <c r="C298" s="201" t="s">
        <v>53</v>
      </c>
      <c r="D298" s="202" t="s">
        <v>65</v>
      </c>
      <c r="E298" s="202" t="s">
        <v>66</v>
      </c>
      <c r="F298" s="218" t="s">
        <v>332</v>
      </c>
      <c r="G298" s="203">
        <v>38917</v>
      </c>
      <c r="H298" s="204">
        <v>38937</v>
      </c>
      <c r="I298" s="219" t="s">
        <v>251</v>
      </c>
      <c r="J298" s="220">
        <v>145.03</v>
      </c>
      <c r="K298" s="220">
        <v>29.01</v>
      </c>
      <c r="L298" s="220">
        <v>174.04</v>
      </c>
      <c r="M298" s="228"/>
      <c r="N298" s="228"/>
      <c r="O298" s="221">
        <f>+N298+M298</f>
        <v>0</v>
      </c>
      <c r="P298" s="221">
        <f>+M298*0.5</f>
        <v>0</v>
      </c>
      <c r="Q298" s="221"/>
      <c r="R298" s="221">
        <f>+Q298+P298</f>
        <v>0</v>
      </c>
      <c r="S298" s="212"/>
      <c r="T298" s="213"/>
    </row>
    <row r="299" spans="1:20" s="206" customFormat="1" ht="27.75" customHeight="1">
      <c r="A299" s="191" t="s">
        <v>303</v>
      </c>
      <c r="B299" s="217"/>
      <c r="C299" s="201" t="s">
        <v>53</v>
      </c>
      <c r="D299" s="202" t="s">
        <v>315</v>
      </c>
      <c r="E299" s="202" t="s">
        <v>316</v>
      </c>
      <c r="F299" s="218">
        <v>23</v>
      </c>
      <c r="G299" s="203">
        <v>38960</v>
      </c>
      <c r="H299" s="204">
        <v>38961</v>
      </c>
      <c r="I299" s="219" t="s">
        <v>142</v>
      </c>
      <c r="J299" s="220">
        <v>600</v>
      </c>
      <c r="K299" s="220">
        <v>0</v>
      </c>
      <c r="L299" s="220">
        <v>600</v>
      </c>
      <c r="M299" s="228"/>
      <c r="N299" s="228"/>
      <c r="O299" s="221">
        <f>+N299+M299</f>
        <v>0</v>
      </c>
      <c r="P299" s="221">
        <f>+M299*0.5</f>
        <v>0</v>
      </c>
      <c r="Q299" s="221"/>
      <c r="R299" s="221">
        <f>+Q299+P299</f>
        <v>0</v>
      </c>
      <c r="S299" s="192"/>
      <c r="T299" s="193"/>
    </row>
    <row r="300" spans="1:20" s="206" customFormat="1" ht="27.75" customHeight="1">
      <c r="A300" s="191" t="s">
        <v>303</v>
      </c>
      <c r="B300" s="217"/>
      <c r="C300" s="201" t="s">
        <v>53</v>
      </c>
      <c r="D300" s="202" t="s">
        <v>58</v>
      </c>
      <c r="E300" s="202" t="s">
        <v>59</v>
      </c>
      <c r="F300" s="218" t="s">
        <v>317</v>
      </c>
      <c r="G300" s="203" t="s">
        <v>318</v>
      </c>
      <c r="H300" s="204">
        <v>39003</v>
      </c>
      <c r="I300" s="219" t="s">
        <v>251</v>
      </c>
      <c r="J300" s="220">
        <v>286.23</v>
      </c>
      <c r="K300" s="220">
        <v>45.27</v>
      </c>
      <c r="L300" s="220">
        <v>271.5</v>
      </c>
      <c r="M300" s="228"/>
      <c r="N300" s="228"/>
      <c r="O300" s="221"/>
      <c r="P300" s="221"/>
      <c r="Q300" s="221"/>
      <c r="R300" s="221"/>
      <c r="S300" s="192" t="s">
        <v>336</v>
      </c>
      <c r="T300" s="193"/>
    </row>
    <row r="301" spans="1:20" s="206" customFormat="1" ht="27.75" customHeight="1">
      <c r="A301" s="191" t="s">
        <v>303</v>
      </c>
      <c r="B301" s="217"/>
      <c r="C301" s="201" t="s">
        <v>53</v>
      </c>
      <c r="D301" s="202" t="s">
        <v>58</v>
      </c>
      <c r="E301" s="202" t="s">
        <v>59</v>
      </c>
      <c r="F301" s="218" t="s">
        <v>319</v>
      </c>
      <c r="G301" s="203">
        <v>38968</v>
      </c>
      <c r="H301" s="204">
        <v>39003</v>
      </c>
      <c r="I301" s="219" t="s">
        <v>251</v>
      </c>
      <c r="J301" s="220">
        <v>110.44</v>
      </c>
      <c r="K301" s="220">
        <v>22.06</v>
      </c>
      <c r="L301" s="220">
        <v>132.5</v>
      </c>
      <c r="M301" s="228"/>
      <c r="N301" s="228"/>
      <c r="O301" s="221">
        <f>+N301+M301</f>
        <v>0</v>
      </c>
      <c r="P301" s="221">
        <f>+M301*0.5</f>
        <v>0</v>
      </c>
      <c r="Q301" s="221"/>
      <c r="R301" s="221">
        <f>+Q301+P301</f>
        <v>0</v>
      </c>
      <c r="S301" s="192"/>
      <c r="T301" s="193"/>
    </row>
    <row r="302" spans="1:20" s="206" customFormat="1" ht="27.75" customHeight="1">
      <c r="A302" s="191" t="s">
        <v>303</v>
      </c>
      <c r="B302" s="217"/>
      <c r="C302" s="201" t="s">
        <v>53</v>
      </c>
      <c r="D302" s="202" t="s">
        <v>65</v>
      </c>
      <c r="E302" s="202" t="s">
        <v>66</v>
      </c>
      <c r="F302" s="218" t="s">
        <v>333</v>
      </c>
      <c r="G302" s="203">
        <v>38978</v>
      </c>
      <c r="H302" s="204">
        <v>38999</v>
      </c>
      <c r="I302" s="219" t="s">
        <v>251</v>
      </c>
      <c r="J302" s="220">
        <v>163.57</v>
      </c>
      <c r="K302" s="220">
        <v>40.98</v>
      </c>
      <c r="L302" s="220">
        <v>245.89</v>
      </c>
      <c r="M302" s="228"/>
      <c r="N302" s="228"/>
      <c r="O302" s="221">
        <f>+N302+M302</f>
        <v>0</v>
      </c>
      <c r="P302" s="221">
        <f>+M302*0.5</f>
        <v>0</v>
      </c>
      <c r="Q302" s="221"/>
      <c r="R302" s="221">
        <f>+Q302+P302</f>
        <v>0</v>
      </c>
      <c r="S302" s="192"/>
      <c r="T302" s="193"/>
    </row>
    <row r="303" spans="1:20" s="206" customFormat="1" ht="27.75" customHeight="1">
      <c r="A303" s="191" t="s">
        <v>303</v>
      </c>
      <c r="B303" s="217"/>
      <c r="C303" s="201" t="s">
        <v>53</v>
      </c>
      <c r="D303" s="202" t="s">
        <v>143</v>
      </c>
      <c r="E303" s="202" t="s">
        <v>320</v>
      </c>
      <c r="F303" s="218" t="s">
        <v>321</v>
      </c>
      <c r="G303" s="203">
        <v>38987</v>
      </c>
      <c r="H303" s="204">
        <v>39008</v>
      </c>
      <c r="I303" s="219" t="s">
        <v>142</v>
      </c>
      <c r="J303" s="220">
        <v>250.2</v>
      </c>
      <c r="K303" s="220">
        <v>50.04</v>
      </c>
      <c r="L303" s="220">
        <v>300.24</v>
      </c>
      <c r="M303" s="228"/>
      <c r="N303" s="228"/>
      <c r="O303" s="221">
        <f>+N303+M303</f>
        <v>0</v>
      </c>
      <c r="P303" s="221">
        <f>+M303*0.5</f>
        <v>0</v>
      </c>
      <c r="Q303" s="221"/>
      <c r="R303" s="221">
        <f>+Q303+P303</f>
        <v>0</v>
      </c>
      <c r="S303" s="192" t="s">
        <v>335</v>
      </c>
      <c r="T303" s="193"/>
    </row>
    <row r="304" spans="1:20" s="206" customFormat="1" ht="27.75" customHeight="1">
      <c r="A304" s="191" t="s">
        <v>303</v>
      </c>
      <c r="B304" s="217"/>
      <c r="C304" s="201" t="s">
        <v>53</v>
      </c>
      <c r="D304" s="202" t="s">
        <v>322</v>
      </c>
      <c r="E304" s="202" t="s">
        <v>316</v>
      </c>
      <c r="F304" s="218">
        <v>25</v>
      </c>
      <c r="G304" s="203">
        <v>38990</v>
      </c>
      <c r="H304" s="204">
        <v>38978</v>
      </c>
      <c r="I304" s="219" t="s">
        <v>142</v>
      </c>
      <c r="J304" s="220">
        <v>600</v>
      </c>
      <c r="K304" s="220">
        <v>0</v>
      </c>
      <c r="L304" s="220">
        <v>600</v>
      </c>
      <c r="M304" s="228"/>
      <c r="N304" s="228"/>
      <c r="O304" s="221">
        <f>+N304+M304</f>
        <v>0</v>
      </c>
      <c r="P304" s="221">
        <f>+M304*0.5</f>
        <v>0</v>
      </c>
      <c r="Q304" s="221"/>
      <c r="R304" s="221">
        <f>+Q304+P304</f>
        <v>0</v>
      </c>
      <c r="S304" s="192"/>
      <c r="T304" s="193"/>
    </row>
    <row r="305" spans="1:20" s="206" customFormat="1" ht="27.75" customHeight="1">
      <c r="A305" s="191" t="s">
        <v>303</v>
      </c>
      <c r="B305" s="217"/>
      <c r="C305" s="201" t="s">
        <v>53</v>
      </c>
      <c r="D305" s="202" t="s">
        <v>323</v>
      </c>
      <c r="E305" s="202" t="s">
        <v>248</v>
      </c>
      <c r="F305" s="218">
        <v>399</v>
      </c>
      <c r="G305" s="203">
        <v>38993</v>
      </c>
      <c r="H305" s="204">
        <v>38968</v>
      </c>
      <c r="I305" s="219" t="s">
        <v>142</v>
      </c>
      <c r="J305" s="220">
        <v>106.65</v>
      </c>
      <c r="K305" s="220">
        <v>0</v>
      </c>
      <c r="L305" s="220">
        <v>106.65</v>
      </c>
      <c r="M305" s="228"/>
      <c r="N305" s="228"/>
      <c r="O305" s="221">
        <f>+N305+M305</f>
        <v>0</v>
      </c>
      <c r="P305" s="221">
        <f>+M305*0.5</f>
        <v>0</v>
      </c>
      <c r="Q305" s="221"/>
      <c r="R305" s="221">
        <f>+Q305+P305</f>
        <v>0</v>
      </c>
      <c r="S305" s="192"/>
      <c r="T305" s="193"/>
    </row>
    <row r="306" spans="1:20" s="206" customFormat="1" ht="27.75" customHeight="1">
      <c r="A306" s="191" t="s">
        <v>303</v>
      </c>
      <c r="B306" s="217"/>
      <c r="C306" s="201" t="s">
        <v>53</v>
      </c>
      <c r="D306" s="202" t="s">
        <v>324</v>
      </c>
      <c r="E306" s="202" t="s">
        <v>325</v>
      </c>
      <c r="F306" s="218" t="s">
        <v>334</v>
      </c>
      <c r="G306" s="203">
        <v>39007</v>
      </c>
      <c r="H306" s="204">
        <v>39029</v>
      </c>
      <c r="I306" s="219" t="s">
        <v>326</v>
      </c>
      <c r="J306" s="220">
        <v>35.31</v>
      </c>
      <c r="K306" s="220">
        <v>7.06</v>
      </c>
      <c r="L306" s="220">
        <v>42.37</v>
      </c>
      <c r="M306" s="228"/>
      <c r="N306" s="228"/>
      <c r="O306" s="221"/>
      <c r="P306" s="221"/>
      <c r="Q306" s="221"/>
      <c r="R306" s="221"/>
      <c r="S306" s="192" t="s">
        <v>336</v>
      </c>
      <c r="T306" s="193"/>
    </row>
    <row r="307" spans="1:20" s="206" customFormat="1" ht="21" customHeight="1">
      <c r="A307" s="191" t="s">
        <v>303</v>
      </c>
      <c r="B307" s="217"/>
      <c r="C307" s="201" t="s">
        <v>53</v>
      </c>
      <c r="D307" s="202" t="s">
        <v>327</v>
      </c>
      <c r="E307" s="202" t="s">
        <v>316</v>
      </c>
      <c r="F307" s="218">
        <v>28</v>
      </c>
      <c r="G307" s="203">
        <v>39021</v>
      </c>
      <c r="H307" s="204">
        <v>39024</v>
      </c>
      <c r="I307" s="219" t="s">
        <v>142</v>
      </c>
      <c r="J307" s="220">
        <v>767</v>
      </c>
      <c r="K307" s="220">
        <v>0</v>
      </c>
      <c r="L307" s="220">
        <v>767</v>
      </c>
      <c r="M307" s="228"/>
      <c r="N307" s="228"/>
      <c r="O307" s="221">
        <f>+N307+M307</f>
        <v>0</v>
      </c>
      <c r="P307" s="221">
        <f>+M307*0.5</f>
        <v>0</v>
      </c>
      <c r="Q307" s="221"/>
      <c r="R307" s="221">
        <f>+Q307+P307</f>
        <v>0</v>
      </c>
      <c r="S307" s="192"/>
      <c r="T307" s="193"/>
    </row>
    <row r="308" spans="1:20" s="206" customFormat="1" ht="21">
      <c r="A308" s="191" t="s">
        <v>303</v>
      </c>
      <c r="B308" s="217"/>
      <c r="C308" s="201" t="s">
        <v>53</v>
      </c>
      <c r="D308" s="202" t="s">
        <v>143</v>
      </c>
      <c r="E308" s="202" t="s">
        <v>313</v>
      </c>
      <c r="F308" s="218">
        <v>800162676</v>
      </c>
      <c r="G308" s="203">
        <v>39021</v>
      </c>
      <c r="H308" s="204">
        <v>39073</v>
      </c>
      <c r="I308" s="219" t="s">
        <v>142</v>
      </c>
      <c r="J308" s="220">
        <v>190</v>
      </c>
      <c r="K308" s="220">
        <v>38</v>
      </c>
      <c r="L308" s="220">
        <v>228</v>
      </c>
      <c r="M308" s="228"/>
      <c r="N308" s="228"/>
      <c r="O308" s="221"/>
      <c r="P308" s="221"/>
      <c r="Q308" s="221"/>
      <c r="R308" s="221"/>
      <c r="S308" s="192" t="s">
        <v>335</v>
      </c>
      <c r="T308" s="193"/>
    </row>
    <row r="309" spans="1:20" s="206" customFormat="1" ht="21" customHeight="1">
      <c r="A309" s="191" t="s">
        <v>303</v>
      </c>
      <c r="B309" s="217"/>
      <c r="C309" s="201" t="s">
        <v>53</v>
      </c>
      <c r="D309" s="202" t="s">
        <v>328</v>
      </c>
      <c r="E309" s="202" t="s">
        <v>248</v>
      </c>
      <c r="F309" s="218">
        <v>407</v>
      </c>
      <c r="G309" s="203">
        <v>39029</v>
      </c>
      <c r="H309" s="204">
        <v>38995</v>
      </c>
      <c r="I309" s="219" t="s">
        <v>142</v>
      </c>
      <c r="J309" s="220">
        <v>173.81</v>
      </c>
      <c r="K309" s="220">
        <v>0</v>
      </c>
      <c r="L309" s="220">
        <v>173.81</v>
      </c>
      <c r="M309" s="228"/>
      <c r="N309" s="228"/>
      <c r="O309" s="221">
        <f>+N309+M309</f>
        <v>0</v>
      </c>
      <c r="P309" s="221">
        <f>+M309*0.5</f>
        <v>0</v>
      </c>
      <c r="Q309" s="221"/>
      <c r="R309" s="221">
        <f>+Q309+P309</f>
        <v>0</v>
      </c>
      <c r="S309" s="192"/>
      <c r="T309" s="193"/>
    </row>
    <row r="310" spans="1:20" s="206" customFormat="1" ht="21" customHeight="1">
      <c r="A310" s="191" t="s">
        <v>303</v>
      </c>
      <c r="B310" s="217"/>
      <c r="C310" s="201" t="s">
        <v>53</v>
      </c>
      <c r="D310" s="202" t="s">
        <v>58</v>
      </c>
      <c r="E310" s="202" t="s">
        <v>59</v>
      </c>
      <c r="F310" s="218" t="s">
        <v>329</v>
      </c>
      <c r="G310" s="203">
        <v>39030</v>
      </c>
      <c r="H310" s="204">
        <v>39063</v>
      </c>
      <c r="I310" s="219" t="s">
        <v>142</v>
      </c>
      <c r="J310" s="220">
        <v>169.19</v>
      </c>
      <c r="K310" s="220">
        <v>12.81</v>
      </c>
      <c r="L310" s="220">
        <v>182</v>
      </c>
      <c r="M310" s="228"/>
      <c r="N310" s="228"/>
      <c r="O310" s="221">
        <f>+N310+M310</f>
        <v>0</v>
      </c>
      <c r="P310" s="221">
        <f>+M310*0.5</f>
        <v>0</v>
      </c>
      <c r="Q310" s="221"/>
      <c r="R310" s="221">
        <f>+Q310+P310</f>
        <v>0</v>
      </c>
      <c r="S310" s="192"/>
      <c r="T310" s="193"/>
    </row>
    <row r="311" spans="1:20" s="206" customFormat="1" ht="21" customHeight="1">
      <c r="A311" s="191" t="s">
        <v>303</v>
      </c>
      <c r="B311" s="217"/>
      <c r="C311" s="201" t="s">
        <v>53</v>
      </c>
      <c r="D311" s="202" t="s">
        <v>58</v>
      </c>
      <c r="E311" s="202" t="s">
        <v>59</v>
      </c>
      <c r="F311" s="218" t="s">
        <v>330</v>
      </c>
      <c r="G311" s="203">
        <v>39030</v>
      </c>
      <c r="H311" s="204">
        <v>39063</v>
      </c>
      <c r="I311" s="219" t="s">
        <v>142</v>
      </c>
      <c r="J311" s="220">
        <v>392.94</v>
      </c>
      <c r="K311" s="220">
        <v>57.56</v>
      </c>
      <c r="L311" s="220">
        <v>450.5</v>
      </c>
      <c r="M311" s="228"/>
      <c r="N311" s="228"/>
      <c r="O311" s="221">
        <f>+N311+M311</f>
        <v>0</v>
      </c>
      <c r="P311" s="221">
        <f>+M311*0.5</f>
        <v>0</v>
      </c>
      <c r="Q311" s="221"/>
      <c r="R311" s="221">
        <f>+Q311+P311</f>
        <v>0</v>
      </c>
      <c r="S311" s="192"/>
      <c r="T311" s="193"/>
    </row>
    <row r="312" spans="1:20" s="206" customFormat="1" ht="21">
      <c r="A312" s="191" t="s">
        <v>303</v>
      </c>
      <c r="B312" s="217"/>
      <c r="C312" s="201" t="s">
        <v>53</v>
      </c>
      <c r="D312" s="202" t="s">
        <v>331</v>
      </c>
      <c r="E312" s="202" t="s">
        <v>316</v>
      </c>
      <c r="F312" s="218">
        <v>30</v>
      </c>
      <c r="G312" s="203">
        <v>39051</v>
      </c>
      <c r="H312" s="204">
        <v>39037</v>
      </c>
      <c r="I312" s="219" t="s">
        <v>142</v>
      </c>
      <c r="J312" s="220">
        <v>617.64</v>
      </c>
      <c r="K312" s="220">
        <v>0</v>
      </c>
      <c r="L312" s="220">
        <v>617.64</v>
      </c>
      <c r="M312" s="228"/>
      <c r="N312" s="228"/>
      <c r="O312" s="221">
        <f>+N312+M312</f>
        <v>0</v>
      </c>
      <c r="P312" s="221">
        <f>+M312*0.5</f>
        <v>0</v>
      </c>
      <c r="Q312" s="221"/>
      <c r="R312" s="221">
        <f>+Q312+P312</f>
        <v>0</v>
      </c>
      <c r="S312" s="192"/>
      <c r="T312" s="193"/>
    </row>
    <row r="313" spans="1:20" s="206" customFormat="1" ht="21">
      <c r="A313" s="191" t="s">
        <v>303</v>
      </c>
      <c r="B313" s="217"/>
      <c r="C313" s="201" t="s">
        <v>53</v>
      </c>
      <c r="D313" s="202" t="s">
        <v>143</v>
      </c>
      <c r="E313" s="202" t="s">
        <v>313</v>
      </c>
      <c r="F313" s="218">
        <v>800173238</v>
      </c>
      <c r="G313" s="203">
        <v>39051</v>
      </c>
      <c r="H313" s="204">
        <v>39073</v>
      </c>
      <c r="I313" s="219" t="s">
        <v>142</v>
      </c>
      <c r="J313" s="220">
        <v>209.8</v>
      </c>
      <c r="K313" s="220">
        <v>41.96</v>
      </c>
      <c r="L313" s="220">
        <v>251.76</v>
      </c>
      <c r="M313" s="228"/>
      <c r="N313" s="228"/>
      <c r="O313" s="221"/>
      <c r="P313" s="221"/>
      <c r="Q313" s="221"/>
      <c r="R313" s="221"/>
      <c r="S313" s="192" t="s">
        <v>335</v>
      </c>
      <c r="T313" s="193"/>
    </row>
    <row r="314" spans="1:20" ht="21">
      <c r="A314" s="75" t="s">
        <v>303</v>
      </c>
      <c r="B314" s="76"/>
      <c r="C314" s="77" t="s">
        <v>54</v>
      </c>
      <c r="D314" s="78" t="s">
        <v>115</v>
      </c>
      <c r="E314" s="78" t="s">
        <v>133</v>
      </c>
      <c r="F314" s="121" t="s">
        <v>339</v>
      </c>
      <c r="G314" s="79">
        <v>39028</v>
      </c>
      <c r="H314" s="80">
        <v>39058</v>
      </c>
      <c r="I314" s="95" t="s">
        <v>109</v>
      </c>
      <c r="J314" s="122">
        <v>6.5</v>
      </c>
      <c r="K314" s="122">
        <v>1.3</v>
      </c>
      <c r="L314" s="123">
        <v>7.8</v>
      </c>
      <c r="M314" s="128">
        <v>1.56</v>
      </c>
      <c r="N314" s="128"/>
      <c r="O314" s="125">
        <f>+N314+M314</f>
        <v>1.56</v>
      </c>
      <c r="P314" s="124">
        <f>+M314*0.5</f>
        <v>0.78</v>
      </c>
      <c r="Q314" s="124"/>
      <c r="R314" s="125">
        <f>+Q314+P314</f>
        <v>0.78</v>
      </c>
      <c r="S314" s="157"/>
      <c r="T314" s="158"/>
    </row>
    <row r="315" spans="1:20" ht="24.75" customHeight="1">
      <c r="A315" s="75" t="s">
        <v>303</v>
      </c>
      <c r="B315" s="76"/>
      <c r="C315" s="77" t="s">
        <v>54</v>
      </c>
      <c r="D315" s="78" t="s">
        <v>218</v>
      </c>
      <c r="E315" s="78" t="s">
        <v>112</v>
      </c>
      <c r="F315" s="121" t="s">
        <v>340</v>
      </c>
      <c r="G315" s="79">
        <v>39036</v>
      </c>
      <c r="H315" s="80">
        <v>39042</v>
      </c>
      <c r="I315" s="95" t="s">
        <v>114</v>
      </c>
      <c r="J315" s="122">
        <v>3029.43</v>
      </c>
      <c r="K315" s="122">
        <v>605.89</v>
      </c>
      <c r="L315" s="123">
        <f>+K315+J315</f>
        <v>3635.3199999999997</v>
      </c>
      <c r="M315" s="128">
        <v>1253.21</v>
      </c>
      <c r="N315" s="128"/>
      <c r="O315" s="125">
        <f>+N315+M315</f>
        <v>1253.21</v>
      </c>
      <c r="P315" s="124">
        <f>+M315*0.5</f>
        <v>626.605</v>
      </c>
      <c r="Q315" s="124"/>
      <c r="R315" s="125">
        <f>+Q315+P315</f>
        <v>626.605</v>
      </c>
      <c r="S315" s="257"/>
      <c r="T315" s="258"/>
    </row>
    <row r="316" spans="1:20" ht="10.5">
      <c r="A316" s="75" t="s">
        <v>303</v>
      </c>
      <c r="B316" s="76"/>
      <c r="C316" s="77" t="s">
        <v>54</v>
      </c>
      <c r="D316" s="78" t="s">
        <v>106</v>
      </c>
      <c r="E316" s="78" t="s">
        <v>107</v>
      </c>
      <c r="F316" s="121" t="s">
        <v>341</v>
      </c>
      <c r="G316" s="79">
        <v>38961</v>
      </c>
      <c r="H316" s="80">
        <v>38961</v>
      </c>
      <c r="I316" s="95" t="s">
        <v>109</v>
      </c>
      <c r="J316" s="122">
        <v>34.67</v>
      </c>
      <c r="K316" s="122">
        <v>6.934000000000001</v>
      </c>
      <c r="L316" s="123">
        <v>41.604</v>
      </c>
      <c r="M316" s="128"/>
      <c r="N316" s="128"/>
      <c r="O316" s="125"/>
      <c r="P316" s="124"/>
      <c r="Q316" s="124"/>
      <c r="R316" s="125"/>
      <c r="S316" s="257" t="s">
        <v>349</v>
      </c>
      <c r="T316" s="258"/>
    </row>
    <row r="317" spans="1:20" ht="10.5">
      <c r="A317" s="75" t="s">
        <v>303</v>
      </c>
      <c r="B317" s="76"/>
      <c r="C317" s="77" t="s">
        <v>54</v>
      </c>
      <c r="D317" s="78" t="s">
        <v>106</v>
      </c>
      <c r="E317" s="78" t="s">
        <v>107</v>
      </c>
      <c r="F317" s="121" t="s">
        <v>342</v>
      </c>
      <c r="G317" s="79">
        <v>38961</v>
      </c>
      <c r="H317" s="80">
        <v>38961</v>
      </c>
      <c r="I317" s="95" t="s">
        <v>109</v>
      </c>
      <c r="J317" s="122">
        <v>103.98</v>
      </c>
      <c r="K317" s="122">
        <v>20.8</v>
      </c>
      <c r="L317" s="123">
        <v>124.78</v>
      </c>
      <c r="M317" s="128"/>
      <c r="N317" s="128"/>
      <c r="O317" s="125"/>
      <c r="P317" s="124"/>
      <c r="Q317" s="124"/>
      <c r="R317" s="125"/>
      <c r="S317" s="257" t="s">
        <v>349</v>
      </c>
      <c r="T317" s="258"/>
    </row>
    <row r="318" spans="1:20" ht="10.5">
      <c r="A318" s="75" t="s">
        <v>303</v>
      </c>
      <c r="B318" s="76"/>
      <c r="C318" s="77" t="s">
        <v>54</v>
      </c>
      <c r="D318" s="78" t="s">
        <v>106</v>
      </c>
      <c r="E318" s="78" t="s">
        <v>107</v>
      </c>
      <c r="F318" s="121" t="s">
        <v>343</v>
      </c>
      <c r="G318" s="79">
        <v>38992</v>
      </c>
      <c r="H318" s="80">
        <v>39003</v>
      </c>
      <c r="I318" s="95" t="s">
        <v>109</v>
      </c>
      <c r="J318" s="122">
        <v>103.98</v>
      </c>
      <c r="K318" s="122">
        <v>20.8</v>
      </c>
      <c r="L318" s="123">
        <v>124.78</v>
      </c>
      <c r="M318" s="128"/>
      <c r="N318" s="128"/>
      <c r="O318" s="125"/>
      <c r="P318" s="124"/>
      <c r="Q318" s="124"/>
      <c r="R318" s="125"/>
      <c r="S318" s="257" t="s">
        <v>349</v>
      </c>
      <c r="T318" s="258"/>
    </row>
    <row r="319" spans="1:20" ht="10.5">
      <c r="A319" s="75" t="s">
        <v>303</v>
      </c>
      <c r="B319" s="76"/>
      <c r="C319" s="77" t="s">
        <v>54</v>
      </c>
      <c r="D319" s="78" t="s">
        <v>106</v>
      </c>
      <c r="E319" s="78" t="s">
        <v>107</v>
      </c>
      <c r="F319" s="121" t="s">
        <v>344</v>
      </c>
      <c r="G319" s="79">
        <v>38991</v>
      </c>
      <c r="H319" s="80">
        <v>39003</v>
      </c>
      <c r="I319" s="95" t="s">
        <v>109</v>
      </c>
      <c r="J319" s="122">
        <v>34.67</v>
      </c>
      <c r="K319" s="122">
        <v>6.93</v>
      </c>
      <c r="L319" s="123">
        <v>41.6</v>
      </c>
      <c r="M319" s="128"/>
      <c r="N319" s="128"/>
      <c r="O319" s="125"/>
      <c r="P319" s="124"/>
      <c r="Q319" s="124"/>
      <c r="R319" s="125"/>
      <c r="S319" s="257" t="s">
        <v>349</v>
      </c>
      <c r="T319" s="258"/>
    </row>
    <row r="320" spans="1:20" ht="10.5">
      <c r="A320" s="75" t="s">
        <v>303</v>
      </c>
      <c r="B320" s="76"/>
      <c r="C320" s="77" t="s">
        <v>54</v>
      </c>
      <c r="D320" s="78" t="s">
        <v>106</v>
      </c>
      <c r="E320" s="78" t="s">
        <v>107</v>
      </c>
      <c r="F320" s="121" t="s">
        <v>345</v>
      </c>
      <c r="G320" s="79">
        <v>39023</v>
      </c>
      <c r="H320" s="80">
        <v>39028</v>
      </c>
      <c r="I320" s="95" t="s">
        <v>109</v>
      </c>
      <c r="J320" s="122">
        <v>34.67</v>
      </c>
      <c r="K320" s="122">
        <v>6.93</v>
      </c>
      <c r="L320" s="123">
        <v>41.6</v>
      </c>
      <c r="M320" s="128"/>
      <c r="N320" s="128"/>
      <c r="O320" s="125"/>
      <c r="P320" s="124"/>
      <c r="Q320" s="124"/>
      <c r="R320" s="125"/>
      <c r="S320" s="257" t="s">
        <v>349</v>
      </c>
      <c r="T320" s="258"/>
    </row>
    <row r="321" spans="1:20" ht="10.5">
      <c r="A321" s="75" t="s">
        <v>303</v>
      </c>
      <c r="B321" s="76"/>
      <c r="C321" s="77" t="s">
        <v>54</v>
      </c>
      <c r="D321" s="78" t="s">
        <v>106</v>
      </c>
      <c r="E321" s="78" t="s">
        <v>107</v>
      </c>
      <c r="F321" s="121" t="s">
        <v>346</v>
      </c>
      <c r="G321" s="79">
        <v>39023</v>
      </c>
      <c r="H321" s="80">
        <v>39028</v>
      </c>
      <c r="I321" s="95" t="s">
        <v>109</v>
      </c>
      <c r="J321" s="122">
        <v>103.98</v>
      </c>
      <c r="K321" s="122">
        <v>20.8</v>
      </c>
      <c r="L321" s="123">
        <v>124.78</v>
      </c>
      <c r="M321" s="128"/>
      <c r="N321" s="128"/>
      <c r="O321" s="125"/>
      <c r="P321" s="124"/>
      <c r="Q321" s="124"/>
      <c r="R321" s="125"/>
      <c r="S321" s="257" t="s">
        <v>349</v>
      </c>
      <c r="T321" s="258"/>
    </row>
    <row r="322" spans="1:20" ht="21.75" customHeight="1">
      <c r="A322" s="75" t="s">
        <v>303</v>
      </c>
      <c r="B322" s="76"/>
      <c r="C322" s="77" t="s">
        <v>54</v>
      </c>
      <c r="D322" s="78" t="s">
        <v>230</v>
      </c>
      <c r="E322" s="78" t="s">
        <v>231</v>
      </c>
      <c r="F322" s="121" t="s">
        <v>347</v>
      </c>
      <c r="G322" s="79">
        <v>39044</v>
      </c>
      <c r="H322" s="80">
        <v>39045</v>
      </c>
      <c r="I322" s="95" t="s">
        <v>109</v>
      </c>
      <c r="J322" s="122">
        <v>54.17</v>
      </c>
      <c r="K322" s="122">
        <v>10.83</v>
      </c>
      <c r="L322" s="123">
        <v>65</v>
      </c>
      <c r="M322" s="128"/>
      <c r="N322" s="128"/>
      <c r="O322" s="125"/>
      <c r="P322" s="124"/>
      <c r="Q322" s="124"/>
      <c r="R322" s="125"/>
      <c r="S322" s="257" t="s">
        <v>348</v>
      </c>
      <c r="T322" s="258"/>
    </row>
    <row r="323" spans="1:20" ht="24" customHeight="1">
      <c r="A323" s="75" t="s">
        <v>303</v>
      </c>
      <c r="B323" s="76"/>
      <c r="C323" s="77" t="s">
        <v>54</v>
      </c>
      <c r="D323" s="78" t="s">
        <v>240</v>
      </c>
      <c r="E323" s="78" t="s">
        <v>241</v>
      </c>
      <c r="F323" s="121">
        <v>9222</v>
      </c>
      <c r="G323" s="79">
        <v>39048</v>
      </c>
      <c r="H323" s="80">
        <v>39048</v>
      </c>
      <c r="I323" s="95" t="s">
        <v>109</v>
      </c>
      <c r="J323" s="122">
        <v>12.92</v>
      </c>
      <c r="K323" s="122">
        <v>2.58</v>
      </c>
      <c r="L323" s="123">
        <v>15.5</v>
      </c>
      <c r="M323" s="128"/>
      <c r="N323" s="128"/>
      <c r="O323" s="125"/>
      <c r="P323" s="124"/>
      <c r="Q323" s="124"/>
      <c r="R323" s="125"/>
      <c r="S323" s="257" t="s">
        <v>348</v>
      </c>
      <c r="T323" s="258"/>
    </row>
    <row r="324" spans="1:20" ht="31.5" customHeight="1">
      <c r="A324" s="75" t="s">
        <v>303</v>
      </c>
      <c r="B324" s="76"/>
      <c r="C324" s="77" t="s">
        <v>173</v>
      </c>
      <c r="D324" s="78" t="s">
        <v>360</v>
      </c>
      <c r="E324" s="78" t="s">
        <v>361</v>
      </c>
      <c r="F324" s="121"/>
      <c r="G324" s="79"/>
      <c r="H324" s="80"/>
      <c r="I324" s="95"/>
      <c r="J324" s="122">
        <v>542.8</v>
      </c>
      <c r="K324" s="122"/>
      <c r="L324" s="123">
        <f>+K324+J324</f>
        <v>542.8</v>
      </c>
      <c r="M324" s="122">
        <v>542.8</v>
      </c>
      <c r="N324" s="128"/>
      <c r="O324" s="125">
        <f>+N324+M324</f>
        <v>542.8</v>
      </c>
      <c r="P324" s="124">
        <f>+M324*0.5</f>
        <v>271.4</v>
      </c>
      <c r="Q324" s="124"/>
      <c r="R324" s="125">
        <f>+Q324+P324</f>
        <v>271.4</v>
      </c>
      <c r="S324" s="290"/>
      <c r="T324" s="291"/>
    </row>
    <row r="325" spans="1:20" ht="21">
      <c r="A325" s="75" t="s">
        <v>303</v>
      </c>
      <c r="B325" s="76"/>
      <c r="C325" s="77" t="s">
        <v>173</v>
      </c>
      <c r="D325" s="78" t="s">
        <v>360</v>
      </c>
      <c r="E325" s="78" t="s">
        <v>362</v>
      </c>
      <c r="F325" s="121"/>
      <c r="G325" s="79"/>
      <c r="H325" s="80"/>
      <c r="I325" s="95"/>
      <c r="J325" s="122">
        <v>520.31</v>
      </c>
      <c r="K325" s="122"/>
      <c r="L325" s="123">
        <f>+K325+J325</f>
        <v>520.31</v>
      </c>
      <c r="M325" s="122">
        <v>520.31</v>
      </c>
      <c r="N325" s="128"/>
      <c r="O325" s="125">
        <f>+N325+M325</f>
        <v>520.31</v>
      </c>
      <c r="P325" s="124">
        <f>+M325*0.5</f>
        <v>260.155</v>
      </c>
      <c r="Q325" s="124"/>
      <c r="R325" s="125">
        <f>+Q325+P325</f>
        <v>260.155</v>
      </c>
      <c r="S325" s="292"/>
      <c r="T325" s="293"/>
    </row>
    <row r="326" spans="1:20" ht="23.25" customHeight="1">
      <c r="A326" s="75" t="s">
        <v>303</v>
      </c>
      <c r="B326" s="76"/>
      <c r="C326" s="77" t="s">
        <v>173</v>
      </c>
      <c r="D326" s="78" t="s">
        <v>421</v>
      </c>
      <c r="E326" s="78"/>
      <c r="F326" s="121"/>
      <c r="G326" s="79"/>
      <c r="H326" s="80"/>
      <c r="I326" s="95"/>
      <c r="J326" s="122">
        <v>2618.98</v>
      </c>
      <c r="K326" s="122"/>
      <c r="L326" s="123">
        <f>+K326+J326</f>
        <v>2618.98</v>
      </c>
      <c r="M326" s="122">
        <v>2618.98</v>
      </c>
      <c r="N326" s="128"/>
      <c r="O326" s="125">
        <f>+N326+M326</f>
        <v>2618.98</v>
      </c>
      <c r="P326" s="124">
        <f>+M326*0.5</f>
        <v>1309.49</v>
      </c>
      <c r="Q326" s="124"/>
      <c r="R326" s="125">
        <f>+Q326+P326</f>
        <v>1309.49</v>
      </c>
      <c r="S326" s="251"/>
      <c r="T326" s="252"/>
    </row>
    <row r="327" spans="1:20" ht="21">
      <c r="A327" s="163" t="s">
        <v>303</v>
      </c>
      <c r="B327" s="164"/>
      <c r="C327" s="159" t="s">
        <v>50</v>
      </c>
      <c r="D327" s="78" t="s">
        <v>279</v>
      </c>
      <c r="E327" s="78" t="s">
        <v>280</v>
      </c>
      <c r="F327" s="121" t="s">
        <v>365</v>
      </c>
      <c r="G327" s="79"/>
      <c r="H327" s="80">
        <v>39021</v>
      </c>
      <c r="I327" s="95" t="s">
        <v>185</v>
      </c>
      <c r="J327" s="122"/>
      <c r="K327" s="122"/>
      <c r="L327" s="123">
        <v>1329.02</v>
      </c>
      <c r="M327" s="128">
        <f aca="true" t="shared" si="54" ref="M327:M332">+L327</f>
        <v>1329.02</v>
      </c>
      <c r="N327" s="128"/>
      <c r="O327" s="125">
        <f aca="true" t="shared" si="55" ref="O327:O332">+N327+M327</f>
        <v>1329.02</v>
      </c>
      <c r="P327" s="124">
        <f aca="true" t="shared" si="56" ref="P327:P332">+M327*0.5</f>
        <v>664.51</v>
      </c>
      <c r="Q327" s="124"/>
      <c r="R327" s="125">
        <f aca="true" t="shared" si="57" ref="R327:R332">+Q327+P327</f>
        <v>664.51</v>
      </c>
      <c r="S327" s="157"/>
      <c r="T327" s="158"/>
    </row>
    <row r="328" spans="1:20" ht="21">
      <c r="A328" s="163" t="s">
        <v>303</v>
      </c>
      <c r="B328" s="164"/>
      <c r="C328" s="159" t="s">
        <v>50</v>
      </c>
      <c r="D328" s="78" t="s">
        <v>279</v>
      </c>
      <c r="E328" s="78" t="s">
        <v>282</v>
      </c>
      <c r="F328" s="121" t="s">
        <v>366</v>
      </c>
      <c r="G328" s="79"/>
      <c r="H328" s="80">
        <v>39041</v>
      </c>
      <c r="I328" s="95" t="s">
        <v>185</v>
      </c>
      <c r="J328" s="122"/>
      <c r="K328" s="122"/>
      <c r="L328" s="123">
        <v>643.67</v>
      </c>
      <c r="M328" s="128">
        <f t="shared" si="54"/>
        <v>643.67</v>
      </c>
      <c r="N328" s="128"/>
      <c r="O328" s="125">
        <f t="shared" si="55"/>
        <v>643.67</v>
      </c>
      <c r="P328" s="124">
        <f t="shared" si="56"/>
        <v>321.835</v>
      </c>
      <c r="Q328" s="124"/>
      <c r="R328" s="125">
        <f t="shared" si="57"/>
        <v>321.835</v>
      </c>
      <c r="S328" s="157"/>
      <c r="T328" s="158"/>
    </row>
    <row r="329" spans="1:20" ht="21">
      <c r="A329" s="163" t="s">
        <v>303</v>
      </c>
      <c r="B329" s="164"/>
      <c r="C329" s="159" t="s">
        <v>50</v>
      </c>
      <c r="D329" s="78" t="s">
        <v>367</v>
      </c>
      <c r="E329" s="78" t="s">
        <v>368</v>
      </c>
      <c r="F329" s="121" t="s">
        <v>369</v>
      </c>
      <c r="G329" s="79"/>
      <c r="H329" s="80">
        <v>38975</v>
      </c>
      <c r="I329" s="95" t="s">
        <v>185</v>
      </c>
      <c r="J329" s="122"/>
      <c r="K329" s="122"/>
      <c r="L329" s="123">
        <v>96</v>
      </c>
      <c r="M329" s="128">
        <f t="shared" si="54"/>
        <v>96</v>
      </c>
      <c r="N329" s="128"/>
      <c r="O329" s="125">
        <f t="shared" si="55"/>
        <v>96</v>
      </c>
      <c r="P329" s="124">
        <f t="shared" si="56"/>
        <v>48</v>
      </c>
      <c r="Q329" s="124"/>
      <c r="R329" s="125">
        <f t="shared" si="57"/>
        <v>48</v>
      </c>
      <c r="S329" s="157"/>
      <c r="T329" s="158"/>
    </row>
    <row r="330" spans="1:20" ht="21">
      <c r="A330" s="163" t="s">
        <v>303</v>
      </c>
      <c r="B330" s="164"/>
      <c r="C330" s="159" t="s">
        <v>50</v>
      </c>
      <c r="D330" s="78" t="s">
        <v>283</v>
      </c>
      <c r="E330" s="78" t="s">
        <v>280</v>
      </c>
      <c r="F330" s="121" t="s">
        <v>370</v>
      </c>
      <c r="G330" s="79"/>
      <c r="H330" s="80">
        <v>39021</v>
      </c>
      <c r="I330" s="95" t="s">
        <v>185</v>
      </c>
      <c r="J330" s="122"/>
      <c r="K330" s="122"/>
      <c r="L330" s="123">
        <v>2303.49</v>
      </c>
      <c r="M330" s="128">
        <f t="shared" si="54"/>
        <v>2303.49</v>
      </c>
      <c r="N330" s="128"/>
      <c r="O330" s="125">
        <f t="shared" si="55"/>
        <v>2303.49</v>
      </c>
      <c r="P330" s="124">
        <f t="shared" si="56"/>
        <v>1151.745</v>
      </c>
      <c r="Q330" s="124"/>
      <c r="R330" s="125">
        <f t="shared" si="57"/>
        <v>1151.745</v>
      </c>
      <c r="S330" s="157"/>
      <c r="T330" s="158"/>
    </row>
    <row r="331" spans="1:20" ht="21">
      <c r="A331" s="163" t="s">
        <v>303</v>
      </c>
      <c r="B331" s="164"/>
      <c r="C331" s="159" t="s">
        <v>50</v>
      </c>
      <c r="D331" s="78" t="s">
        <v>371</v>
      </c>
      <c r="E331" s="78" t="s">
        <v>372</v>
      </c>
      <c r="F331" s="121" t="s">
        <v>373</v>
      </c>
      <c r="G331" s="79"/>
      <c r="H331" s="80">
        <v>39031</v>
      </c>
      <c r="I331" s="95" t="s">
        <v>185</v>
      </c>
      <c r="J331" s="122"/>
      <c r="K331" s="122"/>
      <c r="L331" s="123">
        <v>712.5</v>
      </c>
      <c r="M331" s="128">
        <f t="shared" si="54"/>
        <v>712.5</v>
      </c>
      <c r="N331" s="128"/>
      <c r="O331" s="125">
        <f t="shared" si="55"/>
        <v>712.5</v>
      </c>
      <c r="P331" s="124">
        <f t="shared" si="56"/>
        <v>356.25</v>
      </c>
      <c r="Q331" s="124"/>
      <c r="R331" s="125">
        <f t="shared" si="57"/>
        <v>356.25</v>
      </c>
      <c r="S331" s="157"/>
      <c r="T331" s="158"/>
    </row>
    <row r="332" spans="1:20" ht="21">
      <c r="A332" s="163" t="s">
        <v>303</v>
      </c>
      <c r="B332" s="164"/>
      <c r="C332" s="159" t="s">
        <v>50</v>
      </c>
      <c r="D332" s="78" t="s">
        <v>374</v>
      </c>
      <c r="E332" s="78" t="s">
        <v>368</v>
      </c>
      <c r="F332" s="121" t="s">
        <v>375</v>
      </c>
      <c r="G332" s="79"/>
      <c r="H332" s="80">
        <v>39041</v>
      </c>
      <c r="I332" s="95" t="s">
        <v>185</v>
      </c>
      <c r="J332" s="122"/>
      <c r="K332" s="122"/>
      <c r="L332" s="123">
        <v>257.73</v>
      </c>
      <c r="M332" s="128">
        <f t="shared" si="54"/>
        <v>257.73</v>
      </c>
      <c r="N332" s="128"/>
      <c r="O332" s="125">
        <f t="shared" si="55"/>
        <v>257.73</v>
      </c>
      <c r="P332" s="124">
        <f t="shared" si="56"/>
        <v>128.865</v>
      </c>
      <c r="Q332" s="124"/>
      <c r="R332" s="125">
        <f t="shared" si="57"/>
        <v>128.865</v>
      </c>
      <c r="S332" s="157"/>
      <c r="T332" s="158"/>
    </row>
    <row r="333" spans="1:20" ht="21">
      <c r="A333" s="163" t="s">
        <v>303</v>
      </c>
      <c r="B333" s="164"/>
      <c r="C333" s="159" t="s">
        <v>50</v>
      </c>
      <c r="D333" s="78" t="s">
        <v>376</v>
      </c>
      <c r="E333" s="78" t="s">
        <v>291</v>
      </c>
      <c r="F333" s="121" t="s">
        <v>377</v>
      </c>
      <c r="G333" s="79"/>
      <c r="H333" s="80">
        <v>38995</v>
      </c>
      <c r="I333" s="95" t="s">
        <v>177</v>
      </c>
      <c r="J333" s="122"/>
      <c r="K333" s="122"/>
      <c r="L333" s="123">
        <v>361.24</v>
      </c>
      <c r="M333" s="128">
        <f>+L333</f>
        <v>361.24</v>
      </c>
      <c r="N333" s="128"/>
      <c r="O333" s="125">
        <f>+N333+M333</f>
        <v>361.24</v>
      </c>
      <c r="P333" s="124">
        <f>+M333*0.5</f>
        <v>180.62</v>
      </c>
      <c r="Q333" s="124"/>
      <c r="R333" s="125">
        <f>+Q333+P333</f>
        <v>180.62</v>
      </c>
      <c r="S333" s="157"/>
      <c r="T333" s="158"/>
    </row>
    <row r="334" spans="1:20" ht="44.25" customHeight="1">
      <c r="A334" s="163" t="s">
        <v>303</v>
      </c>
      <c r="B334" s="164"/>
      <c r="C334" s="159" t="s">
        <v>50</v>
      </c>
      <c r="D334" s="78" t="s">
        <v>378</v>
      </c>
      <c r="E334" s="78" t="s">
        <v>379</v>
      </c>
      <c r="F334" s="121" t="s">
        <v>380</v>
      </c>
      <c r="G334" s="79"/>
      <c r="H334" s="80">
        <v>38995</v>
      </c>
      <c r="I334" s="95" t="s">
        <v>177</v>
      </c>
      <c r="J334" s="122"/>
      <c r="K334" s="122"/>
      <c r="L334" s="123">
        <v>376.24</v>
      </c>
      <c r="M334" s="128">
        <v>376.24</v>
      </c>
      <c r="N334" s="128"/>
      <c r="O334" s="125">
        <f>+N334+M334</f>
        <v>376.24</v>
      </c>
      <c r="P334" s="124">
        <f>+M334*0.5</f>
        <v>188.12</v>
      </c>
      <c r="Q334" s="124"/>
      <c r="R334" s="125">
        <f>+Q334+P334</f>
        <v>188.12</v>
      </c>
      <c r="S334" s="257"/>
      <c r="T334" s="258"/>
    </row>
    <row r="335" spans="1:20" ht="46.5" customHeight="1">
      <c r="A335" s="163" t="s">
        <v>303</v>
      </c>
      <c r="B335" s="164"/>
      <c r="C335" s="159" t="s">
        <v>50</v>
      </c>
      <c r="D335" s="78" t="s">
        <v>381</v>
      </c>
      <c r="E335" s="78" t="s">
        <v>382</v>
      </c>
      <c r="F335" s="121" t="s">
        <v>383</v>
      </c>
      <c r="G335" s="79"/>
      <c r="H335" s="80">
        <v>38995</v>
      </c>
      <c r="I335" s="95" t="s">
        <v>177</v>
      </c>
      <c r="J335" s="122"/>
      <c r="K335" s="122"/>
      <c r="L335" s="123">
        <v>371.84</v>
      </c>
      <c r="M335" s="128">
        <v>371.84</v>
      </c>
      <c r="N335" s="128"/>
      <c r="O335" s="125">
        <f>+N335+M335</f>
        <v>371.84</v>
      </c>
      <c r="P335" s="124">
        <f>+M335*0.5</f>
        <v>185.92</v>
      </c>
      <c r="Q335" s="124"/>
      <c r="R335" s="125">
        <f>+Q335+P335</f>
        <v>185.92</v>
      </c>
      <c r="S335" s="257"/>
      <c r="T335" s="258"/>
    </row>
    <row r="336" spans="1:20" ht="21">
      <c r="A336" s="163" t="s">
        <v>303</v>
      </c>
      <c r="B336" s="164"/>
      <c r="C336" s="159" t="s">
        <v>50</v>
      </c>
      <c r="D336" s="78" t="s">
        <v>384</v>
      </c>
      <c r="E336" s="78" t="s">
        <v>291</v>
      </c>
      <c r="F336" s="121" t="s">
        <v>385</v>
      </c>
      <c r="G336" s="79"/>
      <c r="H336" s="80">
        <v>39043</v>
      </c>
      <c r="I336" s="95" t="s">
        <v>177</v>
      </c>
      <c r="J336" s="122"/>
      <c r="K336" s="122"/>
      <c r="L336" s="123">
        <v>287.53</v>
      </c>
      <c r="M336" s="128">
        <f aca="true" t="shared" si="58" ref="M336:M341">+L336</f>
        <v>287.53</v>
      </c>
      <c r="N336" s="128"/>
      <c r="O336" s="125">
        <f aca="true" t="shared" si="59" ref="O336:O344">+N336+M336</f>
        <v>287.53</v>
      </c>
      <c r="P336" s="124">
        <f aca="true" t="shared" si="60" ref="P336:P344">+M336*0.5</f>
        <v>143.765</v>
      </c>
      <c r="Q336" s="124"/>
      <c r="R336" s="125">
        <f aca="true" t="shared" si="61" ref="R336:R344">+Q336+P336</f>
        <v>143.765</v>
      </c>
      <c r="S336" s="157"/>
      <c r="T336" s="158"/>
    </row>
    <row r="337" spans="1:20" ht="21">
      <c r="A337" s="163" t="s">
        <v>303</v>
      </c>
      <c r="B337" s="164"/>
      <c r="C337" s="159" t="s">
        <v>50</v>
      </c>
      <c r="D337" s="78" t="s">
        <v>386</v>
      </c>
      <c r="E337" s="78" t="s">
        <v>291</v>
      </c>
      <c r="F337" s="121" t="s">
        <v>387</v>
      </c>
      <c r="G337" s="79"/>
      <c r="H337" s="80">
        <v>39049</v>
      </c>
      <c r="I337" s="95" t="s">
        <v>177</v>
      </c>
      <c r="J337" s="122"/>
      <c r="K337" s="122"/>
      <c r="L337" s="123">
        <v>305.64</v>
      </c>
      <c r="M337" s="128">
        <f t="shared" si="58"/>
        <v>305.64</v>
      </c>
      <c r="N337" s="128"/>
      <c r="O337" s="125">
        <f t="shared" si="59"/>
        <v>305.64</v>
      </c>
      <c r="P337" s="124">
        <f t="shared" si="60"/>
        <v>152.82</v>
      </c>
      <c r="Q337" s="124"/>
      <c r="R337" s="125">
        <f t="shared" si="61"/>
        <v>152.82</v>
      </c>
      <c r="S337" s="157"/>
      <c r="T337" s="158"/>
    </row>
    <row r="338" spans="1:20" ht="21">
      <c r="A338" s="163" t="s">
        <v>303</v>
      </c>
      <c r="B338" s="164"/>
      <c r="C338" s="159" t="s">
        <v>50</v>
      </c>
      <c r="D338" s="78" t="s">
        <v>388</v>
      </c>
      <c r="E338" s="78" t="s">
        <v>291</v>
      </c>
      <c r="F338" s="121" t="s">
        <v>389</v>
      </c>
      <c r="G338" s="79"/>
      <c r="H338" s="80">
        <v>39000</v>
      </c>
      <c r="I338" s="95" t="s">
        <v>177</v>
      </c>
      <c r="J338" s="122"/>
      <c r="K338" s="122"/>
      <c r="L338" s="123">
        <v>582.86</v>
      </c>
      <c r="M338" s="128">
        <f t="shared" si="58"/>
        <v>582.86</v>
      </c>
      <c r="N338" s="128"/>
      <c r="O338" s="125">
        <f t="shared" si="59"/>
        <v>582.86</v>
      </c>
      <c r="P338" s="124">
        <f t="shared" si="60"/>
        <v>291.43</v>
      </c>
      <c r="Q338" s="124"/>
      <c r="R338" s="125">
        <f t="shared" si="61"/>
        <v>291.43</v>
      </c>
      <c r="S338" s="157"/>
      <c r="T338" s="158"/>
    </row>
    <row r="339" spans="1:20" ht="21">
      <c r="A339" s="163" t="s">
        <v>303</v>
      </c>
      <c r="B339" s="164"/>
      <c r="C339" s="159" t="s">
        <v>50</v>
      </c>
      <c r="D339" s="78" t="s">
        <v>390</v>
      </c>
      <c r="E339" s="78" t="s">
        <v>291</v>
      </c>
      <c r="F339" s="121" t="s">
        <v>391</v>
      </c>
      <c r="G339" s="79"/>
      <c r="H339" s="80">
        <v>38995</v>
      </c>
      <c r="I339" s="95" t="s">
        <v>177</v>
      </c>
      <c r="J339" s="122"/>
      <c r="K339" s="122"/>
      <c r="L339" s="123">
        <v>326.9</v>
      </c>
      <c r="M339" s="128">
        <f t="shared" si="58"/>
        <v>326.9</v>
      </c>
      <c r="N339" s="128"/>
      <c r="O339" s="125">
        <f t="shared" si="59"/>
        <v>326.9</v>
      </c>
      <c r="P339" s="124">
        <f t="shared" si="60"/>
        <v>163.45</v>
      </c>
      <c r="Q339" s="124"/>
      <c r="R339" s="125">
        <f t="shared" si="61"/>
        <v>163.45</v>
      </c>
      <c r="S339" s="157"/>
      <c r="T339" s="158"/>
    </row>
    <row r="340" spans="1:20" ht="21">
      <c r="A340" s="163" t="s">
        <v>303</v>
      </c>
      <c r="B340" s="164"/>
      <c r="C340" s="159" t="s">
        <v>50</v>
      </c>
      <c r="D340" s="78" t="s">
        <v>392</v>
      </c>
      <c r="E340" s="78" t="s">
        <v>393</v>
      </c>
      <c r="F340" s="121" t="s">
        <v>394</v>
      </c>
      <c r="G340" s="79"/>
      <c r="H340" s="80">
        <v>38995</v>
      </c>
      <c r="I340" s="95" t="s">
        <v>177</v>
      </c>
      <c r="J340" s="122"/>
      <c r="K340" s="122"/>
      <c r="L340" s="123">
        <v>396.95</v>
      </c>
      <c r="M340" s="128">
        <f t="shared" si="58"/>
        <v>396.95</v>
      </c>
      <c r="N340" s="128"/>
      <c r="O340" s="125">
        <f t="shared" si="59"/>
        <v>396.95</v>
      </c>
      <c r="P340" s="124">
        <f t="shared" si="60"/>
        <v>198.475</v>
      </c>
      <c r="Q340" s="124"/>
      <c r="R340" s="125">
        <f t="shared" si="61"/>
        <v>198.475</v>
      </c>
      <c r="S340" s="157"/>
      <c r="T340" s="158"/>
    </row>
    <row r="341" spans="1:20" ht="21">
      <c r="A341" s="163" t="s">
        <v>303</v>
      </c>
      <c r="B341" s="164"/>
      <c r="C341" s="159" t="s">
        <v>50</v>
      </c>
      <c r="D341" s="78" t="s">
        <v>395</v>
      </c>
      <c r="E341" s="78" t="s">
        <v>291</v>
      </c>
      <c r="F341" s="121" t="s">
        <v>396</v>
      </c>
      <c r="G341" s="79"/>
      <c r="H341" s="80">
        <v>39043</v>
      </c>
      <c r="I341" s="95" t="s">
        <v>177</v>
      </c>
      <c r="J341" s="122"/>
      <c r="K341" s="122"/>
      <c r="L341" s="123">
        <v>140.46</v>
      </c>
      <c r="M341" s="128">
        <f t="shared" si="58"/>
        <v>140.46</v>
      </c>
      <c r="N341" s="128"/>
      <c r="O341" s="125">
        <f t="shared" si="59"/>
        <v>140.46</v>
      </c>
      <c r="P341" s="124">
        <f t="shared" si="60"/>
        <v>70.23</v>
      </c>
      <c r="Q341" s="124"/>
      <c r="R341" s="125">
        <f t="shared" si="61"/>
        <v>70.23</v>
      </c>
      <c r="S341" s="157"/>
      <c r="T341" s="158"/>
    </row>
    <row r="342" spans="1:20" ht="21">
      <c r="A342" s="163" t="s">
        <v>303</v>
      </c>
      <c r="B342" s="164"/>
      <c r="C342" s="159" t="s">
        <v>50</v>
      </c>
      <c r="D342" s="78" t="s">
        <v>547</v>
      </c>
      <c r="E342" s="78" t="s">
        <v>291</v>
      </c>
      <c r="F342" s="121" t="s">
        <v>548</v>
      </c>
      <c r="G342" s="79"/>
      <c r="H342" s="80">
        <v>39050</v>
      </c>
      <c r="I342" s="95" t="s">
        <v>185</v>
      </c>
      <c r="J342" s="122">
        <v>240.54</v>
      </c>
      <c r="K342" s="122"/>
      <c r="L342" s="123">
        <f>+K342+J342</f>
        <v>240.54</v>
      </c>
      <c r="M342" s="122">
        <v>240.54</v>
      </c>
      <c r="N342" s="122"/>
      <c r="O342" s="123">
        <f>+N342+M342</f>
        <v>240.54</v>
      </c>
      <c r="P342" s="124">
        <f t="shared" si="60"/>
        <v>120.27</v>
      </c>
      <c r="Q342" s="124"/>
      <c r="R342" s="125">
        <f>+Q342+P342</f>
        <v>120.27</v>
      </c>
      <c r="S342" s="157"/>
      <c r="T342" s="158"/>
    </row>
    <row r="343" spans="1:20" ht="21">
      <c r="A343" s="163" t="s">
        <v>303</v>
      </c>
      <c r="B343" s="164"/>
      <c r="C343" s="159" t="s">
        <v>50</v>
      </c>
      <c r="D343" s="78" t="s">
        <v>549</v>
      </c>
      <c r="E343" s="78" t="s">
        <v>550</v>
      </c>
      <c r="F343" s="121" t="s">
        <v>551</v>
      </c>
      <c r="G343" s="79">
        <v>38903</v>
      </c>
      <c r="H343" s="80">
        <v>39007</v>
      </c>
      <c r="I343" s="95" t="s">
        <v>185</v>
      </c>
      <c r="J343" s="122">
        <f>995+20.93</f>
        <v>1015.93</v>
      </c>
      <c r="K343" s="122">
        <v>203.19</v>
      </c>
      <c r="L343" s="123">
        <f>+K343+J343</f>
        <v>1219.12</v>
      </c>
      <c r="M343" s="122">
        <f>995+20.93</f>
        <v>1015.93</v>
      </c>
      <c r="N343" s="122"/>
      <c r="O343" s="123">
        <f>+N343+M343</f>
        <v>1015.93</v>
      </c>
      <c r="P343" s="124">
        <f t="shared" si="60"/>
        <v>507.965</v>
      </c>
      <c r="Q343" s="124">
        <f>+N343*0.5</f>
        <v>0</v>
      </c>
      <c r="R343" s="125">
        <f>+Q343+P343</f>
        <v>507.965</v>
      </c>
      <c r="S343" s="157"/>
      <c r="T343" s="158"/>
    </row>
    <row r="344" spans="1:20" ht="21">
      <c r="A344" s="163" t="s">
        <v>303</v>
      </c>
      <c r="B344" s="164"/>
      <c r="C344" s="159" t="s">
        <v>50</v>
      </c>
      <c r="D344" s="78" t="s">
        <v>397</v>
      </c>
      <c r="E344" s="78" t="s">
        <v>398</v>
      </c>
      <c r="F344" s="121">
        <v>195</v>
      </c>
      <c r="G344" s="79">
        <v>39006</v>
      </c>
      <c r="H344" s="80">
        <v>39056</v>
      </c>
      <c r="I344" s="95" t="s">
        <v>185</v>
      </c>
      <c r="J344" s="122">
        <v>529.5</v>
      </c>
      <c r="K344" s="122">
        <v>105.9</v>
      </c>
      <c r="L344" s="123">
        <v>635.4</v>
      </c>
      <c r="M344" s="128">
        <f>+J344</f>
        <v>529.5</v>
      </c>
      <c r="N344" s="122"/>
      <c r="O344" s="125">
        <f t="shared" si="59"/>
        <v>529.5</v>
      </c>
      <c r="P344" s="124">
        <f t="shared" si="60"/>
        <v>264.75</v>
      </c>
      <c r="Q344" s="124">
        <f>+N344*0.5</f>
        <v>0</v>
      </c>
      <c r="R344" s="125">
        <f t="shared" si="61"/>
        <v>264.75</v>
      </c>
      <c r="S344" s="157"/>
      <c r="T344" s="158"/>
    </row>
    <row r="345" spans="1:20" s="206" customFormat="1" ht="21">
      <c r="A345" s="191" t="s">
        <v>408</v>
      </c>
      <c r="B345" s="200"/>
      <c r="C345" s="201" t="s">
        <v>53</v>
      </c>
      <c r="D345" s="202" t="s">
        <v>415</v>
      </c>
      <c r="E345" s="202" t="s">
        <v>416</v>
      </c>
      <c r="F345" s="218">
        <v>32</v>
      </c>
      <c r="G345" s="203">
        <v>39080</v>
      </c>
      <c r="H345" s="204">
        <v>39073</v>
      </c>
      <c r="I345" s="219" t="s">
        <v>142</v>
      </c>
      <c r="J345" s="220">
        <v>617.64</v>
      </c>
      <c r="K345" s="220">
        <v>0</v>
      </c>
      <c r="L345" s="220">
        <v>617.64</v>
      </c>
      <c r="M345" s="228"/>
      <c r="N345" s="228"/>
      <c r="O345" s="221">
        <f aca="true" t="shared" si="62" ref="O345:O351">+N345+M345</f>
        <v>0</v>
      </c>
      <c r="P345" s="221">
        <f>+M345*0.5</f>
        <v>0</v>
      </c>
      <c r="Q345" s="221"/>
      <c r="R345" s="221">
        <f aca="true" t="shared" si="63" ref="R345:R351">+Q345+P345</f>
        <v>0</v>
      </c>
      <c r="S345" s="253" t="s">
        <v>529</v>
      </c>
      <c r="T345" s="254"/>
    </row>
    <row r="346" spans="1:20" s="206" customFormat="1" ht="31.5">
      <c r="A346" s="191" t="s">
        <v>408</v>
      </c>
      <c r="B346" s="200"/>
      <c r="C346" s="201" t="s">
        <v>53</v>
      </c>
      <c r="D346" s="202" t="s">
        <v>417</v>
      </c>
      <c r="E346" s="202" t="s">
        <v>325</v>
      </c>
      <c r="F346" s="218" t="s">
        <v>419</v>
      </c>
      <c r="G346" s="203">
        <v>39097</v>
      </c>
      <c r="H346" s="204">
        <v>39119</v>
      </c>
      <c r="I346" s="219" t="s">
        <v>420</v>
      </c>
      <c r="J346" s="220">
        <v>156.01</v>
      </c>
      <c r="K346" s="220">
        <v>31.2</v>
      </c>
      <c r="L346" s="220">
        <v>187.21</v>
      </c>
      <c r="M346" s="228"/>
      <c r="N346" s="228"/>
      <c r="O346" s="221">
        <f t="shared" si="62"/>
        <v>0</v>
      </c>
      <c r="P346" s="221">
        <f>+M346*0.5</f>
        <v>0</v>
      </c>
      <c r="Q346" s="221"/>
      <c r="R346" s="221">
        <f t="shared" si="63"/>
        <v>0</v>
      </c>
      <c r="S346" s="212"/>
      <c r="T346" s="213"/>
    </row>
    <row r="347" spans="1:20" s="206" customFormat="1" ht="21">
      <c r="A347" s="191" t="s">
        <v>408</v>
      </c>
      <c r="B347" s="200"/>
      <c r="C347" s="201" t="s">
        <v>53</v>
      </c>
      <c r="D347" s="202" t="s">
        <v>418</v>
      </c>
      <c r="E347" s="202" t="s">
        <v>416</v>
      </c>
      <c r="F347" s="218">
        <v>3</v>
      </c>
      <c r="G347" s="203">
        <v>39113</v>
      </c>
      <c r="H347" s="204">
        <v>39104</v>
      </c>
      <c r="I347" s="219" t="s">
        <v>142</v>
      </c>
      <c r="J347" s="220">
        <v>617.64</v>
      </c>
      <c r="K347" s="220">
        <v>0</v>
      </c>
      <c r="L347" s="220">
        <v>617.64</v>
      </c>
      <c r="M347" s="228"/>
      <c r="N347" s="228"/>
      <c r="O347" s="221">
        <f t="shared" si="62"/>
        <v>0</v>
      </c>
      <c r="P347" s="221">
        <f>+M347*0.5</f>
        <v>0</v>
      </c>
      <c r="Q347" s="221"/>
      <c r="R347" s="221">
        <f t="shared" si="63"/>
        <v>0</v>
      </c>
      <c r="S347" s="253" t="s">
        <v>529</v>
      </c>
      <c r="T347" s="254"/>
    </row>
    <row r="348" spans="1:20" ht="21">
      <c r="A348" s="163" t="s">
        <v>408</v>
      </c>
      <c r="B348" s="164"/>
      <c r="C348" s="77" t="s">
        <v>173</v>
      </c>
      <c r="D348" s="78" t="s">
        <v>421</v>
      </c>
      <c r="E348" s="78"/>
      <c r="F348" s="121"/>
      <c r="G348" s="79"/>
      <c r="H348" s="80"/>
      <c r="I348" s="95"/>
      <c r="J348" s="122">
        <v>2459.665846153846</v>
      </c>
      <c r="K348" s="122"/>
      <c r="L348" s="123">
        <f>+K348+J348</f>
        <v>2459.665846153846</v>
      </c>
      <c r="M348" s="122">
        <v>2459.665846153846</v>
      </c>
      <c r="N348" s="128"/>
      <c r="O348" s="82">
        <f t="shared" si="62"/>
        <v>2459.665846153846</v>
      </c>
      <c r="P348" s="83">
        <f>M348*0.5</f>
        <v>1229.832923076923</v>
      </c>
      <c r="Q348" s="83"/>
      <c r="R348" s="82">
        <f t="shared" si="63"/>
        <v>1229.832923076923</v>
      </c>
      <c r="S348" s="255"/>
      <c r="T348" s="256"/>
    </row>
    <row r="349" spans="1:20" ht="21">
      <c r="A349" s="163" t="s">
        <v>408</v>
      </c>
      <c r="B349" s="164"/>
      <c r="C349" s="159" t="s">
        <v>50</v>
      </c>
      <c r="D349" s="78" t="s">
        <v>552</v>
      </c>
      <c r="E349" s="78" t="s">
        <v>553</v>
      </c>
      <c r="F349" s="121">
        <v>444</v>
      </c>
      <c r="G349" s="79">
        <v>39039</v>
      </c>
      <c r="H349" s="80">
        <v>39167</v>
      </c>
      <c r="I349" s="95" t="s">
        <v>185</v>
      </c>
      <c r="J349" s="122">
        <v>180.83</v>
      </c>
      <c r="K349" s="122">
        <v>36.17</v>
      </c>
      <c r="L349" s="123">
        <f>+K349+J349</f>
        <v>217</v>
      </c>
      <c r="M349" s="122">
        <v>180.83</v>
      </c>
      <c r="N349" s="122"/>
      <c r="O349" s="123">
        <f t="shared" si="62"/>
        <v>180.83</v>
      </c>
      <c r="P349" s="124">
        <f aca="true" t="shared" si="64" ref="P349:Q351">+M349*0.5</f>
        <v>90.415</v>
      </c>
      <c r="Q349" s="124">
        <f t="shared" si="64"/>
        <v>0</v>
      </c>
      <c r="R349" s="125">
        <f t="shared" si="63"/>
        <v>90.415</v>
      </c>
      <c r="S349" s="183"/>
      <c r="T349" s="184"/>
    </row>
    <row r="350" spans="1:20" ht="31.5">
      <c r="A350" s="163" t="s">
        <v>408</v>
      </c>
      <c r="B350" s="164"/>
      <c r="C350" s="159" t="s">
        <v>50</v>
      </c>
      <c r="D350" s="78" t="s">
        <v>554</v>
      </c>
      <c r="E350" s="77" t="s">
        <v>555</v>
      </c>
      <c r="F350" s="121">
        <v>2006029194</v>
      </c>
      <c r="G350" s="79">
        <v>39051</v>
      </c>
      <c r="H350" s="80">
        <v>39119</v>
      </c>
      <c r="I350" s="95" t="s">
        <v>185</v>
      </c>
      <c r="J350" s="122">
        <v>121.03</v>
      </c>
      <c r="K350" s="122">
        <v>24.21</v>
      </c>
      <c r="L350" s="123">
        <f>+K350+J350</f>
        <v>145.24</v>
      </c>
      <c r="M350" s="122">
        <v>121.03</v>
      </c>
      <c r="N350" s="122"/>
      <c r="O350" s="123">
        <f t="shared" si="62"/>
        <v>121.03</v>
      </c>
      <c r="P350" s="124">
        <f t="shared" si="64"/>
        <v>60.515</v>
      </c>
      <c r="Q350" s="124">
        <f t="shared" si="64"/>
        <v>0</v>
      </c>
      <c r="R350" s="125">
        <f t="shared" si="63"/>
        <v>60.515</v>
      </c>
      <c r="S350" s="183"/>
      <c r="T350" s="184"/>
    </row>
    <row r="351" spans="1:20" ht="21">
      <c r="A351" s="163" t="s">
        <v>408</v>
      </c>
      <c r="B351" s="164"/>
      <c r="C351" s="159" t="s">
        <v>50</v>
      </c>
      <c r="D351" s="78" t="s">
        <v>556</v>
      </c>
      <c r="E351" s="78" t="s">
        <v>495</v>
      </c>
      <c r="F351" s="121">
        <v>118</v>
      </c>
      <c r="G351" s="79">
        <v>39021</v>
      </c>
      <c r="H351" s="80">
        <v>39072</v>
      </c>
      <c r="I351" s="95" t="s">
        <v>185</v>
      </c>
      <c r="J351" s="122">
        <v>555.52</v>
      </c>
      <c r="K351" s="122">
        <v>111.1</v>
      </c>
      <c r="L351" s="123">
        <f>+K351+J351</f>
        <v>666.62</v>
      </c>
      <c r="M351" s="122">
        <v>555.52</v>
      </c>
      <c r="N351" s="122"/>
      <c r="O351" s="123">
        <f t="shared" si="62"/>
        <v>555.52</v>
      </c>
      <c r="P351" s="124">
        <f t="shared" si="64"/>
        <v>277.76</v>
      </c>
      <c r="Q351" s="124">
        <f t="shared" si="64"/>
        <v>0</v>
      </c>
      <c r="R351" s="125">
        <f t="shared" si="63"/>
        <v>277.76</v>
      </c>
      <c r="S351" s="183"/>
      <c r="T351" s="184"/>
    </row>
    <row r="352" spans="1:20" ht="21">
      <c r="A352" s="163" t="s">
        <v>408</v>
      </c>
      <c r="B352" s="164"/>
      <c r="C352" s="159" t="s">
        <v>50</v>
      </c>
      <c r="D352" s="78" t="s">
        <v>279</v>
      </c>
      <c r="E352" s="78" t="s">
        <v>280</v>
      </c>
      <c r="F352" s="121" t="s">
        <v>365</v>
      </c>
      <c r="G352" s="79"/>
      <c r="H352" s="80">
        <v>39021</v>
      </c>
      <c r="I352" s="95" t="s">
        <v>185</v>
      </c>
      <c r="J352" s="122"/>
      <c r="K352" s="122"/>
      <c r="L352" s="123">
        <v>1329.02</v>
      </c>
      <c r="M352" s="128"/>
      <c r="N352" s="128"/>
      <c r="O352" s="125"/>
      <c r="P352" s="124"/>
      <c r="Q352" s="124"/>
      <c r="R352" s="125"/>
      <c r="S352" s="194" t="s">
        <v>528</v>
      </c>
      <c r="T352" s="195"/>
    </row>
    <row r="353" spans="1:20" ht="21">
      <c r="A353" s="163" t="s">
        <v>408</v>
      </c>
      <c r="B353" s="164"/>
      <c r="C353" s="159" t="s">
        <v>50</v>
      </c>
      <c r="D353" s="78" t="s">
        <v>279</v>
      </c>
      <c r="E353" s="78" t="s">
        <v>282</v>
      </c>
      <c r="F353" s="121" t="s">
        <v>366</v>
      </c>
      <c r="G353" s="79"/>
      <c r="H353" s="80">
        <v>39041</v>
      </c>
      <c r="I353" s="95" t="s">
        <v>185</v>
      </c>
      <c r="J353" s="122"/>
      <c r="K353" s="122"/>
      <c r="L353" s="123">
        <v>643.67</v>
      </c>
      <c r="M353" s="128"/>
      <c r="N353" s="128"/>
      <c r="O353" s="125"/>
      <c r="P353" s="124"/>
      <c r="Q353" s="124"/>
      <c r="R353" s="125"/>
      <c r="S353" s="196"/>
      <c r="T353" s="197"/>
    </row>
    <row r="354" spans="1:20" ht="21">
      <c r="A354" s="163" t="s">
        <v>408</v>
      </c>
      <c r="B354" s="164"/>
      <c r="C354" s="159" t="s">
        <v>50</v>
      </c>
      <c r="D354" s="78" t="s">
        <v>367</v>
      </c>
      <c r="E354" s="78" t="s">
        <v>368</v>
      </c>
      <c r="F354" s="121" t="s">
        <v>369</v>
      </c>
      <c r="G354" s="79"/>
      <c r="H354" s="80">
        <v>38975</v>
      </c>
      <c r="I354" s="95" t="s">
        <v>185</v>
      </c>
      <c r="J354" s="122"/>
      <c r="K354" s="122"/>
      <c r="L354" s="123">
        <v>96</v>
      </c>
      <c r="M354" s="128"/>
      <c r="N354" s="128"/>
      <c r="O354" s="125"/>
      <c r="P354" s="124"/>
      <c r="Q354" s="124"/>
      <c r="R354" s="125"/>
      <c r="S354" s="196"/>
      <c r="T354" s="197"/>
    </row>
    <row r="355" spans="1:20" ht="21">
      <c r="A355" s="163" t="s">
        <v>408</v>
      </c>
      <c r="B355" s="164"/>
      <c r="C355" s="159" t="s">
        <v>50</v>
      </c>
      <c r="D355" s="78" t="s">
        <v>283</v>
      </c>
      <c r="E355" s="78" t="s">
        <v>280</v>
      </c>
      <c r="F355" s="121" t="s">
        <v>370</v>
      </c>
      <c r="G355" s="79"/>
      <c r="H355" s="80">
        <v>39021</v>
      </c>
      <c r="I355" s="95" t="s">
        <v>185</v>
      </c>
      <c r="J355" s="122"/>
      <c r="K355" s="122"/>
      <c r="L355" s="123">
        <v>2303.49</v>
      </c>
      <c r="M355" s="128"/>
      <c r="N355" s="128"/>
      <c r="O355" s="125"/>
      <c r="P355" s="124"/>
      <c r="Q355" s="124"/>
      <c r="R355" s="125"/>
      <c r="S355" s="196"/>
      <c r="T355" s="197"/>
    </row>
    <row r="356" spans="1:20" ht="21">
      <c r="A356" s="163" t="s">
        <v>408</v>
      </c>
      <c r="B356" s="164"/>
      <c r="C356" s="159" t="s">
        <v>50</v>
      </c>
      <c r="D356" s="78" t="s">
        <v>371</v>
      </c>
      <c r="E356" s="78" t="s">
        <v>372</v>
      </c>
      <c r="F356" s="121" t="s">
        <v>373</v>
      </c>
      <c r="G356" s="79"/>
      <c r="H356" s="80">
        <v>39031</v>
      </c>
      <c r="I356" s="95" t="s">
        <v>185</v>
      </c>
      <c r="J356" s="122"/>
      <c r="K356" s="122"/>
      <c r="L356" s="123">
        <v>712.5</v>
      </c>
      <c r="M356" s="128"/>
      <c r="N356" s="128"/>
      <c r="O356" s="125"/>
      <c r="P356" s="124"/>
      <c r="Q356" s="124"/>
      <c r="R356" s="125"/>
      <c r="S356" s="196"/>
      <c r="T356" s="197"/>
    </row>
    <row r="357" spans="1:20" ht="21">
      <c r="A357" s="163" t="s">
        <v>408</v>
      </c>
      <c r="B357" s="164"/>
      <c r="C357" s="159" t="s">
        <v>50</v>
      </c>
      <c r="D357" s="78" t="s">
        <v>374</v>
      </c>
      <c r="E357" s="78" t="s">
        <v>368</v>
      </c>
      <c r="F357" s="121" t="s">
        <v>375</v>
      </c>
      <c r="G357" s="79"/>
      <c r="H357" s="80">
        <v>39041</v>
      </c>
      <c r="I357" s="95" t="s">
        <v>185</v>
      </c>
      <c r="J357" s="122"/>
      <c r="K357" s="122"/>
      <c r="L357" s="123">
        <v>257.73</v>
      </c>
      <c r="M357" s="128"/>
      <c r="N357" s="128"/>
      <c r="O357" s="125"/>
      <c r="P357" s="124"/>
      <c r="Q357" s="124"/>
      <c r="R357" s="125"/>
      <c r="S357" s="196"/>
      <c r="T357" s="197"/>
    </row>
    <row r="358" spans="1:20" ht="21">
      <c r="A358" s="163" t="s">
        <v>408</v>
      </c>
      <c r="B358" s="164"/>
      <c r="C358" s="159" t="s">
        <v>50</v>
      </c>
      <c r="D358" s="78" t="s">
        <v>376</v>
      </c>
      <c r="E358" s="78" t="s">
        <v>291</v>
      </c>
      <c r="F358" s="121" t="s">
        <v>377</v>
      </c>
      <c r="G358" s="79"/>
      <c r="H358" s="80">
        <v>38995</v>
      </c>
      <c r="I358" s="95" t="s">
        <v>177</v>
      </c>
      <c r="J358" s="122"/>
      <c r="K358" s="122"/>
      <c r="L358" s="123">
        <v>361.24</v>
      </c>
      <c r="M358" s="128"/>
      <c r="N358" s="128"/>
      <c r="O358" s="125"/>
      <c r="P358" s="124"/>
      <c r="Q358" s="124"/>
      <c r="R358" s="125"/>
      <c r="S358" s="196"/>
      <c r="T358" s="197"/>
    </row>
    <row r="359" spans="1:20" ht="21">
      <c r="A359" s="163" t="s">
        <v>408</v>
      </c>
      <c r="B359" s="164"/>
      <c r="C359" s="159" t="s">
        <v>50</v>
      </c>
      <c r="D359" s="78" t="s">
        <v>378</v>
      </c>
      <c r="E359" s="78" t="s">
        <v>379</v>
      </c>
      <c r="F359" s="121" t="s">
        <v>380</v>
      </c>
      <c r="G359" s="79"/>
      <c r="H359" s="80">
        <v>38995</v>
      </c>
      <c r="I359" s="95" t="s">
        <v>177</v>
      </c>
      <c r="J359" s="122"/>
      <c r="K359" s="122"/>
      <c r="L359" s="123">
        <v>376.24</v>
      </c>
      <c r="M359" s="128"/>
      <c r="N359" s="128"/>
      <c r="O359" s="125"/>
      <c r="P359" s="124"/>
      <c r="Q359" s="124"/>
      <c r="R359" s="125"/>
      <c r="S359" s="196"/>
      <c r="T359" s="197"/>
    </row>
    <row r="360" spans="1:20" ht="21">
      <c r="A360" s="163" t="s">
        <v>408</v>
      </c>
      <c r="B360" s="164"/>
      <c r="C360" s="159" t="s">
        <v>50</v>
      </c>
      <c r="D360" s="78" t="s">
        <v>381</v>
      </c>
      <c r="E360" s="78" t="s">
        <v>382</v>
      </c>
      <c r="F360" s="121" t="s">
        <v>383</v>
      </c>
      <c r="G360" s="79"/>
      <c r="H360" s="80">
        <v>38995</v>
      </c>
      <c r="I360" s="95" t="s">
        <v>177</v>
      </c>
      <c r="J360" s="122"/>
      <c r="K360" s="122"/>
      <c r="L360" s="123">
        <v>371.84</v>
      </c>
      <c r="M360" s="128"/>
      <c r="N360" s="128"/>
      <c r="O360" s="125"/>
      <c r="P360" s="124"/>
      <c r="Q360" s="124"/>
      <c r="R360" s="125"/>
      <c r="S360" s="196"/>
      <c r="T360" s="197"/>
    </row>
    <row r="361" spans="1:20" ht="21">
      <c r="A361" s="163" t="s">
        <v>408</v>
      </c>
      <c r="B361" s="164"/>
      <c r="C361" s="159" t="s">
        <v>50</v>
      </c>
      <c r="D361" s="78" t="s">
        <v>384</v>
      </c>
      <c r="E361" s="78" t="s">
        <v>291</v>
      </c>
      <c r="F361" s="121" t="s">
        <v>385</v>
      </c>
      <c r="G361" s="79"/>
      <c r="H361" s="80">
        <v>39043</v>
      </c>
      <c r="I361" s="95" t="s">
        <v>177</v>
      </c>
      <c r="J361" s="122"/>
      <c r="K361" s="122"/>
      <c r="L361" s="123">
        <v>287.53</v>
      </c>
      <c r="M361" s="128"/>
      <c r="N361" s="128"/>
      <c r="O361" s="125"/>
      <c r="P361" s="124"/>
      <c r="Q361" s="124"/>
      <c r="R361" s="125"/>
      <c r="S361" s="196"/>
      <c r="T361" s="197"/>
    </row>
    <row r="362" spans="1:20" ht="21">
      <c r="A362" s="163" t="s">
        <v>408</v>
      </c>
      <c r="B362" s="164"/>
      <c r="C362" s="159" t="s">
        <v>50</v>
      </c>
      <c r="D362" s="78" t="s">
        <v>386</v>
      </c>
      <c r="E362" s="78" t="s">
        <v>291</v>
      </c>
      <c r="F362" s="121" t="s">
        <v>387</v>
      </c>
      <c r="G362" s="79"/>
      <c r="H362" s="80">
        <v>39049</v>
      </c>
      <c r="I362" s="95" t="s">
        <v>177</v>
      </c>
      <c r="J362" s="122"/>
      <c r="K362" s="122"/>
      <c r="L362" s="123">
        <v>305.64</v>
      </c>
      <c r="M362" s="128"/>
      <c r="N362" s="128"/>
      <c r="O362" s="125"/>
      <c r="P362" s="124"/>
      <c r="Q362" s="124"/>
      <c r="R362" s="125"/>
      <c r="S362" s="196"/>
      <c r="T362" s="197"/>
    </row>
    <row r="363" spans="1:20" ht="21">
      <c r="A363" s="163" t="s">
        <v>408</v>
      </c>
      <c r="B363" s="164"/>
      <c r="C363" s="159" t="s">
        <v>50</v>
      </c>
      <c r="D363" s="78" t="s">
        <v>388</v>
      </c>
      <c r="E363" s="78" t="s">
        <v>291</v>
      </c>
      <c r="F363" s="121" t="s">
        <v>389</v>
      </c>
      <c r="G363" s="79"/>
      <c r="H363" s="80">
        <v>39000</v>
      </c>
      <c r="I363" s="95" t="s">
        <v>177</v>
      </c>
      <c r="J363" s="122"/>
      <c r="K363" s="122"/>
      <c r="L363" s="123">
        <v>582.86</v>
      </c>
      <c r="M363" s="128"/>
      <c r="N363" s="128"/>
      <c r="O363" s="125"/>
      <c r="P363" s="124"/>
      <c r="Q363" s="124"/>
      <c r="R363" s="125"/>
      <c r="S363" s="196"/>
      <c r="T363" s="197"/>
    </row>
    <row r="364" spans="1:20" ht="21">
      <c r="A364" s="163" t="s">
        <v>408</v>
      </c>
      <c r="B364" s="164"/>
      <c r="C364" s="159" t="s">
        <v>50</v>
      </c>
      <c r="D364" s="78" t="s">
        <v>390</v>
      </c>
      <c r="E364" s="78" t="s">
        <v>291</v>
      </c>
      <c r="F364" s="121" t="s">
        <v>391</v>
      </c>
      <c r="G364" s="79"/>
      <c r="H364" s="80">
        <v>38995</v>
      </c>
      <c r="I364" s="95" t="s">
        <v>177</v>
      </c>
      <c r="J364" s="122"/>
      <c r="K364" s="122"/>
      <c r="L364" s="123">
        <v>326.9</v>
      </c>
      <c r="M364" s="128"/>
      <c r="N364" s="128"/>
      <c r="O364" s="125"/>
      <c r="P364" s="124"/>
      <c r="Q364" s="124"/>
      <c r="R364" s="125"/>
      <c r="S364" s="196"/>
      <c r="T364" s="197"/>
    </row>
    <row r="365" spans="1:20" ht="21">
      <c r="A365" s="163" t="s">
        <v>408</v>
      </c>
      <c r="B365" s="164"/>
      <c r="C365" s="159" t="s">
        <v>50</v>
      </c>
      <c r="D365" s="78" t="s">
        <v>392</v>
      </c>
      <c r="E365" s="78" t="s">
        <v>393</v>
      </c>
      <c r="F365" s="121" t="s">
        <v>394</v>
      </c>
      <c r="G365" s="79"/>
      <c r="H365" s="80">
        <v>38995</v>
      </c>
      <c r="I365" s="95" t="s">
        <v>177</v>
      </c>
      <c r="J365" s="122"/>
      <c r="K365" s="122"/>
      <c r="L365" s="123">
        <v>396.95</v>
      </c>
      <c r="M365" s="128"/>
      <c r="N365" s="128"/>
      <c r="O365" s="125"/>
      <c r="P365" s="124"/>
      <c r="Q365" s="124"/>
      <c r="R365" s="125"/>
      <c r="S365" s="196"/>
      <c r="T365" s="197"/>
    </row>
    <row r="366" spans="1:20" ht="21">
      <c r="A366" s="163" t="s">
        <v>408</v>
      </c>
      <c r="B366" s="164"/>
      <c r="C366" s="159" t="s">
        <v>50</v>
      </c>
      <c r="D366" s="78" t="s">
        <v>395</v>
      </c>
      <c r="E366" s="78" t="s">
        <v>291</v>
      </c>
      <c r="F366" s="121" t="s">
        <v>396</v>
      </c>
      <c r="G366" s="79"/>
      <c r="H366" s="80">
        <v>39043</v>
      </c>
      <c r="I366" s="95" t="s">
        <v>177</v>
      </c>
      <c r="J366" s="122"/>
      <c r="K366" s="122"/>
      <c r="L366" s="123">
        <v>140.46</v>
      </c>
      <c r="M366" s="128"/>
      <c r="N366" s="128"/>
      <c r="O366" s="125"/>
      <c r="P366" s="124"/>
      <c r="Q366" s="124"/>
      <c r="R366" s="125"/>
      <c r="S366" s="196"/>
      <c r="T366" s="197"/>
    </row>
    <row r="367" spans="1:20" ht="21">
      <c r="A367" s="163" t="s">
        <v>408</v>
      </c>
      <c r="B367" s="164"/>
      <c r="C367" s="159" t="s">
        <v>50</v>
      </c>
      <c r="D367" s="78" t="s">
        <v>397</v>
      </c>
      <c r="E367" s="78" t="s">
        <v>398</v>
      </c>
      <c r="F367" s="121">
        <v>195</v>
      </c>
      <c r="G367" s="79">
        <v>39006</v>
      </c>
      <c r="H367" s="80">
        <v>39056</v>
      </c>
      <c r="I367" s="95" t="s">
        <v>185</v>
      </c>
      <c r="J367" s="122">
        <v>529.5</v>
      </c>
      <c r="K367" s="122">
        <v>105.9</v>
      </c>
      <c r="L367" s="123">
        <v>635.4</v>
      </c>
      <c r="M367" s="128"/>
      <c r="N367" s="128"/>
      <c r="O367" s="125"/>
      <c r="P367" s="124"/>
      <c r="Q367" s="124"/>
      <c r="R367" s="125"/>
      <c r="S367" s="198"/>
      <c r="T367" s="199"/>
    </row>
    <row r="368" spans="1:20" ht="21">
      <c r="A368" s="75" t="s">
        <v>429</v>
      </c>
      <c r="B368" s="76"/>
      <c r="C368" s="77" t="s">
        <v>126</v>
      </c>
      <c r="D368" s="78"/>
      <c r="E368" s="78" t="s">
        <v>440</v>
      </c>
      <c r="F368" s="121">
        <v>762</v>
      </c>
      <c r="G368" s="79">
        <v>39171</v>
      </c>
      <c r="H368" s="80">
        <v>39220</v>
      </c>
      <c r="I368" s="95" t="s">
        <v>177</v>
      </c>
      <c r="J368" s="122">
        <v>160</v>
      </c>
      <c r="K368" s="122">
        <v>32</v>
      </c>
      <c r="L368" s="123">
        <v>192</v>
      </c>
      <c r="M368" s="128">
        <f>+J368/12*7</f>
        <v>93.33333333333334</v>
      </c>
      <c r="N368" s="128"/>
      <c r="O368" s="123">
        <f>+M368+N368</f>
        <v>93.33333333333334</v>
      </c>
      <c r="P368" s="83">
        <f>M368*0.5</f>
        <v>46.66666666666667</v>
      </c>
      <c r="Q368" s="83"/>
      <c r="R368" s="82">
        <f>+Q368+P368</f>
        <v>46.66666666666667</v>
      </c>
      <c r="S368" s="255" t="s">
        <v>534</v>
      </c>
      <c r="T368" s="256"/>
    </row>
    <row r="369" spans="1:20" ht="21">
      <c r="A369" s="75" t="s">
        <v>429</v>
      </c>
      <c r="B369" s="76"/>
      <c r="C369" s="77" t="s">
        <v>126</v>
      </c>
      <c r="D369" s="78"/>
      <c r="E369" s="78" t="s">
        <v>441</v>
      </c>
      <c r="F369" s="121" t="s">
        <v>442</v>
      </c>
      <c r="G369" s="79">
        <v>39161</v>
      </c>
      <c r="H369" s="80">
        <v>39182</v>
      </c>
      <c r="I369" s="95" t="s">
        <v>177</v>
      </c>
      <c r="J369" s="122">
        <v>377.02</v>
      </c>
      <c r="K369" s="122">
        <v>75.41</v>
      </c>
      <c r="L369" s="123">
        <v>452.43</v>
      </c>
      <c r="M369" s="128"/>
      <c r="N369" s="128"/>
      <c r="O369" s="125"/>
      <c r="P369" s="124"/>
      <c r="Q369" s="124"/>
      <c r="R369" s="125"/>
      <c r="S369" s="257" t="s">
        <v>335</v>
      </c>
      <c r="T369" s="258"/>
    </row>
    <row r="370" spans="1:20" ht="21">
      <c r="A370" s="75" t="s">
        <v>429</v>
      </c>
      <c r="B370" s="76"/>
      <c r="C370" s="77" t="s">
        <v>126</v>
      </c>
      <c r="D370" s="78"/>
      <c r="E370" s="78" t="s">
        <v>443</v>
      </c>
      <c r="F370" s="121">
        <v>478</v>
      </c>
      <c r="G370" s="79">
        <v>39185</v>
      </c>
      <c r="H370" s="80">
        <v>39261</v>
      </c>
      <c r="I370" s="95" t="s">
        <v>177</v>
      </c>
      <c r="J370" s="122">
        <v>220</v>
      </c>
      <c r="K370" s="122">
        <v>44</v>
      </c>
      <c r="L370" s="123">
        <v>264</v>
      </c>
      <c r="M370" s="128"/>
      <c r="N370" s="128"/>
      <c r="O370" s="125"/>
      <c r="P370" s="124"/>
      <c r="Q370" s="124"/>
      <c r="R370" s="125"/>
      <c r="S370" s="257" t="s">
        <v>335</v>
      </c>
      <c r="T370" s="258"/>
    </row>
    <row r="371" spans="1:20" ht="21">
      <c r="A371" s="75" t="s">
        <v>429</v>
      </c>
      <c r="B371" s="76"/>
      <c r="C371" s="77" t="s">
        <v>126</v>
      </c>
      <c r="D371" s="78"/>
      <c r="E371" s="78" t="s">
        <v>443</v>
      </c>
      <c r="F371" s="121">
        <v>526</v>
      </c>
      <c r="G371" s="79">
        <v>39202</v>
      </c>
      <c r="H371" s="80">
        <v>39261</v>
      </c>
      <c r="I371" s="95" t="s">
        <v>177</v>
      </c>
      <c r="J371" s="122">
        <v>364.79</v>
      </c>
      <c r="K371" s="122">
        <v>72.96</v>
      </c>
      <c r="L371" s="123">
        <v>437.75</v>
      </c>
      <c r="M371" s="128"/>
      <c r="N371" s="128"/>
      <c r="O371" s="125"/>
      <c r="P371" s="124"/>
      <c r="Q371" s="124"/>
      <c r="R371" s="125"/>
      <c r="S371" s="257" t="s">
        <v>535</v>
      </c>
      <c r="T371" s="258"/>
    </row>
    <row r="372" spans="1:20" ht="21">
      <c r="A372" s="75" t="s">
        <v>429</v>
      </c>
      <c r="B372" s="76"/>
      <c r="C372" s="77" t="s">
        <v>126</v>
      </c>
      <c r="D372" s="78"/>
      <c r="E372" s="78" t="s">
        <v>444</v>
      </c>
      <c r="F372" s="121" t="s">
        <v>445</v>
      </c>
      <c r="G372" s="79">
        <v>39206</v>
      </c>
      <c r="H372" s="80">
        <v>39220</v>
      </c>
      <c r="I372" s="95" t="s">
        <v>177</v>
      </c>
      <c r="J372" s="122">
        <v>545.45</v>
      </c>
      <c r="K372" s="122">
        <v>54.55</v>
      </c>
      <c r="L372" s="123">
        <v>600</v>
      </c>
      <c r="M372" s="122">
        <v>545.45</v>
      </c>
      <c r="N372" s="128"/>
      <c r="O372" s="123">
        <f>+M372+N372</f>
        <v>545.45</v>
      </c>
      <c r="P372" s="83">
        <f>M372*0.5</f>
        <v>272.725</v>
      </c>
      <c r="Q372" s="83"/>
      <c r="R372" s="82">
        <f>+Q372+P372</f>
        <v>272.725</v>
      </c>
      <c r="S372" s="257"/>
      <c r="T372" s="258"/>
    </row>
    <row r="373" spans="1:20" ht="21">
      <c r="A373" s="75" t="s">
        <v>429</v>
      </c>
      <c r="B373" s="76"/>
      <c r="C373" s="77" t="s">
        <v>126</v>
      </c>
      <c r="D373" s="78"/>
      <c r="E373" s="78" t="s">
        <v>446</v>
      </c>
      <c r="F373" s="121" t="s">
        <v>447</v>
      </c>
      <c r="G373" s="79">
        <v>39196</v>
      </c>
      <c r="H373" s="80">
        <v>39198</v>
      </c>
      <c r="I373" s="95" t="s">
        <v>177</v>
      </c>
      <c r="J373" s="122"/>
      <c r="K373" s="122"/>
      <c r="L373" s="123">
        <v>45</v>
      </c>
      <c r="M373" s="128"/>
      <c r="N373" s="128"/>
      <c r="O373" s="125"/>
      <c r="P373" s="124"/>
      <c r="Q373" s="124"/>
      <c r="R373" s="125"/>
      <c r="S373" s="257" t="s">
        <v>535</v>
      </c>
      <c r="T373" s="258"/>
    </row>
    <row r="374" spans="1:20" ht="21">
      <c r="A374" s="75" t="s">
        <v>429</v>
      </c>
      <c r="B374" s="76"/>
      <c r="C374" s="77" t="s">
        <v>126</v>
      </c>
      <c r="D374" s="78"/>
      <c r="E374" s="78" t="s">
        <v>446</v>
      </c>
      <c r="F374" s="121" t="s">
        <v>447</v>
      </c>
      <c r="G374" s="79">
        <v>39196</v>
      </c>
      <c r="H374" s="80">
        <v>39198</v>
      </c>
      <c r="I374" s="95" t="s">
        <v>177</v>
      </c>
      <c r="J374" s="122"/>
      <c r="K374" s="122"/>
      <c r="L374" s="123">
        <v>23</v>
      </c>
      <c r="M374" s="128"/>
      <c r="N374" s="128"/>
      <c r="O374" s="125"/>
      <c r="P374" s="124"/>
      <c r="Q374" s="124"/>
      <c r="R374" s="125"/>
      <c r="S374" s="257" t="s">
        <v>535</v>
      </c>
      <c r="T374" s="258"/>
    </row>
    <row r="375" spans="1:20" ht="21">
      <c r="A375" s="75" t="s">
        <v>429</v>
      </c>
      <c r="B375" s="76"/>
      <c r="C375" s="77" t="s">
        <v>126</v>
      </c>
      <c r="D375" s="78"/>
      <c r="E375" s="78" t="s">
        <v>448</v>
      </c>
      <c r="F375" s="121" t="s">
        <v>449</v>
      </c>
      <c r="G375" s="79">
        <v>39193</v>
      </c>
      <c r="H375" s="80">
        <v>39198</v>
      </c>
      <c r="I375" s="95" t="s">
        <v>177</v>
      </c>
      <c r="J375" s="122"/>
      <c r="K375" s="122"/>
      <c r="L375" s="123">
        <v>120</v>
      </c>
      <c r="M375" s="128"/>
      <c r="N375" s="128"/>
      <c r="O375" s="125"/>
      <c r="P375" s="124"/>
      <c r="Q375" s="124"/>
      <c r="R375" s="125"/>
      <c r="S375" s="257" t="s">
        <v>535</v>
      </c>
      <c r="T375" s="258"/>
    </row>
    <row r="376" spans="1:20" ht="21">
      <c r="A376" s="75" t="s">
        <v>429</v>
      </c>
      <c r="B376" s="76"/>
      <c r="C376" s="77" t="s">
        <v>126</v>
      </c>
      <c r="D376" s="78"/>
      <c r="E376" s="78" t="s">
        <v>450</v>
      </c>
      <c r="F376" s="121" t="s">
        <v>451</v>
      </c>
      <c r="G376" s="79">
        <v>39196</v>
      </c>
      <c r="H376" s="80">
        <v>39198</v>
      </c>
      <c r="I376" s="95" t="s">
        <v>177</v>
      </c>
      <c r="J376" s="122"/>
      <c r="K376" s="122"/>
      <c r="L376" s="123">
        <v>106.8</v>
      </c>
      <c r="M376" s="128"/>
      <c r="N376" s="128"/>
      <c r="O376" s="125"/>
      <c r="P376" s="124"/>
      <c r="Q376" s="124"/>
      <c r="R376" s="125"/>
      <c r="S376" s="257" t="s">
        <v>535</v>
      </c>
      <c r="T376" s="258"/>
    </row>
    <row r="377" spans="1:20" ht="21">
      <c r="A377" s="75" t="s">
        <v>429</v>
      </c>
      <c r="B377" s="76"/>
      <c r="C377" s="77" t="s">
        <v>126</v>
      </c>
      <c r="D377" s="78"/>
      <c r="E377" s="78" t="s">
        <v>452</v>
      </c>
      <c r="F377" s="121" t="s">
        <v>453</v>
      </c>
      <c r="G377" s="79">
        <v>39195</v>
      </c>
      <c r="H377" s="80">
        <v>39198</v>
      </c>
      <c r="I377" s="95" t="s">
        <v>177</v>
      </c>
      <c r="J377" s="122"/>
      <c r="K377" s="122"/>
      <c r="L377" s="123">
        <v>450</v>
      </c>
      <c r="M377" s="128">
        <v>450</v>
      </c>
      <c r="N377" s="128"/>
      <c r="O377" s="123">
        <f>+M377+N377</f>
        <v>450</v>
      </c>
      <c r="P377" s="83">
        <f aca="true" t="shared" si="65" ref="P377:P390">M377*0.5</f>
        <v>225</v>
      </c>
      <c r="Q377" s="83"/>
      <c r="R377" s="82">
        <f aca="true" t="shared" si="66" ref="R377:R390">+Q377+P377</f>
        <v>225</v>
      </c>
      <c r="S377" s="257"/>
      <c r="T377" s="258"/>
    </row>
    <row r="378" spans="1:20" ht="21">
      <c r="A378" s="75" t="s">
        <v>429</v>
      </c>
      <c r="B378" s="76"/>
      <c r="C378" s="77" t="s">
        <v>126</v>
      </c>
      <c r="D378" s="78"/>
      <c r="E378" s="78" t="s">
        <v>454</v>
      </c>
      <c r="F378" s="121"/>
      <c r="G378" s="79">
        <v>39202</v>
      </c>
      <c r="H378" s="80">
        <v>39220</v>
      </c>
      <c r="I378" s="95" t="s">
        <v>177</v>
      </c>
      <c r="J378" s="122"/>
      <c r="K378" s="122"/>
      <c r="L378" s="123">
        <v>448.2</v>
      </c>
      <c r="M378" s="128">
        <v>366.63</v>
      </c>
      <c r="N378" s="128"/>
      <c r="O378" s="123">
        <f>+M378+N378</f>
        <v>366.63</v>
      </c>
      <c r="P378" s="83">
        <f t="shared" si="65"/>
        <v>183.315</v>
      </c>
      <c r="Q378" s="83"/>
      <c r="R378" s="82">
        <f t="shared" si="66"/>
        <v>183.315</v>
      </c>
      <c r="S378" s="257"/>
      <c r="T378" s="258"/>
    </row>
    <row r="379" spans="1:20" ht="21">
      <c r="A379" s="163" t="s">
        <v>429</v>
      </c>
      <c r="B379" s="164"/>
      <c r="C379" s="159" t="s">
        <v>50</v>
      </c>
      <c r="D379" s="78" t="s">
        <v>467</v>
      </c>
      <c r="E379" s="78" t="s">
        <v>291</v>
      </c>
      <c r="F379" s="121" t="s">
        <v>468</v>
      </c>
      <c r="G379" s="79"/>
      <c r="H379" s="80">
        <v>39206</v>
      </c>
      <c r="I379" s="95" t="s">
        <v>177</v>
      </c>
      <c r="J379" s="122"/>
      <c r="K379" s="122"/>
      <c r="L379" s="123">
        <v>201.1</v>
      </c>
      <c r="M379" s="128">
        <v>201.1</v>
      </c>
      <c r="N379" s="128"/>
      <c r="O379" s="125">
        <f aca="true" t="shared" si="67" ref="O379:O390">+N379+M379</f>
        <v>201.1</v>
      </c>
      <c r="P379" s="83">
        <f t="shared" si="65"/>
        <v>100.55</v>
      </c>
      <c r="Q379" s="83"/>
      <c r="R379" s="82">
        <f t="shared" si="66"/>
        <v>100.55</v>
      </c>
      <c r="S379" s="157"/>
      <c r="T379" s="158"/>
    </row>
    <row r="380" spans="1:20" ht="21">
      <c r="A380" s="163" t="s">
        <v>429</v>
      </c>
      <c r="B380" s="164"/>
      <c r="C380" s="159" t="s">
        <v>50</v>
      </c>
      <c r="D380" s="78" t="s">
        <v>469</v>
      </c>
      <c r="E380" s="78" t="s">
        <v>291</v>
      </c>
      <c r="F380" s="121" t="s">
        <v>470</v>
      </c>
      <c r="G380" s="79"/>
      <c r="H380" s="80">
        <v>39206</v>
      </c>
      <c r="I380" s="95" t="s">
        <v>177</v>
      </c>
      <c r="J380" s="122"/>
      <c r="K380" s="122"/>
      <c r="L380" s="123">
        <v>316.96</v>
      </c>
      <c r="M380" s="128">
        <v>316.96</v>
      </c>
      <c r="N380" s="128"/>
      <c r="O380" s="125">
        <f t="shared" si="67"/>
        <v>316.96</v>
      </c>
      <c r="P380" s="83">
        <f t="shared" si="65"/>
        <v>158.48</v>
      </c>
      <c r="Q380" s="83"/>
      <c r="R380" s="82">
        <f t="shared" si="66"/>
        <v>158.48</v>
      </c>
      <c r="S380" s="157"/>
      <c r="T380" s="158"/>
    </row>
    <row r="381" spans="1:20" ht="21">
      <c r="A381" s="163" t="s">
        <v>429</v>
      </c>
      <c r="B381" s="164"/>
      <c r="C381" s="159" t="s">
        <v>50</v>
      </c>
      <c r="D381" s="78" t="s">
        <v>471</v>
      </c>
      <c r="E381" s="78" t="s">
        <v>291</v>
      </c>
      <c r="F381" s="121" t="s">
        <v>472</v>
      </c>
      <c r="G381" s="79"/>
      <c r="H381" s="80">
        <v>39206</v>
      </c>
      <c r="I381" s="95" t="s">
        <v>177</v>
      </c>
      <c r="J381" s="122"/>
      <c r="K381" s="122"/>
      <c r="L381" s="123">
        <v>309.68</v>
      </c>
      <c r="M381" s="128">
        <v>309.68</v>
      </c>
      <c r="N381" s="128"/>
      <c r="O381" s="125">
        <f t="shared" si="67"/>
        <v>309.68</v>
      </c>
      <c r="P381" s="83">
        <f t="shared" si="65"/>
        <v>154.84</v>
      </c>
      <c r="Q381" s="83"/>
      <c r="R381" s="82">
        <f t="shared" si="66"/>
        <v>154.84</v>
      </c>
      <c r="S381" s="157"/>
      <c r="T381" s="158"/>
    </row>
    <row r="382" spans="1:20" ht="21">
      <c r="A382" s="163" t="s">
        <v>429</v>
      </c>
      <c r="B382" s="164"/>
      <c r="C382" s="159" t="s">
        <v>50</v>
      </c>
      <c r="D382" s="78" t="s">
        <v>473</v>
      </c>
      <c r="E382" s="78" t="s">
        <v>291</v>
      </c>
      <c r="F382" s="121" t="s">
        <v>474</v>
      </c>
      <c r="G382" s="79"/>
      <c r="H382" s="80">
        <v>39206</v>
      </c>
      <c r="I382" s="95" t="s">
        <v>177</v>
      </c>
      <c r="J382" s="122"/>
      <c r="K382" s="122"/>
      <c r="L382" s="123">
        <v>60.44</v>
      </c>
      <c r="M382" s="128">
        <v>60.44</v>
      </c>
      <c r="N382" s="128"/>
      <c r="O382" s="125">
        <f t="shared" si="67"/>
        <v>60.44</v>
      </c>
      <c r="P382" s="83">
        <f t="shared" si="65"/>
        <v>30.22</v>
      </c>
      <c r="Q382" s="83"/>
      <c r="R382" s="82">
        <f t="shared" si="66"/>
        <v>30.22</v>
      </c>
      <c r="S382" s="157"/>
      <c r="T382" s="158"/>
    </row>
    <row r="383" spans="1:20" ht="21">
      <c r="A383" s="163" t="s">
        <v>429</v>
      </c>
      <c r="B383" s="164"/>
      <c r="C383" s="159" t="s">
        <v>50</v>
      </c>
      <c r="D383" s="78" t="s">
        <v>475</v>
      </c>
      <c r="E383" s="78" t="s">
        <v>291</v>
      </c>
      <c r="F383" s="121" t="s">
        <v>476</v>
      </c>
      <c r="G383" s="79"/>
      <c r="H383" s="80">
        <v>39206</v>
      </c>
      <c r="I383" s="95" t="s">
        <v>177</v>
      </c>
      <c r="J383" s="122"/>
      <c r="K383" s="122"/>
      <c r="L383" s="123">
        <v>52.6</v>
      </c>
      <c r="M383" s="128">
        <v>52.6</v>
      </c>
      <c r="N383" s="128"/>
      <c r="O383" s="125">
        <f t="shared" si="67"/>
        <v>52.6</v>
      </c>
      <c r="P383" s="83">
        <f t="shared" si="65"/>
        <v>26.3</v>
      </c>
      <c r="Q383" s="83"/>
      <c r="R383" s="82">
        <f t="shared" si="66"/>
        <v>26.3</v>
      </c>
      <c r="S383" s="157"/>
      <c r="T383" s="158"/>
    </row>
    <row r="384" spans="1:20" ht="21">
      <c r="A384" s="163" t="s">
        <v>429</v>
      </c>
      <c r="B384" s="164"/>
      <c r="C384" s="159" t="s">
        <v>50</v>
      </c>
      <c r="D384" s="78" t="s">
        <v>477</v>
      </c>
      <c r="E384" s="78" t="s">
        <v>291</v>
      </c>
      <c r="F384" s="121" t="s">
        <v>478</v>
      </c>
      <c r="G384" s="79"/>
      <c r="H384" s="80">
        <v>39206</v>
      </c>
      <c r="I384" s="95" t="s">
        <v>177</v>
      </c>
      <c r="J384" s="122"/>
      <c r="K384" s="122"/>
      <c r="L384" s="123">
        <v>42.92</v>
      </c>
      <c r="M384" s="128">
        <v>42.92</v>
      </c>
      <c r="N384" s="128"/>
      <c r="O384" s="125">
        <f t="shared" si="67"/>
        <v>42.92</v>
      </c>
      <c r="P384" s="83">
        <f t="shared" si="65"/>
        <v>21.46</v>
      </c>
      <c r="Q384" s="83"/>
      <c r="R384" s="82">
        <f t="shared" si="66"/>
        <v>21.46</v>
      </c>
      <c r="S384" s="157"/>
      <c r="T384" s="158"/>
    </row>
    <row r="385" spans="1:20" ht="21">
      <c r="A385" s="163" t="s">
        <v>429</v>
      </c>
      <c r="B385" s="164"/>
      <c r="C385" s="159" t="s">
        <v>50</v>
      </c>
      <c r="D385" s="78" t="s">
        <v>479</v>
      </c>
      <c r="E385" s="78" t="s">
        <v>291</v>
      </c>
      <c r="F385" s="121" t="s">
        <v>480</v>
      </c>
      <c r="G385" s="79"/>
      <c r="H385" s="80">
        <v>39206</v>
      </c>
      <c r="I385" s="95" t="s">
        <v>177</v>
      </c>
      <c r="J385" s="122"/>
      <c r="K385" s="122"/>
      <c r="L385" s="123">
        <v>45.08</v>
      </c>
      <c r="M385" s="128">
        <v>45.08</v>
      </c>
      <c r="N385" s="128"/>
      <c r="O385" s="125">
        <f t="shared" si="67"/>
        <v>45.08</v>
      </c>
      <c r="P385" s="83">
        <f t="shared" si="65"/>
        <v>22.54</v>
      </c>
      <c r="Q385" s="83"/>
      <c r="R385" s="82">
        <f t="shared" si="66"/>
        <v>22.54</v>
      </c>
      <c r="S385" s="157"/>
      <c r="T385" s="158"/>
    </row>
    <row r="386" spans="1:20" ht="21">
      <c r="A386" s="163" t="s">
        <v>429</v>
      </c>
      <c r="B386" s="164"/>
      <c r="C386" s="159" t="s">
        <v>50</v>
      </c>
      <c r="D386" s="78" t="s">
        <v>481</v>
      </c>
      <c r="E386" s="78" t="s">
        <v>291</v>
      </c>
      <c r="F386" s="121" t="s">
        <v>482</v>
      </c>
      <c r="G386" s="79"/>
      <c r="H386" s="80">
        <v>39261</v>
      </c>
      <c r="I386" s="95" t="s">
        <v>177</v>
      </c>
      <c r="J386" s="122"/>
      <c r="K386" s="122"/>
      <c r="L386" s="123">
        <v>114.5</v>
      </c>
      <c r="M386" s="128">
        <v>114.5</v>
      </c>
      <c r="N386" s="128"/>
      <c r="O386" s="125">
        <f t="shared" si="67"/>
        <v>114.5</v>
      </c>
      <c r="P386" s="83">
        <f t="shared" si="65"/>
        <v>57.25</v>
      </c>
      <c r="Q386" s="83"/>
      <c r="R386" s="82">
        <f t="shared" si="66"/>
        <v>57.25</v>
      </c>
      <c r="S386" s="157"/>
      <c r="T386" s="158"/>
    </row>
    <row r="387" spans="1:20" ht="21">
      <c r="A387" s="163" t="s">
        <v>429</v>
      </c>
      <c r="B387" s="164"/>
      <c r="C387" s="159" t="s">
        <v>50</v>
      </c>
      <c r="D387" s="78" t="s">
        <v>483</v>
      </c>
      <c r="E387" s="78" t="s">
        <v>291</v>
      </c>
      <c r="F387" s="121" t="s">
        <v>484</v>
      </c>
      <c r="G387" s="79"/>
      <c r="H387" s="80">
        <v>39261</v>
      </c>
      <c r="I387" s="95" t="s">
        <v>185</v>
      </c>
      <c r="J387" s="122">
        <v>529.5</v>
      </c>
      <c r="K387" s="122">
        <v>105.9</v>
      </c>
      <c r="L387" s="123">
        <v>49.18</v>
      </c>
      <c r="M387" s="128">
        <v>49.18</v>
      </c>
      <c r="N387" s="128"/>
      <c r="O387" s="125">
        <f t="shared" si="67"/>
        <v>49.18</v>
      </c>
      <c r="P387" s="83">
        <f t="shared" si="65"/>
        <v>24.59</v>
      </c>
      <c r="Q387" s="83"/>
      <c r="R387" s="82">
        <f t="shared" si="66"/>
        <v>24.59</v>
      </c>
      <c r="S387" s="157"/>
      <c r="T387" s="158"/>
    </row>
    <row r="388" spans="1:20" ht="21">
      <c r="A388" s="163" t="s">
        <v>429</v>
      </c>
      <c r="B388" s="164"/>
      <c r="C388" s="159" t="s">
        <v>50</v>
      </c>
      <c r="D388" s="78" t="s">
        <v>485</v>
      </c>
      <c r="E388" s="78" t="s">
        <v>486</v>
      </c>
      <c r="F388" s="121" t="s">
        <v>487</v>
      </c>
      <c r="G388" s="79"/>
      <c r="H388" s="80">
        <v>39261</v>
      </c>
      <c r="I388" s="95" t="s">
        <v>185</v>
      </c>
      <c r="J388" s="122"/>
      <c r="K388" s="122"/>
      <c r="L388" s="123">
        <v>410.88</v>
      </c>
      <c r="M388" s="128">
        <v>410.88</v>
      </c>
      <c r="N388" s="128"/>
      <c r="O388" s="125">
        <f t="shared" si="67"/>
        <v>410.88</v>
      </c>
      <c r="P388" s="83">
        <f t="shared" si="65"/>
        <v>205.44</v>
      </c>
      <c r="Q388" s="83"/>
      <c r="R388" s="82">
        <f t="shared" si="66"/>
        <v>205.44</v>
      </c>
      <c r="S388" s="157"/>
      <c r="T388" s="158"/>
    </row>
    <row r="389" spans="1:20" ht="21">
      <c r="A389" s="163" t="s">
        <v>429</v>
      </c>
      <c r="B389" s="164"/>
      <c r="C389" s="159" t="s">
        <v>50</v>
      </c>
      <c r="D389" s="78" t="s">
        <v>488</v>
      </c>
      <c r="E389" s="78" t="s">
        <v>489</v>
      </c>
      <c r="F389" s="121" t="s">
        <v>490</v>
      </c>
      <c r="G389" s="79">
        <v>39115</v>
      </c>
      <c r="H389" s="80">
        <v>39280</v>
      </c>
      <c r="I389" s="95" t="s">
        <v>185</v>
      </c>
      <c r="J389" s="122"/>
      <c r="K389" s="122"/>
      <c r="L389" s="123">
        <v>546</v>
      </c>
      <c r="M389" s="128">
        <v>546</v>
      </c>
      <c r="N389" s="128"/>
      <c r="O389" s="125">
        <f t="shared" si="67"/>
        <v>546</v>
      </c>
      <c r="P389" s="83">
        <f t="shared" si="65"/>
        <v>273</v>
      </c>
      <c r="Q389" s="83"/>
      <c r="R389" s="82">
        <f t="shared" si="66"/>
        <v>273</v>
      </c>
      <c r="S389" s="257"/>
      <c r="T389" s="258"/>
    </row>
    <row r="390" spans="1:20" ht="21">
      <c r="A390" s="163" t="s">
        <v>429</v>
      </c>
      <c r="B390" s="164"/>
      <c r="C390" s="159" t="s">
        <v>50</v>
      </c>
      <c r="D390" s="78" t="s">
        <v>491</v>
      </c>
      <c r="E390" s="78" t="s">
        <v>492</v>
      </c>
      <c r="F390" s="121" t="s">
        <v>493</v>
      </c>
      <c r="G390" s="79"/>
      <c r="H390" s="80">
        <v>39258</v>
      </c>
      <c r="I390" s="95" t="s">
        <v>185</v>
      </c>
      <c r="J390" s="122"/>
      <c r="K390" s="122"/>
      <c r="L390" s="123">
        <v>900</v>
      </c>
      <c r="M390" s="128">
        <v>900</v>
      </c>
      <c r="N390" s="128"/>
      <c r="O390" s="125">
        <f t="shared" si="67"/>
        <v>900</v>
      </c>
      <c r="P390" s="83">
        <f t="shared" si="65"/>
        <v>450</v>
      </c>
      <c r="Q390" s="83"/>
      <c r="R390" s="82">
        <f t="shared" si="66"/>
        <v>450</v>
      </c>
      <c r="S390" s="157"/>
      <c r="T390" s="158"/>
    </row>
    <row r="391" spans="1:20" ht="21">
      <c r="A391" s="163" t="s">
        <v>429</v>
      </c>
      <c r="B391" s="164"/>
      <c r="C391" s="159" t="s">
        <v>50</v>
      </c>
      <c r="D391" s="78" t="s">
        <v>494</v>
      </c>
      <c r="E391" s="78" t="s">
        <v>495</v>
      </c>
      <c r="F391" s="121" t="s">
        <v>496</v>
      </c>
      <c r="G391" s="79">
        <v>39156</v>
      </c>
      <c r="H391" s="80">
        <v>39226</v>
      </c>
      <c r="I391" s="95" t="s">
        <v>185</v>
      </c>
      <c r="J391" s="122"/>
      <c r="K391" s="122"/>
      <c r="L391" s="123">
        <v>400.8</v>
      </c>
      <c r="M391" s="128"/>
      <c r="N391" s="128"/>
      <c r="O391" s="125"/>
      <c r="P391" s="124"/>
      <c r="Q391" s="124"/>
      <c r="R391" s="125"/>
      <c r="S391" s="257" t="s">
        <v>535</v>
      </c>
      <c r="T391" s="258"/>
    </row>
    <row r="392" spans="1:20" ht="30.75" customHeight="1">
      <c r="A392" s="163" t="s">
        <v>429</v>
      </c>
      <c r="B392" s="164"/>
      <c r="C392" s="77" t="s">
        <v>337</v>
      </c>
      <c r="D392" s="78"/>
      <c r="E392" s="78"/>
      <c r="F392" s="121"/>
      <c r="G392" s="79"/>
      <c r="H392" s="80"/>
      <c r="I392" s="95"/>
      <c r="J392" s="122">
        <v>769.79</v>
      </c>
      <c r="K392" s="122"/>
      <c r="L392" s="123">
        <f>+K392+J392</f>
        <v>769.79</v>
      </c>
      <c r="M392" s="122">
        <v>769.79</v>
      </c>
      <c r="N392" s="128"/>
      <c r="O392" s="125">
        <f>+N392+M392</f>
        <v>769.79</v>
      </c>
      <c r="P392" s="83">
        <f>M392*0.5</f>
        <v>384.895</v>
      </c>
      <c r="Q392" s="83"/>
      <c r="R392" s="82">
        <f>+Q392+P392</f>
        <v>384.895</v>
      </c>
      <c r="S392" s="257" t="s">
        <v>536</v>
      </c>
      <c r="T392" s="258"/>
    </row>
    <row r="393" spans="1:20" ht="21">
      <c r="A393" s="163" t="s">
        <v>498</v>
      </c>
      <c r="B393" s="164"/>
      <c r="C393" s="159" t="s">
        <v>50</v>
      </c>
      <c r="D393" s="78" t="s">
        <v>491</v>
      </c>
      <c r="E393" s="78" t="s">
        <v>492</v>
      </c>
      <c r="F393" s="121" t="s">
        <v>519</v>
      </c>
      <c r="G393" s="79"/>
      <c r="H393" s="80">
        <v>39365</v>
      </c>
      <c r="I393" s="95" t="s">
        <v>185</v>
      </c>
      <c r="J393" s="122"/>
      <c r="K393" s="122"/>
      <c r="L393" s="123">
        <v>101.47</v>
      </c>
      <c r="M393" s="128">
        <v>101.47</v>
      </c>
      <c r="N393" s="128"/>
      <c r="O393" s="125">
        <f>+N393+M393</f>
        <v>101.47</v>
      </c>
      <c r="P393" s="83">
        <f>M393*0.5</f>
        <v>50.735</v>
      </c>
      <c r="Q393" s="83"/>
      <c r="R393" s="82">
        <f>+Q393+P393</f>
        <v>50.735</v>
      </c>
      <c r="S393" s="157"/>
      <c r="T393" s="158"/>
    </row>
    <row r="394" spans="1:20" ht="21">
      <c r="A394" s="163" t="s">
        <v>498</v>
      </c>
      <c r="B394" s="164"/>
      <c r="C394" s="159" t="s">
        <v>50</v>
      </c>
      <c r="D394" s="78" t="s">
        <v>520</v>
      </c>
      <c r="E394" s="78" t="s">
        <v>486</v>
      </c>
      <c r="F394" s="121" t="s">
        <v>521</v>
      </c>
      <c r="G394" s="79"/>
      <c r="H394" s="80">
        <v>39339</v>
      </c>
      <c r="I394" s="95" t="s">
        <v>185</v>
      </c>
      <c r="J394" s="122"/>
      <c r="K394" s="122"/>
      <c r="L394" s="123">
        <v>14</v>
      </c>
      <c r="M394" s="128"/>
      <c r="N394" s="128"/>
      <c r="O394" s="125"/>
      <c r="P394" s="124"/>
      <c r="Q394" s="124"/>
      <c r="R394" s="125"/>
      <c r="S394" s="257" t="s">
        <v>541</v>
      </c>
      <c r="T394" s="258"/>
    </row>
    <row r="395" spans="1:20" ht="21">
      <c r="A395" s="163" t="s">
        <v>498</v>
      </c>
      <c r="B395" s="164"/>
      <c r="C395" s="159" t="s">
        <v>50</v>
      </c>
      <c r="D395" s="78" t="s">
        <v>522</v>
      </c>
      <c r="E395" s="78" t="s">
        <v>368</v>
      </c>
      <c r="F395" s="121" t="s">
        <v>523</v>
      </c>
      <c r="G395" s="79"/>
      <c r="H395" s="80">
        <v>39393</v>
      </c>
      <c r="I395" s="95" t="s">
        <v>185</v>
      </c>
      <c r="J395" s="122"/>
      <c r="K395" s="122"/>
      <c r="L395" s="123">
        <v>506.63</v>
      </c>
      <c r="M395" s="128">
        <v>506.63</v>
      </c>
      <c r="N395" s="128"/>
      <c r="O395" s="125">
        <f>+N395+M395</f>
        <v>506.63</v>
      </c>
      <c r="P395" s="83">
        <f>M395*0.5</f>
        <v>253.315</v>
      </c>
      <c r="Q395" s="83"/>
      <c r="R395" s="82">
        <f>+Q395+P395</f>
        <v>253.315</v>
      </c>
      <c r="S395" s="157"/>
      <c r="T395" s="158"/>
    </row>
    <row r="396" spans="1:20" ht="21">
      <c r="A396" s="163" t="s">
        <v>498</v>
      </c>
      <c r="B396" s="164"/>
      <c r="C396" s="159" t="s">
        <v>50</v>
      </c>
      <c r="D396" s="78" t="s">
        <v>522</v>
      </c>
      <c r="E396" s="78" t="s">
        <v>282</v>
      </c>
      <c r="F396" s="121" t="s">
        <v>524</v>
      </c>
      <c r="G396" s="79"/>
      <c r="H396" s="80" t="s">
        <v>525</v>
      </c>
      <c r="I396" s="95" t="s">
        <v>185</v>
      </c>
      <c r="J396" s="122"/>
      <c r="K396" s="122"/>
      <c r="L396" s="123">
        <v>448.63</v>
      </c>
      <c r="M396" s="128">
        <v>448.63</v>
      </c>
      <c r="N396" s="128"/>
      <c r="O396" s="125">
        <f>+N396+M396</f>
        <v>448.63</v>
      </c>
      <c r="P396" s="83">
        <f>M396*0.5</f>
        <v>224.315</v>
      </c>
      <c r="Q396" s="83"/>
      <c r="R396" s="82">
        <f>+Q396+P396</f>
        <v>224.315</v>
      </c>
      <c r="S396" s="157"/>
      <c r="T396" s="158"/>
    </row>
    <row r="397" spans="1:20" ht="10.5">
      <c r="A397" s="75"/>
      <c r="B397" s="76"/>
      <c r="C397" s="77"/>
      <c r="D397" s="78"/>
      <c r="E397" s="78"/>
      <c r="F397" s="121"/>
      <c r="G397" s="79"/>
      <c r="H397" s="80"/>
      <c r="I397" s="95"/>
      <c r="J397" s="122"/>
      <c r="K397" s="122"/>
      <c r="L397" s="123"/>
      <c r="M397" s="128"/>
      <c r="N397" s="128"/>
      <c r="O397" s="125"/>
      <c r="P397" s="124"/>
      <c r="Q397" s="124"/>
      <c r="R397" s="125"/>
      <c r="S397" s="157"/>
      <c r="T397" s="158"/>
    </row>
    <row r="398" spans="1:20" ht="10.5">
      <c r="A398" s="75"/>
      <c r="B398" s="76"/>
      <c r="C398" s="77"/>
      <c r="D398" s="78"/>
      <c r="E398" s="78"/>
      <c r="F398" s="121"/>
      <c r="G398" s="79"/>
      <c r="H398" s="80"/>
      <c r="I398" s="95"/>
      <c r="J398" s="122"/>
      <c r="K398" s="122"/>
      <c r="L398" s="123"/>
      <c r="M398" s="128"/>
      <c r="N398" s="128"/>
      <c r="O398" s="125"/>
      <c r="P398" s="124"/>
      <c r="Q398" s="124"/>
      <c r="R398" s="125"/>
      <c r="S398" s="257"/>
      <c r="T398" s="258"/>
    </row>
  </sheetData>
  <sheetProtection/>
  <mergeCells count="268">
    <mergeCell ref="S324:T325"/>
    <mergeCell ref="S326:T326"/>
    <mergeCell ref="S43:T43"/>
    <mergeCell ref="S334:T334"/>
    <mergeCell ref="S315:T315"/>
    <mergeCell ref="S292:T292"/>
    <mergeCell ref="S225:T225"/>
    <mergeCell ref="S226:T226"/>
    <mergeCell ref="S227:T227"/>
    <mergeCell ref="S233:T233"/>
    <mergeCell ref="S42:T42"/>
    <mergeCell ref="S74:T74"/>
    <mergeCell ref="S111:T111"/>
    <mergeCell ref="S112:T112"/>
    <mergeCell ref="S55:T55"/>
    <mergeCell ref="S68:T68"/>
    <mergeCell ref="S71:T71"/>
    <mergeCell ref="S75:T75"/>
    <mergeCell ref="S76:T76"/>
    <mergeCell ref="S47:T47"/>
    <mergeCell ref="S40:T40"/>
    <mergeCell ref="S41:T41"/>
    <mergeCell ref="S323:T323"/>
    <mergeCell ref="S322:T322"/>
    <mergeCell ref="S321:T321"/>
    <mergeCell ref="S316:T316"/>
    <mergeCell ref="S317:T317"/>
    <mergeCell ref="S318:T318"/>
    <mergeCell ref="S319:T319"/>
    <mergeCell ref="S320:T320"/>
    <mergeCell ref="S31:T31"/>
    <mergeCell ref="S32:T32"/>
    <mergeCell ref="S224:T224"/>
    <mergeCell ref="S219:T219"/>
    <mergeCell ref="S221:T221"/>
    <mergeCell ref="S222:T222"/>
    <mergeCell ref="S206:T206"/>
    <mergeCell ref="S211:T211"/>
    <mergeCell ref="S212:T212"/>
    <mergeCell ref="S127:T127"/>
    <mergeCell ref="S28:T28"/>
    <mergeCell ref="S290:T290"/>
    <mergeCell ref="S291:T291"/>
    <mergeCell ref="S201:T201"/>
    <mergeCell ref="S223:T223"/>
    <mergeCell ref="S213:T213"/>
    <mergeCell ref="S214:T214"/>
    <mergeCell ref="S215:T215"/>
    <mergeCell ref="S216:T216"/>
    <mergeCell ref="S231:T231"/>
    <mergeCell ref="S232:T232"/>
    <mergeCell ref="S29:T29"/>
    <mergeCell ref="S210:T210"/>
    <mergeCell ref="S30:T30"/>
    <mergeCell ref="S205:T205"/>
    <mergeCell ref="S207:T207"/>
    <mergeCell ref="S209:T209"/>
    <mergeCell ref="S208:T208"/>
    <mergeCell ref="S114:T114"/>
    <mergeCell ref="S196:T196"/>
    <mergeCell ref="S155:T155"/>
    <mergeCell ref="S229:T229"/>
    <mergeCell ref="S230:T230"/>
    <mergeCell ref="S192:T192"/>
    <mergeCell ref="S172:T172"/>
    <mergeCell ref="A57:L57"/>
    <mergeCell ref="S189:T189"/>
    <mergeCell ref="S173:T173"/>
    <mergeCell ref="S96:T96"/>
    <mergeCell ref="S109:T109"/>
    <mergeCell ref="S110:T110"/>
    <mergeCell ref="A137:L137"/>
    <mergeCell ref="A117:B126"/>
    <mergeCell ref="A178:L178"/>
    <mergeCell ref="S149:T149"/>
    <mergeCell ref="A162:B171"/>
    <mergeCell ref="C162:K162"/>
    <mergeCell ref="C171:K171"/>
    <mergeCell ref="S176:T176"/>
    <mergeCell ref="S175:T175"/>
    <mergeCell ref="A1:T1"/>
    <mergeCell ref="A13:B22"/>
    <mergeCell ref="S23:T23"/>
    <mergeCell ref="E2:F2"/>
    <mergeCell ref="E3:F3"/>
    <mergeCell ref="E4:F4"/>
    <mergeCell ref="E5:F5"/>
    <mergeCell ref="C12:L12"/>
    <mergeCell ref="A138:B147"/>
    <mergeCell ref="A58:B67"/>
    <mergeCell ref="C58:K58"/>
    <mergeCell ref="C67:K67"/>
    <mergeCell ref="A98:L98"/>
    <mergeCell ref="A116:L116"/>
    <mergeCell ref="C108:K108"/>
    <mergeCell ref="S24:T24"/>
    <mergeCell ref="A179:B188"/>
    <mergeCell ref="C179:K179"/>
    <mergeCell ref="C188:K188"/>
    <mergeCell ref="A99:B108"/>
    <mergeCell ref="C99:K99"/>
    <mergeCell ref="C138:K138"/>
    <mergeCell ref="A161:L161"/>
    <mergeCell ref="C117:K117"/>
    <mergeCell ref="C126:K126"/>
    <mergeCell ref="S285:T285"/>
    <mergeCell ref="S25:T25"/>
    <mergeCell ref="S26:T26"/>
    <mergeCell ref="S27:T27"/>
    <mergeCell ref="S135:T135"/>
    <mergeCell ref="S128:T128"/>
    <mergeCell ref="S69:T69"/>
    <mergeCell ref="S70:T70"/>
    <mergeCell ref="S148:T148"/>
    <mergeCell ref="S193:T193"/>
    <mergeCell ref="S37:T37"/>
    <mergeCell ref="S273:T273"/>
    <mergeCell ref="S274:T274"/>
    <mergeCell ref="S255:T255"/>
    <mergeCell ref="S198:T198"/>
    <mergeCell ref="S197:T197"/>
    <mergeCell ref="S159:T159"/>
    <mergeCell ref="S191:T191"/>
    <mergeCell ref="S194:T194"/>
    <mergeCell ref="S195:T195"/>
    <mergeCell ref="S33:T33"/>
    <mergeCell ref="S34:T34"/>
    <mergeCell ref="S35:T35"/>
    <mergeCell ref="S36:T36"/>
    <mergeCell ref="S286:T286"/>
    <mergeCell ref="S275:T275"/>
    <mergeCell ref="S276:T276"/>
    <mergeCell ref="S277:T277"/>
    <mergeCell ref="S278:T278"/>
    <mergeCell ref="S279:T279"/>
    <mergeCell ref="S280:T280"/>
    <mergeCell ref="S281:T281"/>
    <mergeCell ref="S282:T282"/>
    <mergeCell ref="S283:T283"/>
    <mergeCell ref="S284:T284"/>
    <mergeCell ref="S287:T287"/>
    <mergeCell ref="S252:T252"/>
    <mergeCell ref="S246:T246"/>
    <mergeCell ref="S247:T247"/>
    <mergeCell ref="S248:T248"/>
    <mergeCell ref="S249:T249"/>
    <mergeCell ref="S250:T250"/>
    <mergeCell ref="S251:T251"/>
    <mergeCell ref="S253:T253"/>
    <mergeCell ref="S265:T265"/>
    <mergeCell ref="S266:T266"/>
    <mergeCell ref="S267:T267"/>
    <mergeCell ref="S256:T256"/>
    <mergeCell ref="S257:T257"/>
    <mergeCell ref="S258:T258"/>
    <mergeCell ref="S259:T259"/>
    <mergeCell ref="S260:T260"/>
    <mergeCell ref="S261:T261"/>
    <mergeCell ref="S288:T288"/>
    <mergeCell ref="S239:T239"/>
    <mergeCell ref="S240:T240"/>
    <mergeCell ref="S241:T241"/>
    <mergeCell ref="S242:T242"/>
    <mergeCell ref="S243:T243"/>
    <mergeCell ref="S244:T244"/>
    <mergeCell ref="S262:T262"/>
    <mergeCell ref="S263:T263"/>
    <mergeCell ref="S264:T264"/>
    <mergeCell ref="S272:T272"/>
    <mergeCell ref="S228:T228"/>
    <mergeCell ref="S72:T72"/>
    <mergeCell ref="S73:T73"/>
    <mergeCell ref="S234:T234"/>
    <mergeCell ref="S235:T235"/>
    <mergeCell ref="S236:T236"/>
    <mergeCell ref="S237:T237"/>
    <mergeCell ref="S238:T238"/>
    <mergeCell ref="S254:T254"/>
    <mergeCell ref="S268:T268"/>
    <mergeCell ref="S269:T269"/>
    <mergeCell ref="S270:T270"/>
    <mergeCell ref="S271:T271"/>
    <mergeCell ref="S38:T38"/>
    <mergeCell ref="S190:T190"/>
    <mergeCell ref="S296:T296"/>
    <mergeCell ref="S39:T39"/>
    <mergeCell ref="S129:T129"/>
    <mergeCell ref="S293:T293"/>
    <mergeCell ref="S294:T294"/>
    <mergeCell ref="S295:T295"/>
    <mergeCell ref="S245:T245"/>
    <mergeCell ref="S289:T289"/>
    <mergeCell ref="S299:T299"/>
    <mergeCell ref="S301:T301"/>
    <mergeCell ref="S302:T302"/>
    <mergeCell ref="S303:T303"/>
    <mergeCell ref="S306:T306"/>
    <mergeCell ref="S300:T300"/>
    <mergeCell ref="S313:T313"/>
    <mergeCell ref="S398:T398"/>
    <mergeCell ref="S304:T304"/>
    <mergeCell ref="S305:T305"/>
    <mergeCell ref="S307:T307"/>
    <mergeCell ref="S311:T311"/>
    <mergeCell ref="S312:T312"/>
    <mergeCell ref="S335:T335"/>
    <mergeCell ref="S352:T367"/>
    <mergeCell ref="S44:T44"/>
    <mergeCell ref="S46:T46"/>
    <mergeCell ref="S348:T348"/>
    <mergeCell ref="S45:T45"/>
    <mergeCell ref="S130:T130"/>
    <mergeCell ref="S150:T150"/>
    <mergeCell ref="S151:T151"/>
    <mergeCell ref="S309:T309"/>
    <mergeCell ref="S310:T310"/>
    <mergeCell ref="S345:T345"/>
    <mergeCell ref="S347:T347"/>
    <mergeCell ref="S79:T79"/>
    <mergeCell ref="S80:T80"/>
    <mergeCell ref="S81:T81"/>
    <mergeCell ref="S131:T131"/>
    <mergeCell ref="S174:T174"/>
    <mergeCell ref="S158:T158"/>
    <mergeCell ref="S297:T297"/>
    <mergeCell ref="S308:T308"/>
    <mergeCell ref="S368:T368"/>
    <mergeCell ref="S369:T369"/>
    <mergeCell ref="S370:T370"/>
    <mergeCell ref="S371:T371"/>
    <mergeCell ref="S377:T377"/>
    <mergeCell ref="S378:T378"/>
    <mergeCell ref="S392:T392"/>
    <mergeCell ref="S373:T373"/>
    <mergeCell ref="S374:T374"/>
    <mergeCell ref="S375:T375"/>
    <mergeCell ref="S376:T376"/>
    <mergeCell ref="S391:T391"/>
    <mergeCell ref="S389:T389"/>
    <mergeCell ref="S372:T372"/>
    <mergeCell ref="S48:T48"/>
    <mergeCell ref="S152:T152"/>
    <mergeCell ref="S153:T153"/>
    <mergeCell ref="S154:T154"/>
    <mergeCell ref="S50:T50"/>
    <mergeCell ref="S53:T53"/>
    <mergeCell ref="S134:T134"/>
    <mergeCell ref="S85:T85"/>
    <mergeCell ref="S82:T82"/>
    <mergeCell ref="S49:T49"/>
    <mergeCell ref="S394:T394"/>
    <mergeCell ref="S86:T86"/>
    <mergeCell ref="S87:T87"/>
    <mergeCell ref="S88:T88"/>
    <mergeCell ref="S89:T89"/>
    <mergeCell ref="S90:T90"/>
    <mergeCell ref="S91:T91"/>
    <mergeCell ref="S156:T156"/>
    <mergeCell ref="S157:T157"/>
    <mergeCell ref="S92:T92"/>
    <mergeCell ref="S93:T93"/>
    <mergeCell ref="S94:T94"/>
    <mergeCell ref="S51:T51"/>
    <mergeCell ref="S52:T52"/>
    <mergeCell ref="S83:T83"/>
    <mergeCell ref="S84:T84"/>
    <mergeCell ref="S77:T77"/>
    <mergeCell ref="S78:T78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2009-06-25T10:11:45Z</cp:lastPrinted>
  <dcterms:created xsi:type="dcterms:W3CDTF">2005-04-28T08:10:49Z</dcterms:created>
  <dcterms:modified xsi:type="dcterms:W3CDTF">2009-06-25T13:27:25Z</dcterms:modified>
  <cp:category/>
  <cp:version/>
  <cp:contentType/>
  <cp:contentStatus/>
</cp:coreProperties>
</file>