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Complessivo" sheetId="2" r:id="rId2"/>
  </sheets>
  <definedNames>
    <definedName name="_xlnm.Print_Area" localSheetId="1">'Complessivo'!$A$1:$T$214</definedName>
    <definedName name="_xlnm.Print_Titles" localSheetId="1">'Complessivo'!$1:$1</definedName>
  </definedNames>
  <calcPr fullCalcOnLoad="1"/>
</workbook>
</file>

<file path=xl/comments2.xml><?xml version="1.0" encoding="utf-8"?>
<comments xmlns="http://schemas.openxmlformats.org/spreadsheetml/2006/main">
  <authors>
    <author>.</author>
  </authors>
  <commentList>
    <comment ref="S155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15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15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16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16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16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16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15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15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159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16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15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15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rendicontato nel II sal ma riconosciuto nel III perché mancava la documentazione</t>
        </r>
      </text>
    </comment>
    <comment ref="S149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rendicontato nel II sal ma riconosciuto nel III perché mancava la documentazione</t>
        </r>
      </text>
    </comment>
    <comment ref="S14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rendicontato nel II sal ma riconosciuto nel III perché mancava la documentazione</t>
        </r>
      </text>
    </comment>
    <comment ref="S15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rendicontato nel II sal ma riconosciuto nel III perché mancava la documentazione</t>
        </r>
      </text>
    </comment>
    <comment ref="S15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rendicontato nel II sal ma riconosciuto nel III perché mancava la documentazione</t>
        </r>
      </text>
    </comment>
    <comment ref="S4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la documentazione 22/02/07 Ok Contratto, fattura, pagamento</t>
        </r>
      </text>
    </comment>
    <comment ref="S4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la documentazione 22/02/07 Ok Contratto, fattura, pagamento</t>
        </r>
      </text>
    </comment>
    <comment ref="S4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la documentazione 22/02/07 Ok Contratto, fattura, pagamento</t>
        </r>
      </text>
    </comment>
  </commentList>
</comments>
</file>

<file path=xl/sharedStrings.xml><?xml version="1.0" encoding="utf-8"?>
<sst xmlns="http://schemas.openxmlformats.org/spreadsheetml/2006/main" count="1068" uniqueCount="308">
  <si>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</si>
  <si>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</si>
  <si>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</si>
  <si>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</si>
  <si>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</si>
  <si>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</si>
  <si>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</si>
  <si>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</si>
  <si>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</si>
  <si>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</si>
  <si>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</si>
  <si>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</si>
  <si>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</si>
  <si>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</si>
  <si>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</si>
  <si>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</si>
  <si>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</si>
  <si>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</si>
  <si>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</si>
  <si>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</si>
  <si>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</si>
  <si>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</si>
  <si>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</si>
  <si>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</si>
  <si>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</si>
  <si>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</si>
  <si>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</si>
  <si>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Note</t>
  </si>
  <si>
    <t>SAL 1</t>
  </si>
  <si>
    <t>TOT GEN</t>
  </si>
  <si>
    <t>TOT SAL 1</t>
  </si>
  <si>
    <t>TOT SAL 2</t>
  </si>
  <si>
    <t>Avvio PR</t>
  </si>
  <si>
    <t>TOT PROGETTO=</t>
  </si>
  <si>
    <t>CONTRIBUTO=</t>
  </si>
  <si>
    <t>CONTRIBUTO IVA=</t>
  </si>
  <si>
    <t>TOT CONTRIBUTO=</t>
  </si>
  <si>
    <t>IVA=</t>
  </si>
  <si>
    <t>Res IVA=</t>
  </si>
  <si>
    <t>Iva Ammessa</t>
  </si>
  <si>
    <t>Totale costi ammessi</t>
  </si>
  <si>
    <t>Contributo iva</t>
  </si>
  <si>
    <t>TOT CONTR</t>
  </si>
  <si>
    <t>Spesa ammessa</t>
  </si>
  <si>
    <t>Iva ammessa</t>
  </si>
  <si>
    <t>TOT ammes</t>
  </si>
  <si>
    <t>Contrib. Costi</t>
  </si>
  <si>
    <t>Contrib. Iva</t>
  </si>
  <si>
    <t>Ordine dei Medici Chirurghi e degli Odontoiatri della Provincia di Lecce  41 - RIEPILOGO SPESE</t>
  </si>
  <si>
    <t>HEALT NET COMMUNITY</t>
  </si>
  <si>
    <t>Università di Lecce</t>
  </si>
  <si>
    <t>N.ro 15 dipendenti</t>
  </si>
  <si>
    <t>Bruno, Quarta, Spedicato</t>
  </si>
  <si>
    <t>S.O.IN. 2000 srl</t>
  </si>
  <si>
    <t>PIGNATELLI srl</t>
  </si>
  <si>
    <t>Pignatelli, Leone, Pellegrino</t>
  </si>
  <si>
    <t>Non ammessi costi del legale rappresentante</t>
  </si>
  <si>
    <t>Beraldi, Guerriero, Legato, Musmanno</t>
  </si>
  <si>
    <t>Telefono</t>
  </si>
  <si>
    <t>Telecom Italia</t>
  </si>
  <si>
    <t>addebito su conto corrente postale San Paolo IMI S.P.A.</t>
  </si>
  <si>
    <t>Affitto</t>
  </si>
  <si>
    <t>Imalto s.r.l.</t>
  </si>
  <si>
    <t xml:space="preserve">bonifico bancario </t>
  </si>
  <si>
    <t>8S00954478</t>
  </si>
  <si>
    <t>Energia Elettrica</t>
  </si>
  <si>
    <t>Enel</t>
  </si>
  <si>
    <t>Affitto (canone di locazione del mese di settembre)</t>
  </si>
  <si>
    <t>Affitto (canone di locazione del mese di ottobre)</t>
  </si>
  <si>
    <t>Gas (3° trimestre 2005)</t>
  </si>
  <si>
    <t xml:space="preserve">Enel Gas </t>
  </si>
  <si>
    <t xml:space="preserve">Condominio (luglio - settembre 2005), (ottobre 2005) </t>
  </si>
  <si>
    <t>Mario Cauzzo (Amministrazioni condominiali)</t>
  </si>
  <si>
    <t>contanti</t>
  </si>
  <si>
    <t>4222205-800191190</t>
  </si>
  <si>
    <t>7501625-52211267</t>
  </si>
  <si>
    <t>38400-5148251</t>
  </si>
  <si>
    <t>Non ammesso contanti</t>
  </si>
  <si>
    <t>II</t>
  </si>
  <si>
    <t>IVA Ammessa</t>
  </si>
  <si>
    <t>Totale ammesso</t>
  </si>
  <si>
    <t>IVA Contributo</t>
  </si>
  <si>
    <t>Totale Contributo</t>
  </si>
  <si>
    <t>Anticip. corrisposta</t>
  </si>
  <si>
    <t>Liquidazione s.a.l.</t>
  </si>
  <si>
    <t>Totale</t>
  </si>
  <si>
    <t>IVA ESPOSTA</t>
  </si>
  <si>
    <t>DATE</t>
  </si>
  <si>
    <t>ISTRUTTORI</t>
  </si>
  <si>
    <t>FIRME</t>
  </si>
  <si>
    <t>inizio</t>
  </si>
  <si>
    <t>fine</t>
  </si>
  <si>
    <t>progetto di 12 mesi + 6 di proroga</t>
  </si>
  <si>
    <t>SAL 1  26/07/2005 - 31/10/2005</t>
  </si>
  <si>
    <t>Pignatelli, Leone, Pellegrino, Grasso, Pinca</t>
  </si>
  <si>
    <t>SAL 2  01/11/2005 - 31/03/2006</t>
  </si>
  <si>
    <t>RIMBORSO SPESE VIAGGIO</t>
  </si>
  <si>
    <t>AUTOSTRADE</t>
  </si>
  <si>
    <t>17409202/D</t>
  </si>
  <si>
    <t>DINERS CLUB</t>
  </si>
  <si>
    <t>19165702/D</t>
  </si>
  <si>
    <t>VIGILANZA</t>
  </si>
  <si>
    <t>VELIALPOL</t>
  </si>
  <si>
    <t>A/74143</t>
  </si>
  <si>
    <t>CONTANTI</t>
  </si>
  <si>
    <t>A/74144</t>
  </si>
  <si>
    <t>LUCE DIC 2005</t>
  </si>
  <si>
    <t>EDISON</t>
  </si>
  <si>
    <t>FS-GC-2011-7681</t>
  </si>
  <si>
    <t>BONIFICO</t>
  </si>
  <si>
    <t>TELEFONO</t>
  </si>
  <si>
    <t>WIND</t>
  </si>
  <si>
    <t>2006T00185868</t>
  </si>
  <si>
    <t>LUCE GENNAIO 2006</t>
  </si>
  <si>
    <t>FS-GC-2011-18353</t>
  </si>
  <si>
    <t>LUCE FEBB 2006</t>
  </si>
  <si>
    <t>FS-GC-2011-30157</t>
  </si>
  <si>
    <t>A/5171</t>
  </si>
  <si>
    <t>A/5172</t>
  </si>
  <si>
    <t>A/9973</t>
  </si>
  <si>
    <t>A/9974</t>
  </si>
  <si>
    <t>ORDINE MEDICI LECCE</t>
  </si>
  <si>
    <t>Bofantini, Basile</t>
  </si>
  <si>
    <t>GAS</t>
  </si>
  <si>
    <t>ENELGAS</t>
  </si>
  <si>
    <t>BOLLETTINO POSTALE</t>
  </si>
  <si>
    <t>CANCELLERIA</t>
  </si>
  <si>
    <t>ZEFIRO</t>
  </si>
  <si>
    <t>TELECOM</t>
  </si>
  <si>
    <t>8S01076528</t>
  </si>
  <si>
    <t>38400 5156028</t>
  </si>
  <si>
    <t>3840 05183210</t>
  </si>
  <si>
    <t>38400 6024926</t>
  </si>
  <si>
    <t>N.ro 6 dipendenti</t>
  </si>
  <si>
    <t>8S01148460</t>
  </si>
  <si>
    <t>Condominio (novembre e dicembre 2005)</t>
  </si>
  <si>
    <t>Affitto (canone di locazione mese di Novembre 2005)</t>
  </si>
  <si>
    <t>bonifico bancario</t>
  </si>
  <si>
    <t>Spese di cancelleria</t>
  </si>
  <si>
    <t>Lyreco Italia SPA</t>
  </si>
  <si>
    <t>Affitto (canone di locazione mese di Dicembre 2005)</t>
  </si>
  <si>
    <t>8S00126588</t>
  </si>
  <si>
    <t>4222206800028236</t>
  </si>
  <si>
    <t>8S00130908</t>
  </si>
  <si>
    <t>750162552211269</t>
  </si>
  <si>
    <t>Gas (4° trimestre 2005)</t>
  </si>
  <si>
    <t>Enel Gas</t>
  </si>
  <si>
    <t>384006031531</t>
  </si>
  <si>
    <t>Affitto (canone di locazione mese di Gennaio 2006)</t>
  </si>
  <si>
    <t>02</t>
  </si>
  <si>
    <t>Condominio (gennaio-marzo 2006)</t>
  </si>
  <si>
    <t>1° rata acqua 3° trimestre 2005</t>
  </si>
  <si>
    <t>Affitto (canone di locazione mese di Febbraio 2006)</t>
  </si>
  <si>
    <t>04</t>
  </si>
  <si>
    <t>Acqua 4° trimestre 2005</t>
  </si>
  <si>
    <t>Affitto (canone di locazione mese di Marzo 2006)</t>
  </si>
  <si>
    <t>10</t>
  </si>
  <si>
    <t>8S00315136</t>
  </si>
  <si>
    <t>750162552211261</t>
  </si>
  <si>
    <t>750162 552211268</t>
  </si>
  <si>
    <t>addebitoSan Paolo IMI SPA</t>
  </si>
  <si>
    <t xml:space="preserve">Ricevuta bancaria.San Palo I.M.I. A.P.A. </t>
  </si>
  <si>
    <t>addebito San Paolo IMI SPA</t>
  </si>
  <si>
    <t>Beraldi, Grandinett, Legato, Musmanno</t>
  </si>
  <si>
    <t>Viaggio di missione</t>
  </si>
  <si>
    <t>Bologna - Roma</t>
  </si>
  <si>
    <t>Parma</t>
  </si>
  <si>
    <t>Madrid</t>
  </si>
  <si>
    <t>Università della Calabria</t>
  </si>
  <si>
    <t>Co. Prestaz d'opera occas."Metodi e modelli per l'ottimizzazione delle risorse critiche in ambito sanitario"</t>
  </si>
  <si>
    <t>Massimo Ramundo</t>
  </si>
  <si>
    <t xml:space="preserve">Notula </t>
  </si>
  <si>
    <t>Bonifico bancario</t>
  </si>
  <si>
    <t>Co. Di Prest d'opera occas."Modellazione in UML di percorsi di cura e assistenza in relazione di patologie cronico degenerative in ambito sanitario"</t>
  </si>
  <si>
    <t>Michele Grego</t>
  </si>
  <si>
    <t>N. 2</t>
  </si>
  <si>
    <t>Co. Di Prest d'opera occas."Sviluppo di librerie di Simulazione per la valutazione delle prestazioni in ambito sanitario"</t>
  </si>
  <si>
    <t>Renato Fumarola</t>
  </si>
  <si>
    <t>Missione a Roma del 10/10/2005 di Grieco Antonio</t>
  </si>
  <si>
    <t>Mand. N. 2654-2652-2651</t>
  </si>
  <si>
    <t>Bonifico Bancario</t>
  </si>
  <si>
    <t>Missione a Roma del 21/12/2005 di Pacella Massimo</t>
  </si>
  <si>
    <t>Mand. N. 276-277</t>
  </si>
  <si>
    <t>Missioni a Brindisi del 23-28/11/2005,02-05014/12/2005 di Nucci Francesco</t>
  </si>
  <si>
    <t>Mand. N. 278</t>
  </si>
  <si>
    <t>Missioni a Rende del 7-30/11/2005,del 5-9-15/12/2005,del 20/1/2006,del 3/2/2006 di Grieco Antonio</t>
  </si>
  <si>
    <t>Mand. N. 279</t>
  </si>
  <si>
    <t>Missioni a Brindisi del 28/10-28/11/2005, a Bari del 2/12/2005, a Maglie del 5/1/2006 di Grieco Antonio</t>
  </si>
  <si>
    <t>Missione dl 14/2/2006 di Bochicchio Mario</t>
  </si>
  <si>
    <t>Mand. N. 442</t>
  </si>
  <si>
    <t>PROGETTO=</t>
  </si>
  <si>
    <t>PREVISTO</t>
  </si>
  <si>
    <t>RESIDUO</t>
  </si>
  <si>
    <t>AMMESSO</t>
  </si>
  <si>
    <t>ATS</t>
  </si>
  <si>
    <t>Ordine dei medici chirurghi e Odontoiatri della Provincia di Lecce</t>
  </si>
  <si>
    <t>AUSL LE/1</t>
  </si>
  <si>
    <t>Comune di Lecce</t>
  </si>
  <si>
    <t>Università degli Studi della Calabria, Dipartimento di Elettronica, Informatica e Sistemistica</t>
  </si>
  <si>
    <t>Soluzioni Organizzative ed Informatiche 2000 SRL (SOIN 2000srl)</t>
  </si>
  <si>
    <t>Laboratorio Dr. P. Pignatelli SRL</t>
  </si>
  <si>
    <t>NOTE:</t>
  </si>
  <si>
    <t>ANTIMAFIA</t>
  </si>
  <si>
    <t>Università degli Studi di Lecce, Facoltà di Ingegneria-Dip.di Ingegneria dell'Innovazione</t>
  </si>
  <si>
    <t>Ordine dei Medici Chirurghi e degli Odontoiatri della Provincia di Lecce - COD.41</t>
  </si>
  <si>
    <t>Manca dimostrazione di pagamento e liberatoria del fornitore</t>
  </si>
  <si>
    <t>manca dimostrazione di pagamento</t>
  </si>
  <si>
    <t>Manca  liberatoria del fornitore</t>
  </si>
  <si>
    <t xml:space="preserve">fattura già rendicontata in sal precedente. </t>
  </si>
  <si>
    <t>Manca documentazione</t>
  </si>
  <si>
    <t>SAL 2</t>
  </si>
  <si>
    <t>CONTRIBUTO</t>
  </si>
  <si>
    <t>III</t>
  </si>
  <si>
    <t>Colaci, Sntoro, Leone, Pellegrino, Grasso, Pinca</t>
  </si>
  <si>
    <t>2006T000595335</t>
  </si>
  <si>
    <t>2006T000594213</t>
  </si>
  <si>
    <t>2006T000642702</t>
  </si>
  <si>
    <t>LUCE GIUGNO 2006</t>
  </si>
  <si>
    <t>FS-GC-2011-84271</t>
  </si>
  <si>
    <t>LUCE MAGGIO 2006</t>
  </si>
  <si>
    <t>FS-GC-2011-70113</t>
  </si>
  <si>
    <t>A/17008</t>
  </si>
  <si>
    <t>A/17007</t>
  </si>
  <si>
    <t>A/24309</t>
  </si>
  <si>
    <t>A/24310</t>
  </si>
  <si>
    <t>A/36640</t>
  </si>
  <si>
    <t>A/36641</t>
  </si>
  <si>
    <t>A/30589</t>
  </si>
  <si>
    <t>A/30590</t>
  </si>
  <si>
    <t>CARTUCCE PER STAMPANTI</t>
  </si>
  <si>
    <t xml:space="preserve">ARS </t>
  </si>
  <si>
    <t>A/4575</t>
  </si>
  <si>
    <t>A/2471</t>
  </si>
  <si>
    <t>A/2590</t>
  </si>
  <si>
    <t>A/4238</t>
  </si>
  <si>
    <t>A/2509</t>
  </si>
  <si>
    <t>A/2616</t>
  </si>
  <si>
    <t>CARTA</t>
  </si>
  <si>
    <t>BACKUP</t>
  </si>
  <si>
    <t>RACCOGLITORI</t>
  </si>
  <si>
    <t>BUFFETTI</t>
  </si>
  <si>
    <t>IL QUADRIFOGLIO</t>
  </si>
  <si>
    <t>SERVIZIO ASSISTENZA SW</t>
  </si>
  <si>
    <t>SVIC</t>
  </si>
  <si>
    <t>4220806 800026140</t>
  </si>
  <si>
    <t>4220806 800018950</t>
  </si>
  <si>
    <t>Spese Condominiali 2° trimestre 2006 (Aprile - Giugno 2006)</t>
  </si>
  <si>
    <t>Mario Cauzzo</t>
  </si>
  <si>
    <t>Affitto (canone di locazione mese di Aprile 2006)</t>
  </si>
  <si>
    <t>Gas (1° trimestre 2006)</t>
  </si>
  <si>
    <t>addebito su c/c bancario San Paolo IMI S.P.A.</t>
  </si>
  <si>
    <t>8S00515036</t>
  </si>
  <si>
    <t>8S00517399</t>
  </si>
  <si>
    <t>750162552211262</t>
  </si>
  <si>
    <t>Affitto (canone di locazione mese di Maggio 2006)</t>
  </si>
  <si>
    <t>Affitto (canone di locazione mese di giugno 2006)</t>
  </si>
  <si>
    <t>15</t>
  </si>
  <si>
    <t>1° rata acqua 1° trimestre 2006</t>
  </si>
  <si>
    <t>Spese Condominiali 3° trimestre 2006 (Luglio - Settembre 2006)</t>
  </si>
  <si>
    <t>390</t>
  </si>
  <si>
    <t>8S00713169</t>
  </si>
  <si>
    <t>4222206800142799</t>
  </si>
  <si>
    <t>8S00712424</t>
  </si>
  <si>
    <t>Gas (2° trimestre 2006)</t>
  </si>
  <si>
    <t>384006113227</t>
  </si>
  <si>
    <t>Affitto (canone di locazione mese di luglio 2006)</t>
  </si>
  <si>
    <t>384006 083377</t>
  </si>
  <si>
    <t>N.ro 26 dipendenti</t>
  </si>
  <si>
    <t>Co. Prestaz d'opera occas."Rapporti con regione e partner finalizzati alla redazione di un piano di valutazione economicae sociale dell'impatto dei risultati attesi dal progetto sulla struttura organizzativa esistente nell'ambito di riferimento"</t>
  </si>
  <si>
    <t>VINICIO RUSSO</t>
  </si>
  <si>
    <t>Co. Prestaz d'opera occas."Sviluppo di metodi e modelli per la pianificazione in sistemi a macchine parallele con riferimento a sistemi sanitari (Operating Rooms)"</t>
  </si>
  <si>
    <t>Anna Arigliano</t>
  </si>
  <si>
    <t>softwareILOG</t>
  </si>
  <si>
    <t>ILOG</t>
  </si>
  <si>
    <t>VEN603048</t>
  </si>
  <si>
    <t>Softwre -Crystal Reports</t>
  </si>
  <si>
    <t>Comptech srl</t>
  </si>
  <si>
    <t>19/472006</t>
  </si>
  <si>
    <t>Missione dl 21/3/2006 ad Albuquerque</t>
  </si>
  <si>
    <t>Bochicchio Mario</t>
  </si>
  <si>
    <t>Mand. N. 1014/06</t>
  </si>
  <si>
    <t>Longo Federica</t>
  </si>
  <si>
    <t>Missione a Orlando (USA) del 22/6/06</t>
  </si>
  <si>
    <t>Mand. N. 1036/06</t>
  </si>
  <si>
    <t>Missione a Milano del 28e 29/3/2006</t>
  </si>
  <si>
    <t>Anglani Alfredo</t>
  </si>
  <si>
    <t>Mand. N. 922/06</t>
  </si>
  <si>
    <t>Missione a Palermo del 21-23/3/2006</t>
  </si>
  <si>
    <t>Mand. N. 914/06</t>
  </si>
  <si>
    <t>Missione a Roma del 26/02/-01/03/2006</t>
  </si>
  <si>
    <t>Grieco Antonio</t>
  </si>
  <si>
    <t>Mand. 1404/06</t>
  </si>
  <si>
    <t>Missione a Rende del 17/02 e del 20/04/2006</t>
  </si>
  <si>
    <t>Mand. 1406/06</t>
  </si>
  <si>
    <t>Missione a Roma del 26/04/2006</t>
  </si>
  <si>
    <t>Mand. 1405/06</t>
  </si>
  <si>
    <t>SAL 3  01/04/2006 - 31/07/2006</t>
  </si>
  <si>
    <t>TOT SAL 3</t>
  </si>
  <si>
    <t>SAL 3</t>
  </si>
  <si>
    <t>contanti non ammesso</t>
  </si>
  <si>
    <t>I costi di viaggio sono ammessi solo al personale (rend.alla voce personale) in missione per il progetto</t>
  </si>
  <si>
    <t>22/02/07 Manca curriculum e timesheet</t>
  </si>
  <si>
    <t>Manca completamente la documentazione</t>
  </si>
  <si>
    <t>Manca la documentazione</t>
  </si>
  <si>
    <t>STATO DELLA DOCUMENTAZIONE TECNICA</t>
  </si>
  <si>
    <t>Relazione S.A.L. Quadrimestrale</t>
  </si>
  <si>
    <t>Rapporti Tecnici</t>
  </si>
  <si>
    <t>01/04/06-31/07/06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</si>
</sst>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dd/mm/yy"/>
    <numFmt numFmtId="175" formatCode="[$-410]dddd\ d\ mmmm\ yyyy"/>
    <numFmt numFmtId="176" formatCode="#,##0.000"/>
    <numFmt numFmtId="177" formatCode="#,##0.0000"/>
    <numFmt numFmtId="178" formatCode="h\.mm\.ss"/>
    <numFmt numFmtId="179" formatCode="dd/mm/yy;@"/>
    <numFmt numFmtId="180" formatCode="&quot;€&quot;\ #,##0.00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20"/>
      <name val="Tahoma"/>
      <family val="2"/>
    </font>
    <font>
      <sz val="8"/>
      <color indexed="10"/>
      <name val="Tahoma"/>
      <family val="2"/>
    </font>
    <font>
      <b/>
      <sz val="8"/>
      <color indexed="61"/>
      <name val="Tahoma"/>
      <family val="2"/>
    </font>
    <font>
      <b/>
      <sz val="8"/>
      <color indexed="12"/>
      <name val="Tahoma"/>
      <family val="2"/>
    </font>
    <font>
      <b/>
      <sz val="8"/>
      <color indexed="16"/>
      <name val="Tahoma"/>
      <family val="2"/>
    </font>
    <font>
      <b/>
      <sz val="8"/>
      <color indexed="17"/>
      <name val="Tahoma"/>
      <family val="2"/>
    </font>
    <font>
      <b/>
      <sz val="8"/>
      <color indexed="8"/>
      <name val="Tahoma"/>
      <family val="2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0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4" fontId="9" fillId="0" borderId="12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left"/>
    </xf>
    <xf numFmtId="4" fontId="10" fillId="0" borderId="13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1" fillId="24" borderId="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11" fillId="24" borderId="1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12" xfId="0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25" borderId="16" xfId="0" applyFont="1" applyFill="1" applyBorder="1" applyAlignment="1">
      <alignment horizontal="center"/>
    </xf>
    <xf numFmtId="0" fontId="9" fillId="24" borderId="16" xfId="0" applyFont="1" applyFill="1" applyBorder="1" applyAlignment="1">
      <alignment horizontal="center"/>
    </xf>
    <xf numFmtId="4" fontId="9" fillId="25" borderId="16" xfId="0" applyNumberFormat="1" applyFont="1" applyFill="1" applyBorder="1" applyAlignment="1">
      <alignment horizontal="center"/>
    </xf>
    <xf numFmtId="4" fontId="9" fillId="25" borderId="17" xfId="0" applyNumberFormat="1" applyFont="1" applyFill="1" applyBorder="1" applyAlignment="1">
      <alignment horizontal="center"/>
    </xf>
    <xf numFmtId="4" fontId="10" fillId="0" borderId="12" xfId="0" applyNumberFormat="1" applyFont="1" applyBorder="1" applyAlignment="1" applyProtection="1">
      <alignment horizontal="right"/>
      <protection/>
    </xf>
    <xf numFmtId="4" fontId="10" fillId="0" borderId="0" xfId="0" applyNumberFormat="1" applyFont="1" applyBorder="1" applyAlignment="1" applyProtection="1">
      <alignment horizontal="right"/>
      <protection/>
    </xf>
    <xf numFmtId="4" fontId="10" fillId="0" borderId="18" xfId="0" applyNumberFormat="1" applyFont="1" applyBorder="1" applyAlignment="1" applyProtection="1">
      <alignment horizontal="right"/>
      <protection/>
    </xf>
    <xf numFmtId="4" fontId="10" fillId="24" borderId="19" xfId="0" applyNumberFormat="1" applyFont="1" applyFill="1" applyBorder="1" applyAlignment="1" applyProtection="1">
      <alignment horizontal="right"/>
      <protection/>
    </xf>
    <xf numFmtId="4" fontId="10" fillId="0" borderId="0" xfId="0" applyNumberFormat="1" applyFont="1" applyFill="1" applyBorder="1" applyAlignment="1" applyProtection="1">
      <alignment vertical="top" wrapText="1"/>
      <protection locked="0"/>
    </xf>
    <xf numFmtId="4" fontId="10" fillId="24" borderId="10" xfId="0" applyNumberFormat="1" applyFont="1" applyFill="1" applyBorder="1" applyAlignment="1">
      <alignment/>
    </xf>
    <xf numFmtId="4" fontId="10" fillId="0" borderId="19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4" fillId="0" borderId="12" xfId="0" applyNumberFormat="1" applyFont="1" applyBorder="1" applyAlignment="1" applyProtection="1">
      <alignment horizontal="right"/>
      <protection/>
    </xf>
    <xf numFmtId="4" fontId="14" fillId="0" borderId="0" xfId="0" applyNumberFormat="1" applyFont="1" applyBorder="1" applyAlignment="1" applyProtection="1">
      <alignment horizontal="right"/>
      <protection/>
    </xf>
    <xf numFmtId="4" fontId="14" fillId="0" borderId="10" xfId="0" applyNumberFormat="1" applyFont="1" applyBorder="1" applyAlignment="1">
      <alignment/>
    </xf>
    <xf numFmtId="4" fontId="14" fillId="24" borderId="16" xfId="0" applyNumberFormat="1" applyFont="1" applyFill="1" applyBorder="1" applyAlignment="1" applyProtection="1">
      <alignment horizontal="right"/>
      <protection/>
    </xf>
    <xf numFmtId="4" fontId="14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14" fillId="0" borderId="18" xfId="0" applyNumberFormat="1" applyFont="1" applyBorder="1" applyAlignment="1" applyProtection="1">
      <alignment horizontal="right"/>
      <protection/>
    </xf>
    <xf numFmtId="4" fontId="14" fillId="24" borderId="10" xfId="0" applyNumberFormat="1" applyFont="1" applyFill="1" applyBorder="1" applyAlignment="1">
      <alignment/>
    </xf>
    <xf numFmtId="4" fontId="16" fillId="0" borderId="20" xfId="0" applyNumberFormat="1" applyFont="1" applyBorder="1" applyAlignment="1" applyProtection="1">
      <alignment horizontal="right"/>
      <protection/>
    </xf>
    <xf numFmtId="4" fontId="16" fillId="0" borderId="11" xfId="0" applyNumberFormat="1" applyFont="1" applyBorder="1" applyAlignment="1" applyProtection="1">
      <alignment horizontal="right"/>
      <protection/>
    </xf>
    <xf numFmtId="4" fontId="16" fillId="0" borderId="14" xfId="0" applyNumberFormat="1" applyFont="1" applyBorder="1" applyAlignment="1" applyProtection="1">
      <alignment horizontal="right"/>
      <protection/>
    </xf>
    <xf numFmtId="4" fontId="16" fillId="24" borderId="16" xfId="0" applyNumberFormat="1" applyFont="1" applyFill="1" applyBorder="1" applyAlignment="1" applyProtection="1">
      <alignment horizontal="right"/>
      <protection/>
    </xf>
    <xf numFmtId="4" fontId="16" fillId="0" borderId="10" xfId="0" applyNumberFormat="1" applyFont="1" applyFill="1" applyBorder="1" applyAlignment="1">
      <alignment/>
    </xf>
    <xf numFmtId="4" fontId="16" fillId="0" borderId="10" xfId="0" applyNumberFormat="1" applyFont="1" applyBorder="1" applyAlignment="1">
      <alignment/>
    </xf>
    <xf numFmtId="4" fontId="16" fillId="24" borderId="1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4" fontId="10" fillId="24" borderId="10" xfId="0" applyNumberFormat="1" applyFont="1" applyFill="1" applyBorder="1" applyAlignment="1" applyProtection="1">
      <alignment horizontal="right"/>
      <protection/>
    </xf>
    <xf numFmtId="4" fontId="10" fillId="0" borderId="19" xfId="0" applyNumberFormat="1" applyFont="1" applyFill="1" applyBorder="1" applyAlignment="1">
      <alignment/>
    </xf>
    <xf numFmtId="4" fontId="9" fillId="0" borderId="0" xfId="0" applyNumberFormat="1" applyFont="1" applyBorder="1" applyAlignment="1">
      <alignment horizontal="center"/>
    </xf>
    <xf numFmtId="4" fontId="14" fillId="24" borderId="10" xfId="0" applyNumberFormat="1" applyFont="1" applyFill="1" applyBorder="1" applyAlignment="1" applyProtection="1">
      <alignment horizontal="right"/>
      <protection/>
    </xf>
    <xf numFmtId="4" fontId="14" fillId="0" borderId="21" xfId="0" applyNumberFormat="1" applyFont="1" applyBorder="1" applyAlignment="1" applyProtection="1">
      <alignment horizontal="right"/>
      <protection/>
    </xf>
    <xf numFmtId="4" fontId="14" fillId="0" borderId="22" xfId="0" applyNumberFormat="1" applyFont="1" applyBorder="1" applyAlignment="1" applyProtection="1">
      <alignment horizontal="right"/>
      <protection/>
    </xf>
    <xf numFmtId="4" fontId="16" fillId="24" borderId="10" xfId="0" applyNumberFormat="1" applyFont="1" applyFill="1" applyBorder="1" applyAlignment="1" applyProtection="1">
      <alignment horizontal="right"/>
      <protection/>
    </xf>
    <xf numFmtId="14" fontId="6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4" fontId="14" fillId="0" borderId="17" xfId="0" applyNumberFormat="1" applyFont="1" applyBorder="1" applyAlignment="1">
      <alignment/>
    </xf>
    <xf numFmtId="4" fontId="14" fillId="24" borderId="17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24" borderId="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4" fontId="10" fillId="24" borderId="11" xfId="0" applyNumberFormat="1" applyFont="1" applyFill="1" applyBorder="1" applyAlignment="1" applyProtection="1">
      <alignment horizontal="right"/>
      <protection/>
    </xf>
    <xf numFmtId="14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right" wrapText="1"/>
    </xf>
    <xf numFmtId="170" fontId="6" fillId="24" borderId="10" xfId="0" applyNumberFormat="1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center"/>
    </xf>
    <xf numFmtId="14" fontId="6" fillId="26" borderId="10" xfId="0" applyNumberFormat="1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justify" wrapText="1"/>
    </xf>
    <xf numFmtId="171" fontId="6" fillId="26" borderId="10" xfId="46" applyNumberFormat="1" applyFont="1" applyFill="1" applyBorder="1" applyAlignment="1">
      <alignment horizontal="right"/>
    </xf>
    <xf numFmtId="171" fontId="6" fillId="0" borderId="10" xfId="46" applyNumberFormat="1" applyFont="1" applyBorder="1" applyAlignment="1">
      <alignment horizontal="right"/>
    </xf>
    <xf numFmtId="171" fontId="6" fillId="24" borderId="10" xfId="46" applyNumberFormat="1" applyFont="1" applyFill="1" applyBorder="1" applyAlignment="1">
      <alignment horizontal="right"/>
    </xf>
    <xf numFmtId="170" fontId="6" fillId="0" borderId="10" xfId="0" applyNumberFormat="1" applyFont="1" applyBorder="1" applyAlignment="1">
      <alignment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24" borderId="23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wrapText="1"/>
    </xf>
    <xf numFmtId="1" fontId="6" fillId="0" borderId="10" xfId="0" applyNumberFormat="1" applyFont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7" fillId="24" borderId="10" xfId="0" applyNumberFormat="1" applyFont="1" applyFill="1" applyBorder="1" applyAlignment="1">
      <alignment horizontal="right" wrapText="1"/>
    </xf>
    <xf numFmtId="0" fontId="6" fillId="0" borderId="15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6" fillId="0" borderId="15" xfId="0" applyFont="1" applyBorder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4" fontId="6" fillId="24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wrapText="1"/>
    </xf>
    <xf numFmtId="4" fontId="6" fillId="24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Border="1" applyAlignment="1">
      <alignment wrapText="1"/>
    </xf>
    <xf numFmtId="0" fontId="5" fillId="0" borderId="0" xfId="0" applyFont="1" applyAlignment="1">
      <alignment horizontal="right"/>
    </xf>
    <xf numFmtId="4" fontId="5" fillId="0" borderId="25" xfId="0" applyNumberFormat="1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2" xfId="0" applyFont="1" applyBorder="1" applyAlignment="1">
      <alignment/>
    </xf>
    <xf numFmtId="9" fontId="5" fillId="0" borderId="18" xfId="0" applyNumberFormat="1" applyFont="1" applyBorder="1" applyAlignment="1">
      <alignment/>
    </xf>
    <xf numFmtId="0" fontId="5" fillId="0" borderId="20" xfId="0" applyFont="1" applyBorder="1" applyAlignment="1">
      <alignment/>
    </xf>
    <xf numFmtId="4" fontId="6" fillId="0" borderId="11" xfId="0" applyNumberFormat="1" applyFont="1" applyBorder="1" applyAlignment="1">
      <alignment/>
    </xf>
    <xf numFmtId="9" fontId="5" fillId="0" borderId="14" xfId="0" applyNumberFormat="1" applyFont="1" applyBorder="1" applyAlignment="1">
      <alignment/>
    </xf>
    <xf numFmtId="0" fontId="5" fillId="0" borderId="25" xfId="0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" fontId="9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4" fontId="16" fillId="0" borderId="20" xfId="0" applyNumberFormat="1" applyFont="1" applyBorder="1" applyAlignment="1" applyProtection="1">
      <alignment horizontal="right"/>
      <protection/>
    </xf>
    <xf numFmtId="4" fontId="16" fillId="0" borderId="11" xfId="0" applyNumberFormat="1" applyFont="1" applyBorder="1" applyAlignment="1" applyProtection="1">
      <alignment horizontal="right"/>
      <protection/>
    </xf>
    <xf numFmtId="4" fontId="16" fillId="0" borderId="14" xfId="0" applyNumberFormat="1" applyFont="1" applyBorder="1" applyAlignment="1" applyProtection="1">
      <alignment horizontal="right"/>
      <protection/>
    </xf>
    <xf numFmtId="0" fontId="17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14" fontId="6" fillId="0" borderId="19" xfId="0" applyNumberFormat="1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4" fontId="10" fillId="0" borderId="25" xfId="0" applyNumberFormat="1" applyFont="1" applyBorder="1" applyAlignment="1" applyProtection="1">
      <alignment horizontal="right"/>
      <protection/>
    </xf>
    <xf numFmtId="4" fontId="10" fillId="0" borderId="13" xfId="0" applyNumberFormat="1" applyFont="1" applyBorder="1" applyAlignment="1" applyProtection="1">
      <alignment horizontal="right"/>
      <protection/>
    </xf>
    <xf numFmtId="4" fontId="10" fillId="0" borderId="26" xfId="0" applyNumberFormat="1" applyFont="1" applyBorder="1" applyAlignment="1" applyProtection="1">
      <alignment horizontal="right"/>
      <protection/>
    </xf>
    <xf numFmtId="4" fontId="6" fillId="0" borderId="19" xfId="0" applyNumberFormat="1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justify" wrapText="1"/>
    </xf>
    <xf numFmtId="0" fontId="5" fillId="0" borderId="16" xfId="0" applyFont="1" applyBorder="1" applyAlignment="1">
      <alignment horizontal="justify" wrapText="1"/>
    </xf>
    <xf numFmtId="0" fontId="5" fillId="0" borderId="17" xfId="0" applyFont="1" applyBorder="1" applyAlignment="1">
      <alignment horizontal="justify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17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0" fillId="25" borderId="15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17" xfId="0" applyFont="1" applyFill="1" applyBorder="1" applyAlignment="1">
      <alignment horizontal="center" vertical="center" wrapText="1"/>
    </xf>
    <xf numFmtId="4" fontId="10" fillId="0" borderId="12" xfId="0" applyNumberFormat="1" applyFont="1" applyBorder="1" applyAlignment="1" applyProtection="1">
      <alignment horizontal="right"/>
      <protection/>
    </xf>
    <xf numFmtId="4" fontId="10" fillId="0" borderId="0" xfId="0" applyNumberFormat="1" applyFont="1" applyBorder="1" applyAlignment="1" applyProtection="1">
      <alignment horizontal="right"/>
      <protection/>
    </xf>
    <xf numFmtId="4" fontId="10" fillId="0" borderId="18" xfId="0" applyNumberFormat="1" applyFont="1" applyBorder="1" applyAlignment="1" applyProtection="1">
      <alignment horizontal="right"/>
      <protection/>
    </xf>
    <xf numFmtId="0" fontId="6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25" borderId="15" xfId="0" applyFont="1" applyFill="1" applyBorder="1" applyAlignment="1">
      <alignment horizontal="center"/>
    </xf>
    <xf numFmtId="0" fontId="10" fillId="25" borderId="16" xfId="0" applyFont="1" applyFill="1" applyBorder="1" applyAlignment="1">
      <alignment horizontal="center"/>
    </xf>
    <xf numFmtId="0" fontId="10" fillId="25" borderId="17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tabSelected="1" zoomScalePageLayoutView="0" workbookViewId="0" topLeftCell="A28">
      <selection activeCell="G42" sqref="G42:K42"/>
    </sheetView>
  </sheetViews>
  <sheetFormatPr defaultColWidth="9.140625" defaultRowHeight="12.75"/>
  <cols>
    <col min="1" max="2" width="9.140625" style="1" customWidth="1"/>
    <col min="3" max="3" width="8.8515625" style="1" customWidth="1"/>
    <col min="4" max="4" width="11.140625" style="1" customWidth="1"/>
    <col min="5" max="5" width="10.7109375" style="1" customWidth="1"/>
    <col min="6" max="6" width="11.7109375" style="1" customWidth="1"/>
    <col min="7" max="7" width="8.8515625" style="1" customWidth="1"/>
    <col min="8" max="8" width="8.421875" style="1" customWidth="1"/>
    <col min="9" max="11" width="10.00390625" style="1" customWidth="1"/>
    <col min="12" max="16384" width="9.140625" style="1" customWidth="1"/>
  </cols>
  <sheetData>
    <row r="2" spans="1:11" ht="14.25">
      <c r="A2" s="190" t="s">
        <v>204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6" spans="1:10" ht="12.75">
      <c r="A6" s="144" t="s">
        <v>190</v>
      </c>
      <c r="B6" s="145"/>
      <c r="C6" s="145"/>
      <c r="D6" s="146" t="str">
        <f>+Complessivo!D2</f>
        <v>HEALT NET COMMUNITY</v>
      </c>
      <c r="E6" s="147"/>
      <c r="I6" s="1" t="s">
        <v>90</v>
      </c>
      <c r="J6" s="10">
        <v>38559</v>
      </c>
    </row>
    <row r="7" spans="1:10" ht="12.75">
      <c r="A7" s="148" t="s">
        <v>33</v>
      </c>
      <c r="B7" s="9"/>
      <c r="C7" s="9"/>
      <c r="D7" s="26">
        <f>+Complessivo!G2</f>
        <v>1499998</v>
      </c>
      <c r="E7" s="149">
        <f>+Complessivo!H2</f>
        <v>0.4831674668899558</v>
      </c>
      <c r="I7" s="1" t="s">
        <v>91</v>
      </c>
      <c r="J7" s="10">
        <v>39108</v>
      </c>
    </row>
    <row r="8" spans="1:9" ht="12.75">
      <c r="A8" s="148" t="s">
        <v>34</v>
      </c>
      <c r="B8" s="9"/>
      <c r="C8" s="9"/>
      <c r="D8" s="26">
        <f>+Complessivo!G3</f>
        <v>750000</v>
      </c>
      <c r="E8" s="149">
        <f>+Complessivo!H3</f>
        <v>0.4831668226666666</v>
      </c>
      <c r="I8" s="11" t="s">
        <v>92</v>
      </c>
    </row>
    <row r="9" spans="1:5" ht="12.75">
      <c r="A9" s="148" t="s">
        <v>35</v>
      </c>
      <c r="B9" s="9"/>
      <c r="C9" s="9"/>
      <c r="D9" s="26">
        <f>+Complessivo!G4</f>
        <v>58500</v>
      </c>
      <c r="E9" s="149">
        <f>+Complessivo!H4</f>
        <v>0</v>
      </c>
    </row>
    <row r="10" spans="1:10" ht="12.75">
      <c r="A10" s="150" t="s">
        <v>36</v>
      </c>
      <c r="B10" s="8"/>
      <c r="C10" s="8"/>
      <c r="D10" s="151">
        <f>+Complessivo!G5</f>
        <v>808500</v>
      </c>
      <c r="E10" s="152">
        <f>+Complessivo!H5</f>
        <v>0.4482067000618429</v>
      </c>
      <c r="I10" s="11" t="s">
        <v>211</v>
      </c>
      <c r="J10" s="4">
        <v>0.5</v>
      </c>
    </row>
    <row r="12" spans="4:6" ht="12.75">
      <c r="D12" s="143" t="s">
        <v>191</v>
      </c>
      <c r="E12" s="143" t="s">
        <v>192</v>
      </c>
      <c r="F12" s="143" t="s">
        <v>193</v>
      </c>
    </row>
    <row r="13" spans="1:6" ht="12.75">
      <c r="A13" s="153" t="s">
        <v>6</v>
      </c>
      <c r="B13" s="145"/>
      <c r="C13" s="145"/>
      <c r="D13" s="154">
        <f>+Complessivo!M9</f>
        <v>1104518</v>
      </c>
      <c r="E13" s="155">
        <f>+Complessivo!M15</f>
        <v>399694.23000000004</v>
      </c>
      <c r="F13" s="3">
        <f aca="true" t="shared" si="0" ref="F13:F19">+D13-E13</f>
        <v>704823.77</v>
      </c>
    </row>
    <row r="14" spans="1:6" ht="12.75">
      <c r="A14" s="148" t="s">
        <v>7</v>
      </c>
      <c r="B14" s="9"/>
      <c r="C14" s="9"/>
      <c r="D14" s="26">
        <f>+Complessivo!M34</f>
        <v>72921</v>
      </c>
      <c r="E14" s="156">
        <f>+Complessivo!M40</f>
        <v>72921</v>
      </c>
      <c r="F14" s="3">
        <f t="shared" si="0"/>
        <v>0</v>
      </c>
    </row>
    <row r="15" spans="1:6" ht="12.75">
      <c r="A15" s="148" t="s">
        <v>1</v>
      </c>
      <c r="B15" s="9"/>
      <c r="C15" s="9"/>
      <c r="D15" s="26">
        <f>+Complessivo!M51</f>
        <v>112511</v>
      </c>
      <c r="E15" s="156">
        <f>+Complessivo!M57</f>
        <v>112511</v>
      </c>
      <c r="F15" s="3">
        <f t="shared" si="0"/>
        <v>0</v>
      </c>
    </row>
    <row r="16" spans="1:6" ht="12.75">
      <c r="A16" s="148" t="s">
        <v>8</v>
      </c>
      <c r="B16" s="9"/>
      <c r="C16" s="9"/>
      <c r="D16" s="26">
        <f>+Complessivo!M64</f>
        <v>45628</v>
      </c>
      <c r="E16" s="156">
        <f>+Complessivo!M70</f>
        <v>45628</v>
      </c>
      <c r="F16" s="3">
        <f t="shared" si="0"/>
        <v>0</v>
      </c>
    </row>
    <row r="17" spans="1:6" ht="12.75">
      <c r="A17" s="148" t="s">
        <v>23</v>
      </c>
      <c r="B17" s="9"/>
      <c r="C17" s="9"/>
      <c r="D17" s="26">
        <f>+Complessivo!M77</f>
        <v>37019</v>
      </c>
      <c r="E17" s="156">
        <f>+Complessivo!M83</f>
        <v>37019</v>
      </c>
      <c r="F17" s="3">
        <f t="shared" si="0"/>
        <v>0</v>
      </c>
    </row>
    <row r="18" spans="1:6" ht="12.75">
      <c r="A18" s="148" t="s">
        <v>9</v>
      </c>
      <c r="B18" s="9"/>
      <c r="C18" s="9"/>
      <c r="D18" s="26">
        <f>+Complessivo!M89</f>
        <v>52401</v>
      </c>
      <c r="E18" s="156">
        <f>+Complessivo!M95</f>
        <v>52401</v>
      </c>
      <c r="F18" s="3">
        <f t="shared" si="0"/>
        <v>0</v>
      </c>
    </row>
    <row r="19" spans="1:6" ht="12.75">
      <c r="A19" s="150" t="s">
        <v>10</v>
      </c>
      <c r="B19" s="8"/>
      <c r="C19" s="8"/>
      <c r="D19" s="151">
        <f>+Complessivo!M101</f>
        <v>75000</v>
      </c>
      <c r="E19" s="157">
        <f>+Complessivo!M107</f>
        <v>55073.53599999999</v>
      </c>
      <c r="F19" s="3">
        <f t="shared" si="0"/>
        <v>19926.464000000007</v>
      </c>
    </row>
    <row r="20" spans="4:7" ht="12.75">
      <c r="D20" s="3">
        <f>SUM(D13:D19)</f>
        <v>1499998</v>
      </c>
      <c r="E20" s="3">
        <f>SUM(E13:E19)</f>
        <v>775247.766</v>
      </c>
      <c r="F20" s="3">
        <f>+D20-E20</f>
        <v>724750.234</v>
      </c>
      <c r="G20" s="158"/>
    </row>
    <row r="22" spans="4:11" ht="21">
      <c r="D22" s="5" t="s">
        <v>21</v>
      </c>
      <c r="E22" s="5" t="s">
        <v>79</v>
      </c>
      <c r="F22" s="159" t="s">
        <v>80</v>
      </c>
      <c r="G22" s="5" t="s">
        <v>22</v>
      </c>
      <c r="H22" s="5" t="s">
        <v>81</v>
      </c>
      <c r="I22" s="159" t="s">
        <v>82</v>
      </c>
      <c r="J22" s="5" t="s">
        <v>83</v>
      </c>
      <c r="K22" s="5" t="s">
        <v>84</v>
      </c>
    </row>
    <row r="23" spans="1:11" ht="12.75">
      <c r="A23" s="1" t="s">
        <v>85</v>
      </c>
      <c r="D23" s="3">
        <f>+Complessivo!M2</f>
        <v>724750.2339999999</v>
      </c>
      <c r="E23" s="3">
        <f>+Complessivo!N2</f>
        <v>0</v>
      </c>
      <c r="F23" s="3">
        <f>+Complessivo!O2</f>
        <v>724750.2339999999</v>
      </c>
      <c r="G23" s="3">
        <f>+Complessivo!P2</f>
        <v>362375.11699999997</v>
      </c>
      <c r="H23" s="3">
        <f>+Complessivo!Q2</f>
        <v>0</v>
      </c>
      <c r="I23" s="3">
        <f>+Complessivo!R2</f>
        <v>362375.11699999997</v>
      </c>
      <c r="J23" s="3">
        <f>+Complessivo!S2</f>
        <v>135890.66887499997</v>
      </c>
      <c r="K23" s="3">
        <f>+Complessivo!T2</f>
        <v>226484.44812500002</v>
      </c>
    </row>
    <row r="24" spans="1:12" ht="12.75">
      <c r="A24" s="2" t="str">
        <f>+Complessivo!C3</f>
        <v>SAL 1  26/07/2005 - 31/10/2005</v>
      </c>
      <c r="B24" s="2"/>
      <c r="D24" s="3">
        <f>+Complessivo!M3</f>
        <v>119318.23</v>
      </c>
      <c r="E24" s="3">
        <f>+Complessivo!N3</f>
        <v>0</v>
      </c>
      <c r="F24" s="3">
        <f>+Complessivo!O3</f>
        <v>119318.23</v>
      </c>
      <c r="G24" s="3">
        <f>+Complessivo!P3</f>
        <v>59659.115</v>
      </c>
      <c r="H24" s="3">
        <f>+Complessivo!Q3</f>
        <v>0</v>
      </c>
      <c r="I24" s="3">
        <f>+Complessivo!R3</f>
        <v>59659.115</v>
      </c>
      <c r="J24" s="3">
        <f>+Complessivo!S3</f>
        <v>22372.168125</v>
      </c>
      <c r="K24" s="3">
        <f>+Complessivo!T3</f>
        <v>37286.946874999994</v>
      </c>
      <c r="L24" s="2"/>
    </row>
    <row r="25" spans="1:12" ht="12.75">
      <c r="A25" s="2" t="str">
        <f>+Complessivo!C4</f>
        <v>SAL 2  01/11/2005 - 31/03/2006</v>
      </c>
      <c r="B25" s="3"/>
      <c r="D25" s="3">
        <f>+Complessivo!M4</f>
        <v>395867.95999999996</v>
      </c>
      <c r="E25" s="3">
        <f>+Complessivo!N4</f>
        <v>0</v>
      </c>
      <c r="F25" s="3">
        <f>+Complessivo!O4</f>
        <v>395867.95999999996</v>
      </c>
      <c r="G25" s="3">
        <f>+Complessivo!P4</f>
        <v>197933.97999999998</v>
      </c>
      <c r="H25" s="3">
        <f>+Complessivo!Q4</f>
        <v>0</v>
      </c>
      <c r="I25" s="3">
        <f>+Complessivo!R4</f>
        <v>197933.97999999998</v>
      </c>
      <c r="J25" s="3">
        <f>+Complessivo!S4</f>
        <v>74225.2425</v>
      </c>
      <c r="K25" s="3">
        <f>+Complessivo!T4</f>
        <v>123708.7375</v>
      </c>
      <c r="L25" s="2"/>
    </row>
    <row r="26" spans="1:12" ht="12.75">
      <c r="A26" s="2" t="str">
        <f>+Complessivo!C5</f>
        <v>SAL 3  01/04/2006 - 31/07/2006</v>
      </c>
      <c r="B26" s="3"/>
      <c r="D26" s="3">
        <f>+Complessivo!M5</f>
        <v>209564.044</v>
      </c>
      <c r="E26" s="3">
        <f>+Complessivo!N5</f>
        <v>0</v>
      </c>
      <c r="F26" s="161">
        <f>+Complessivo!O5</f>
        <v>209564.044</v>
      </c>
      <c r="G26" s="3">
        <f>+Complessivo!P5</f>
        <v>104782.022</v>
      </c>
      <c r="H26" s="3">
        <f>+Complessivo!Q5</f>
        <v>0</v>
      </c>
      <c r="I26" s="161">
        <f>+Complessivo!R5</f>
        <v>104782.022</v>
      </c>
      <c r="J26" s="3">
        <f>+Complessivo!S5</f>
        <v>39293.25825</v>
      </c>
      <c r="K26" s="161">
        <f>+Complessivo!T5</f>
        <v>65488.763750000006</v>
      </c>
      <c r="L26" s="2"/>
    </row>
    <row r="27" spans="1:12" ht="12.75">
      <c r="A27" s="2"/>
      <c r="B27" s="3"/>
      <c r="D27" s="3"/>
      <c r="E27" s="3"/>
      <c r="F27" s="3"/>
      <c r="G27" s="3"/>
      <c r="H27" s="3"/>
      <c r="I27" s="3"/>
      <c r="J27" s="3"/>
      <c r="K27" s="3"/>
      <c r="L27" s="2"/>
    </row>
    <row r="28" ht="12.75">
      <c r="E28" s="6"/>
    </row>
    <row r="29" spans="1:11" ht="25.5">
      <c r="A29" s="193" t="s">
        <v>194</v>
      </c>
      <c r="B29" s="194"/>
      <c r="C29" s="194"/>
      <c r="D29" s="194"/>
      <c r="E29" s="194"/>
      <c r="F29" s="194"/>
      <c r="G29" s="194"/>
      <c r="H29" s="195"/>
      <c r="I29" s="160" t="s">
        <v>86</v>
      </c>
      <c r="J29" s="7" t="s">
        <v>202</v>
      </c>
      <c r="K29" s="9"/>
    </row>
    <row r="30" spans="1:11" ht="12.75">
      <c r="A30" s="9" t="s">
        <v>195</v>
      </c>
      <c r="B30" s="9"/>
      <c r="C30" s="9"/>
      <c r="D30" s="9"/>
      <c r="E30" s="9"/>
      <c r="F30" s="9"/>
      <c r="G30" s="9"/>
      <c r="H30" s="9"/>
      <c r="I30" s="9"/>
      <c r="J30" s="162"/>
      <c r="K30" s="9"/>
    </row>
    <row r="31" spans="1:11" ht="12.75">
      <c r="A31" s="9" t="s">
        <v>196</v>
      </c>
      <c r="B31" s="9"/>
      <c r="C31" s="9"/>
      <c r="D31" s="9"/>
      <c r="E31" s="9"/>
      <c r="F31" s="9"/>
      <c r="G31" s="9"/>
      <c r="H31" s="9"/>
      <c r="I31" s="9"/>
      <c r="J31" s="162"/>
      <c r="K31" s="9"/>
    </row>
    <row r="32" spans="1:11" ht="12.75">
      <c r="A32" s="9" t="s">
        <v>197</v>
      </c>
      <c r="B32" s="9"/>
      <c r="C32" s="9"/>
      <c r="D32" s="9"/>
      <c r="E32" s="9"/>
      <c r="F32" s="9"/>
      <c r="G32" s="9"/>
      <c r="H32" s="9"/>
      <c r="I32" s="9"/>
      <c r="J32" s="162"/>
      <c r="K32" s="9"/>
    </row>
    <row r="33" spans="1:11" ht="12.75">
      <c r="A33" s="9" t="s">
        <v>203</v>
      </c>
      <c r="B33" s="9"/>
      <c r="C33" s="9"/>
      <c r="D33" s="9"/>
      <c r="E33" s="9"/>
      <c r="F33" s="9"/>
      <c r="G33" s="9"/>
      <c r="H33" s="9"/>
      <c r="I33" s="9"/>
      <c r="J33" s="162"/>
      <c r="K33" s="9"/>
    </row>
    <row r="34" spans="1:11" ht="12.75">
      <c r="A34" s="9" t="s">
        <v>198</v>
      </c>
      <c r="B34" s="9"/>
      <c r="C34" s="9"/>
      <c r="D34" s="9"/>
      <c r="E34" s="9"/>
      <c r="F34" s="9"/>
      <c r="G34" s="9"/>
      <c r="H34" s="9"/>
      <c r="I34" s="9"/>
      <c r="J34" s="162"/>
      <c r="K34" s="9"/>
    </row>
    <row r="35" spans="1:11" ht="12.75">
      <c r="A35" s="9" t="s">
        <v>199</v>
      </c>
      <c r="B35" s="9"/>
      <c r="C35" s="9"/>
      <c r="D35" s="9"/>
      <c r="E35" s="9"/>
      <c r="F35" s="9"/>
      <c r="G35" s="9"/>
      <c r="H35" s="9"/>
      <c r="I35" s="9"/>
      <c r="J35" s="163"/>
      <c r="K35" s="9"/>
    </row>
    <row r="36" spans="1:11" ht="12.75">
      <c r="A36" s="9" t="s">
        <v>200</v>
      </c>
      <c r="B36" s="9"/>
      <c r="C36" s="9"/>
      <c r="D36" s="9"/>
      <c r="E36" s="9"/>
      <c r="F36" s="9"/>
      <c r="G36" s="9"/>
      <c r="H36" s="9"/>
      <c r="I36" s="9"/>
      <c r="J36" s="162"/>
      <c r="K36" s="9"/>
    </row>
    <row r="37" ht="12.75">
      <c r="E37" s="6"/>
    </row>
    <row r="38" ht="12.75">
      <c r="E38" s="6"/>
    </row>
    <row r="39" spans="1:11" ht="12.75">
      <c r="A39" s="191" t="s">
        <v>304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</row>
    <row r="42" spans="1:11" ht="23.25" customHeight="1">
      <c r="A42" s="192" t="s">
        <v>305</v>
      </c>
      <c r="B42" s="192"/>
      <c r="C42" s="192"/>
      <c r="D42" s="192"/>
      <c r="E42" s="192"/>
      <c r="F42" s="192"/>
      <c r="G42" s="181" t="s">
        <v>307</v>
      </c>
      <c r="H42" s="181"/>
      <c r="I42" s="181"/>
      <c r="J42" s="181"/>
      <c r="K42" s="181"/>
    </row>
    <row r="43" spans="1:11" ht="25.5" customHeight="1">
      <c r="A43" s="193" t="s">
        <v>306</v>
      </c>
      <c r="B43" s="194"/>
      <c r="C43" s="194"/>
      <c r="D43" s="194"/>
      <c r="E43" s="194"/>
      <c r="F43" s="195"/>
      <c r="G43" s="196"/>
      <c r="H43" s="197"/>
      <c r="I43" s="197"/>
      <c r="J43" s="197"/>
      <c r="K43" s="198"/>
    </row>
    <row r="44" spans="1:11" ht="27.75" customHeight="1">
      <c r="A44" s="184"/>
      <c r="B44" s="185"/>
      <c r="C44" s="185"/>
      <c r="D44" s="185"/>
      <c r="E44" s="185"/>
      <c r="F44" s="186"/>
      <c r="G44" s="187"/>
      <c r="H44" s="188"/>
      <c r="I44" s="188"/>
      <c r="J44" s="188"/>
      <c r="K44" s="189"/>
    </row>
    <row r="45" spans="1:1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7" spans="1:1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2.75">
      <c r="A48" s="9" t="s">
        <v>201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25.5" customHeight="1">
      <c r="A49" s="182"/>
      <c r="B49" s="183"/>
      <c r="C49" s="183"/>
      <c r="D49" s="183"/>
      <c r="E49" s="183"/>
      <c r="F49" s="183"/>
      <c r="G49" s="183"/>
      <c r="H49" s="183"/>
      <c r="I49" s="183"/>
      <c r="J49" s="183"/>
      <c r="K49" s="183"/>
    </row>
    <row r="50" spans="1:1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3" spans="1:9" ht="12.75">
      <c r="A53" s="181" t="s">
        <v>87</v>
      </c>
      <c r="B53" s="181"/>
      <c r="C53" s="181"/>
      <c r="D53" s="181" t="s">
        <v>88</v>
      </c>
      <c r="E53" s="181"/>
      <c r="F53" s="181"/>
      <c r="G53" s="181" t="s">
        <v>89</v>
      </c>
      <c r="H53" s="181"/>
      <c r="I53" s="181"/>
    </row>
    <row r="54" spans="1:9" ht="23.25" customHeight="1">
      <c r="A54" s="181"/>
      <c r="B54" s="181"/>
      <c r="C54" s="181"/>
      <c r="D54" s="181"/>
      <c r="E54" s="181"/>
      <c r="F54" s="181"/>
      <c r="G54" s="181"/>
      <c r="H54" s="181"/>
      <c r="I54" s="181"/>
    </row>
    <row r="55" spans="1:9" ht="23.25" customHeight="1">
      <c r="A55" s="181"/>
      <c r="B55" s="181"/>
      <c r="C55" s="181"/>
      <c r="D55" s="181"/>
      <c r="E55" s="181"/>
      <c r="F55" s="181"/>
      <c r="G55" s="181"/>
      <c r="H55" s="181"/>
      <c r="I55" s="181"/>
    </row>
  </sheetData>
  <sheetProtection/>
  <mergeCells count="19">
    <mergeCell ref="A44:F44"/>
    <mergeCell ref="G44:K44"/>
    <mergeCell ref="A2:K2"/>
    <mergeCell ref="A39:K39"/>
    <mergeCell ref="A42:F42"/>
    <mergeCell ref="G42:K42"/>
    <mergeCell ref="A29:H29"/>
    <mergeCell ref="G43:K43"/>
    <mergeCell ref="A43:F43"/>
    <mergeCell ref="A49:K49"/>
    <mergeCell ref="A53:C53"/>
    <mergeCell ref="D53:F53"/>
    <mergeCell ref="G53:I53"/>
    <mergeCell ref="A55:C55"/>
    <mergeCell ref="D55:F55"/>
    <mergeCell ref="G55:I55"/>
    <mergeCell ref="A54:C54"/>
    <mergeCell ref="D54:F54"/>
    <mergeCell ref="G54:I54"/>
  </mergeCells>
  <printOptions/>
  <pageMargins left="0.75" right="0.75" top="1" bottom="1" header="0.5" footer="0.5"/>
  <pageSetup fitToHeight="1" fitToWidth="1" horizontalDpi="600" verticalDpi="600" orientation="portrait" paperSize="9" scale="80" r:id="rId1"/>
  <headerFooter alignWithMargins="0">
    <oddFooter>&amp;CPagina &amp;P&amp;D&amp;N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15"/>
  <sheetViews>
    <sheetView showGridLines="0" showZeros="0" zoomScale="80" zoomScaleNormal="80" zoomScalePageLayoutView="0" workbookViewId="0" topLeftCell="A1">
      <pane xSplit="1" ySplit="7" topLeftCell="H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6" sqref="O6"/>
    </sheetView>
  </sheetViews>
  <sheetFormatPr defaultColWidth="9.140625" defaultRowHeight="12.75"/>
  <cols>
    <col min="1" max="1" width="3.28125" style="12" customWidth="1"/>
    <col min="2" max="2" width="3.57421875" style="84" customWidth="1"/>
    <col min="3" max="3" width="13.140625" style="27" customWidth="1"/>
    <col min="4" max="4" width="23.140625" style="27" customWidth="1"/>
    <col min="5" max="5" width="16.7109375" style="27" customWidth="1"/>
    <col min="6" max="6" width="10.28125" style="27" customWidth="1"/>
    <col min="7" max="7" width="15.00390625" style="27" customWidth="1"/>
    <col min="8" max="8" width="10.28125" style="27" customWidth="1"/>
    <col min="9" max="9" width="9.421875" style="27" customWidth="1"/>
    <col min="10" max="11" width="10.140625" style="27" customWidth="1"/>
    <col min="12" max="12" width="11.421875" style="85" customWidth="1"/>
    <col min="13" max="13" width="13.140625" style="86" customWidth="1"/>
    <col min="14" max="14" width="12.140625" style="27" customWidth="1"/>
    <col min="15" max="15" width="13.140625" style="85" customWidth="1"/>
    <col min="16" max="16" width="12.7109375" style="27" customWidth="1"/>
    <col min="17" max="17" width="12.00390625" style="27" customWidth="1"/>
    <col min="18" max="18" width="13.421875" style="85" customWidth="1"/>
    <col min="19" max="19" width="11.140625" style="27" bestFit="1" customWidth="1"/>
    <col min="20" max="20" width="11.8515625" style="87" customWidth="1"/>
    <col min="21" max="21" width="13.140625" style="27" customWidth="1"/>
    <col min="22" max="16384" width="9.140625" style="27" customWidth="1"/>
  </cols>
  <sheetData>
    <row r="1" spans="1:20" s="12" customFormat="1" ht="15">
      <c r="A1" s="220" t="s">
        <v>48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2"/>
    </row>
    <row r="2" spans="1:21" ht="10.5">
      <c r="A2" s="13"/>
      <c r="B2" s="14"/>
      <c r="C2" s="15" t="s">
        <v>0</v>
      </c>
      <c r="D2" s="16" t="s">
        <v>49</v>
      </c>
      <c r="E2" s="223" t="s">
        <v>33</v>
      </c>
      <c r="F2" s="223"/>
      <c r="G2" s="17">
        <f>+M9+M34+M51+M64+M77+M89+M101</f>
        <v>1499998</v>
      </c>
      <c r="H2" s="18">
        <f>+O2/G2</f>
        <v>0.4831674668899558</v>
      </c>
      <c r="I2" s="19" t="s">
        <v>32</v>
      </c>
      <c r="J2" s="20">
        <v>38559</v>
      </c>
      <c r="K2" s="21">
        <f>G4</f>
        <v>58500</v>
      </c>
      <c r="L2" s="22" t="s">
        <v>29</v>
      </c>
      <c r="M2" s="23">
        <f>SUM(M3:M7)</f>
        <v>724750.2339999999</v>
      </c>
      <c r="N2" s="24">
        <f aca="true" t="shared" si="0" ref="N2:T2">SUM(N3:N7)</f>
        <v>0</v>
      </c>
      <c r="O2" s="25">
        <f t="shared" si="0"/>
        <v>724750.2339999999</v>
      </c>
      <c r="P2" s="24">
        <f t="shared" si="0"/>
        <v>362375.11699999997</v>
      </c>
      <c r="Q2" s="24">
        <f t="shared" si="0"/>
        <v>0</v>
      </c>
      <c r="R2" s="25">
        <f t="shared" si="0"/>
        <v>362375.11699999997</v>
      </c>
      <c r="S2" s="24">
        <f t="shared" si="0"/>
        <v>135890.66887499997</v>
      </c>
      <c r="T2" s="24">
        <f t="shared" si="0"/>
        <v>226484.44812500002</v>
      </c>
      <c r="U2" s="26"/>
    </row>
    <row r="3" spans="1:21" s="33" customFormat="1" ht="10.5">
      <c r="A3" s="28"/>
      <c r="B3" s="14"/>
      <c r="C3" s="29" t="s">
        <v>93</v>
      </c>
      <c r="D3" s="30"/>
      <c r="E3" s="224" t="s">
        <v>34</v>
      </c>
      <c r="F3" s="224"/>
      <c r="G3" s="32">
        <v>750000</v>
      </c>
      <c r="H3" s="18">
        <f>P2/G3</f>
        <v>0.4831668226666666</v>
      </c>
      <c r="J3" s="32" t="s">
        <v>37</v>
      </c>
      <c r="K3" s="24">
        <f>Q2</f>
        <v>0</v>
      </c>
      <c r="L3" s="22" t="s">
        <v>30</v>
      </c>
      <c r="M3" s="23">
        <f aca="true" t="shared" si="1" ref="M3:T4">M10+M35+M52+M65+M78+M90+M102</f>
        <v>119318.23</v>
      </c>
      <c r="N3" s="24">
        <f t="shared" si="1"/>
        <v>0</v>
      </c>
      <c r="O3" s="25">
        <f t="shared" si="1"/>
        <v>119318.23</v>
      </c>
      <c r="P3" s="24">
        <f t="shared" si="1"/>
        <v>59659.115</v>
      </c>
      <c r="Q3" s="24">
        <f t="shared" si="1"/>
        <v>0</v>
      </c>
      <c r="R3" s="25">
        <f t="shared" si="1"/>
        <v>59659.115</v>
      </c>
      <c r="S3" s="24">
        <f t="shared" si="1"/>
        <v>22372.168125</v>
      </c>
      <c r="T3" s="24">
        <f t="shared" si="1"/>
        <v>37286.946874999994</v>
      </c>
      <c r="U3" s="34">
        <v>37286.946875</v>
      </c>
    </row>
    <row r="4" spans="1:21" s="33" customFormat="1" ht="10.5">
      <c r="A4" s="28"/>
      <c r="B4" s="14"/>
      <c r="C4" s="29" t="s">
        <v>95</v>
      </c>
      <c r="D4" s="30"/>
      <c r="E4" s="224" t="s">
        <v>35</v>
      </c>
      <c r="F4" s="224"/>
      <c r="G4" s="32">
        <v>58500</v>
      </c>
      <c r="H4" s="18">
        <f>Q2/G4</f>
        <v>0</v>
      </c>
      <c r="J4" s="31" t="s">
        <v>38</v>
      </c>
      <c r="K4" s="34">
        <f>K2-K3</f>
        <v>58500</v>
      </c>
      <c r="L4" s="22" t="s">
        <v>31</v>
      </c>
      <c r="M4" s="23">
        <f t="shared" si="1"/>
        <v>395867.95999999996</v>
      </c>
      <c r="N4" s="23">
        <f t="shared" si="1"/>
        <v>0</v>
      </c>
      <c r="O4" s="25">
        <f t="shared" si="1"/>
        <v>395867.95999999996</v>
      </c>
      <c r="P4" s="23">
        <f t="shared" si="1"/>
        <v>197933.97999999998</v>
      </c>
      <c r="Q4" s="23">
        <f t="shared" si="1"/>
        <v>0</v>
      </c>
      <c r="R4" s="25">
        <f t="shared" si="1"/>
        <v>197933.97999999998</v>
      </c>
      <c r="S4" s="23">
        <f t="shared" si="1"/>
        <v>74225.2425</v>
      </c>
      <c r="T4" s="23">
        <f t="shared" si="1"/>
        <v>123708.7375</v>
      </c>
      <c r="U4" s="33">
        <v>123708.74</v>
      </c>
    </row>
    <row r="5" spans="1:20" s="33" customFormat="1" ht="10.5">
      <c r="A5" s="28"/>
      <c r="B5" s="14"/>
      <c r="C5" s="29" t="s">
        <v>296</v>
      </c>
      <c r="D5" s="30"/>
      <c r="E5" s="224" t="s">
        <v>36</v>
      </c>
      <c r="F5" s="224"/>
      <c r="G5" s="32">
        <f>SUM(G3:G4)</f>
        <v>808500</v>
      </c>
      <c r="H5" s="18">
        <f>R2/G5</f>
        <v>0.4482067000618429</v>
      </c>
      <c r="L5" s="22" t="s">
        <v>297</v>
      </c>
      <c r="M5" s="23">
        <f>M12+M37+M54+M67+M80+M92+M104</f>
        <v>209564.044</v>
      </c>
      <c r="N5" s="24"/>
      <c r="O5" s="25">
        <f aca="true" t="shared" si="2" ref="O5:T5">O12+O37+O54+O67+O80+O92+O104</f>
        <v>209564.044</v>
      </c>
      <c r="P5" s="23">
        <f t="shared" si="2"/>
        <v>104782.022</v>
      </c>
      <c r="Q5" s="23">
        <f t="shared" si="2"/>
        <v>0</v>
      </c>
      <c r="R5" s="25">
        <f t="shared" si="2"/>
        <v>104782.022</v>
      </c>
      <c r="S5" s="23">
        <f t="shared" si="2"/>
        <v>39293.25825</v>
      </c>
      <c r="T5" s="23">
        <f t="shared" si="2"/>
        <v>65488.763750000006</v>
      </c>
    </row>
    <row r="6" spans="1:20" s="33" customFormat="1" ht="10.5">
      <c r="A6" s="28"/>
      <c r="B6" s="14"/>
      <c r="C6" s="29"/>
      <c r="D6" s="30"/>
      <c r="E6" s="35"/>
      <c r="F6" s="36"/>
      <c r="G6" s="32"/>
      <c r="H6" s="37"/>
      <c r="L6" s="22"/>
      <c r="M6" s="23"/>
      <c r="N6" s="24"/>
      <c r="O6" s="25"/>
      <c r="P6" s="24"/>
      <c r="Q6" s="24"/>
      <c r="R6" s="25"/>
      <c r="S6" s="24"/>
      <c r="T6" s="24"/>
    </row>
    <row r="7" spans="1:20" s="33" customFormat="1" ht="10.5">
      <c r="A7" s="28"/>
      <c r="B7" s="38"/>
      <c r="C7" s="29"/>
      <c r="D7" s="30"/>
      <c r="E7" s="35"/>
      <c r="F7" s="36"/>
      <c r="G7" s="36"/>
      <c r="H7" s="37"/>
      <c r="L7" s="22"/>
      <c r="M7" s="23"/>
      <c r="N7" s="24"/>
      <c r="O7" s="25"/>
      <c r="P7" s="24"/>
      <c r="Q7" s="24"/>
      <c r="R7" s="25"/>
      <c r="S7" s="24"/>
      <c r="T7" s="24"/>
    </row>
    <row r="8" spans="1:20" ht="10.5">
      <c r="A8" s="39"/>
      <c r="B8" s="40"/>
      <c r="C8" s="213" t="s">
        <v>6</v>
      </c>
      <c r="D8" s="213"/>
      <c r="E8" s="213"/>
      <c r="F8" s="213"/>
      <c r="G8" s="213"/>
      <c r="H8" s="213"/>
      <c r="I8" s="213"/>
      <c r="J8" s="213"/>
      <c r="K8" s="213"/>
      <c r="L8" s="214"/>
      <c r="M8" s="41" t="s">
        <v>43</v>
      </c>
      <c r="N8" s="42" t="s">
        <v>44</v>
      </c>
      <c r="O8" s="43" t="s">
        <v>45</v>
      </c>
      <c r="P8" s="42" t="s">
        <v>46</v>
      </c>
      <c r="Q8" s="42" t="s">
        <v>47</v>
      </c>
      <c r="R8" s="43" t="s">
        <v>42</v>
      </c>
      <c r="S8" s="44" t="s">
        <v>25</v>
      </c>
      <c r="T8" s="45" t="s">
        <v>26</v>
      </c>
    </row>
    <row r="9" spans="1:18" s="12" customFormat="1" ht="10.5">
      <c r="A9" s="208"/>
      <c r="B9" s="209"/>
      <c r="C9" s="46"/>
      <c r="D9" s="47"/>
      <c r="E9" s="47"/>
      <c r="F9" s="47"/>
      <c r="G9" s="47"/>
      <c r="H9" s="47"/>
      <c r="I9" s="47"/>
      <c r="J9" s="47"/>
      <c r="K9" s="48"/>
      <c r="L9" s="49" t="s">
        <v>12</v>
      </c>
      <c r="M9" s="50">
        <v>1104518</v>
      </c>
      <c r="N9" s="50"/>
      <c r="O9" s="51"/>
      <c r="P9" s="52"/>
      <c r="Q9" s="53"/>
      <c r="R9" s="51"/>
    </row>
    <row r="10" spans="1:20" s="12" customFormat="1" ht="10.5">
      <c r="A10" s="208"/>
      <c r="B10" s="209"/>
      <c r="C10" s="54"/>
      <c r="D10" s="55"/>
      <c r="E10" s="55"/>
      <c r="F10" s="55"/>
      <c r="G10" s="55"/>
      <c r="H10" s="55"/>
      <c r="I10" s="55"/>
      <c r="J10" s="55"/>
      <c r="K10" s="56">
        <f>SUM(K17:K31)</f>
        <v>0</v>
      </c>
      <c r="L10" s="57" t="s">
        <v>28</v>
      </c>
      <c r="M10" s="58">
        <f aca="true" t="shared" si="3" ref="M10:R10">SUM(M17:M20)</f>
        <v>117221.20999999999</v>
      </c>
      <c r="N10" s="58">
        <f t="shared" si="3"/>
        <v>0</v>
      </c>
      <c r="O10" s="61">
        <f t="shared" si="3"/>
        <v>117221.20999999999</v>
      </c>
      <c r="P10" s="58">
        <f t="shared" si="3"/>
        <v>58610.604999999996</v>
      </c>
      <c r="Q10" s="58">
        <f t="shared" si="3"/>
        <v>0</v>
      </c>
      <c r="R10" s="61">
        <f t="shared" si="3"/>
        <v>58610.604999999996</v>
      </c>
      <c r="S10" s="59">
        <f>R10*0.375</f>
        <v>21978.976875</v>
      </c>
      <c r="T10" s="59">
        <f>R10-S10</f>
        <v>36631.628124999996</v>
      </c>
    </row>
    <row r="11" spans="1:20" s="12" customFormat="1" ht="10.5">
      <c r="A11" s="208"/>
      <c r="B11" s="209"/>
      <c r="C11" s="54"/>
      <c r="D11" s="55"/>
      <c r="E11" s="55"/>
      <c r="F11" s="55"/>
      <c r="G11" s="55"/>
      <c r="H11" s="55"/>
      <c r="I11" s="55"/>
      <c r="J11" s="55"/>
      <c r="K11" s="60"/>
      <c r="L11" s="57" t="s">
        <v>210</v>
      </c>
      <c r="M11" s="58">
        <f>SUM(M21:M25)</f>
        <v>390536.99</v>
      </c>
      <c r="N11" s="58">
        <f>SUM(N21:N25)</f>
        <v>0</v>
      </c>
      <c r="O11" s="61">
        <f>+N11+M11</f>
        <v>390536.99</v>
      </c>
      <c r="P11" s="58">
        <f>SUM(P21:P25)</f>
        <v>195268.495</v>
      </c>
      <c r="Q11" s="58">
        <f>SUM(Q21:Q25)</f>
        <v>0</v>
      </c>
      <c r="R11" s="61">
        <f>+Q11+P11</f>
        <v>195268.495</v>
      </c>
      <c r="S11" s="59">
        <f>R11*0.375</f>
        <v>73225.685625</v>
      </c>
      <c r="T11" s="59">
        <f>R11-S11</f>
        <v>122042.809375</v>
      </c>
    </row>
    <row r="12" spans="1:20" s="12" customFormat="1" ht="10.5">
      <c r="A12" s="208"/>
      <c r="B12" s="209"/>
      <c r="C12" s="54"/>
      <c r="D12" s="55"/>
      <c r="E12" s="55"/>
      <c r="F12" s="55"/>
      <c r="G12" s="55"/>
      <c r="H12" s="55"/>
      <c r="I12" s="55"/>
      <c r="J12" s="55"/>
      <c r="K12" s="60"/>
      <c r="L12" s="57" t="s">
        <v>298</v>
      </c>
      <c r="M12" s="58">
        <f>SUM(M26:M30)</f>
        <v>197065.57</v>
      </c>
      <c r="N12" s="56"/>
      <c r="O12" s="61">
        <f>+N12+M12</f>
        <v>197065.57</v>
      </c>
      <c r="P12" s="58">
        <f>SUM(P26:P30)</f>
        <v>98532.785</v>
      </c>
      <c r="Q12" s="56"/>
      <c r="R12" s="61">
        <f>+Q12+P12</f>
        <v>98532.785</v>
      </c>
      <c r="S12" s="59">
        <f>R12*0.375</f>
        <v>36949.794375</v>
      </c>
      <c r="T12" s="59">
        <f>R12-S12</f>
        <v>61582.990625000006</v>
      </c>
    </row>
    <row r="13" spans="1:20" s="12" customFormat="1" ht="10.5">
      <c r="A13" s="208"/>
      <c r="B13" s="209"/>
      <c r="C13" s="54"/>
      <c r="D13" s="55"/>
      <c r="E13" s="55"/>
      <c r="F13" s="55"/>
      <c r="G13" s="55"/>
      <c r="H13" s="55"/>
      <c r="I13" s="55"/>
      <c r="J13" s="55"/>
      <c r="K13" s="60"/>
      <c r="L13" s="57"/>
      <c r="M13" s="58"/>
      <c r="N13" s="56"/>
      <c r="O13" s="61"/>
      <c r="P13" s="56"/>
      <c r="Q13" s="56"/>
      <c r="R13" s="61"/>
      <c r="S13" s="59">
        <f>R13*0.375</f>
        <v>0</v>
      </c>
      <c r="T13" s="59">
        <f>R13-S13</f>
        <v>0</v>
      </c>
    </row>
    <row r="14" spans="1:20" s="12" customFormat="1" ht="10.5">
      <c r="A14" s="208"/>
      <c r="B14" s="209"/>
      <c r="C14" s="54"/>
      <c r="D14" s="55"/>
      <c r="E14" s="55"/>
      <c r="F14" s="55"/>
      <c r="G14" s="55"/>
      <c r="H14" s="55"/>
      <c r="I14" s="55"/>
      <c r="J14" s="55"/>
      <c r="K14" s="60"/>
      <c r="L14" s="57"/>
      <c r="M14" s="58"/>
      <c r="N14" s="56"/>
      <c r="O14" s="61"/>
      <c r="P14" s="56"/>
      <c r="Q14" s="56"/>
      <c r="R14" s="61"/>
      <c r="S14" s="59">
        <f>R14*0.375</f>
        <v>0</v>
      </c>
      <c r="T14" s="59">
        <f>R14-S14</f>
        <v>0</v>
      </c>
    </row>
    <row r="15" spans="1:20" s="12" customFormat="1" ht="10.5">
      <c r="A15" s="210"/>
      <c r="B15" s="211"/>
      <c r="C15" s="62"/>
      <c r="D15" s="63"/>
      <c r="E15" s="63"/>
      <c r="F15" s="63"/>
      <c r="G15" s="63"/>
      <c r="H15" s="63"/>
      <c r="I15" s="63"/>
      <c r="J15" s="63"/>
      <c r="K15" s="64"/>
      <c r="L15" s="65" t="s">
        <v>13</v>
      </c>
      <c r="M15" s="66">
        <f>M9-M10-M11-M12-M13-M14</f>
        <v>399694.23000000004</v>
      </c>
      <c r="N15" s="67">
        <f>N9-N10-N11-N12-N13-N14</f>
        <v>0</v>
      </c>
      <c r="O15" s="68"/>
      <c r="P15" s="67"/>
      <c r="Q15" s="67"/>
      <c r="R15" s="68"/>
      <c r="S15" s="69"/>
      <c r="T15" s="69"/>
    </row>
    <row r="16" spans="1:20" ht="29.25" customHeight="1">
      <c r="A16" s="70" t="s">
        <v>14</v>
      </c>
      <c r="B16" s="70" t="s">
        <v>11</v>
      </c>
      <c r="C16" s="71" t="s">
        <v>24</v>
      </c>
      <c r="D16" s="71" t="s">
        <v>20</v>
      </c>
      <c r="E16" s="72" t="s">
        <v>2</v>
      </c>
      <c r="F16" s="71" t="s">
        <v>19</v>
      </c>
      <c r="G16" s="71" t="s">
        <v>18</v>
      </c>
      <c r="H16" s="72" t="s">
        <v>17</v>
      </c>
      <c r="I16" s="72" t="s">
        <v>16</v>
      </c>
      <c r="J16" s="71" t="s">
        <v>3</v>
      </c>
      <c r="K16" s="71" t="s">
        <v>4</v>
      </c>
      <c r="L16" s="73" t="s">
        <v>5</v>
      </c>
      <c r="M16" s="74" t="s">
        <v>21</v>
      </c>
      <c r="N16" s="70" t="s">
        <v>39</v>
      </c>
      <c r="O16" s="73" t="s">
        <v>40</v>
      </c>
      <c r="P16" s="70" t="s">
        <v>22</v>
      </c>
      <c r="Q16" s="70" t="s">
        <v>41</v>
      </c>
      <c r="R16" s="73" t="s">
        <v>42</v>
      </c>
      <c r="S16" s="172" t="s">
        <v>27</v>
      </c>
      <c r="T16" s="172"/>
    </row>
    <row r="17" spans="1:20" ht="21">
      <c r="A17" s="75" t="s">
        <v>15</v>
      </c>
      <c r="B17" s="76"/>
      <c r="C17" s="77" t="s">
        <v>50</v>
      </c>
      <c r="D17" s="78" t="s">
        <v>51</v>
      </c>
      <c r="E17" s="78"/>
      <c r="F17" s="78"/>
      <c r="G17" s="79"/>
      <c r="H17" s="80"/>
      <c r="I17" s="80"/>
      <c r="J17" s="81">
        <f>38.51*155+26.42*105+16.06*280+26.42*105+42.55*77+32.17*281+18.07*228+20.6*77+37.45*317+23.15*317+32.57*259+19.53*77+28.58*77+19.53*54+28.58*246</f>
        <v>73471.92999999998</v>
      </c>
      <c r="K17" s="81"/>
      <c r="L17" s="82">
        <f>SUM(J17:K17)</f>
        <v>73471.92999999998</v>
      </c>
      <c r="M17" s="83">
        <v>73471.93</v>
      </c>
      <c r="N17" s="83"/>
      <c r="O17" s="82">
        <f aca="true" t="shared" si="4" ref="O17:O22">+M17+N17</f>
        <v>73471.93</v>
      </c>
      <c r="P17" s="81">
        <f aca="true" t="shared" si="5" ref="P17:P26">M17*0.5</f>
        <v>36735.965</v>
      </c>
      <c r="Q17" s="81"/>
      <c r="R17" s="82">
        <f aca="true" t="shared" si="6" ref="R17:R26">+Q17+P17</f>
        <v>36735.965</v>
      </c>
      <c r="S17" s="171"/>
      <c r="T17" s="171"/>
    </row>
    <row r="18" spans="1:20" ht="21">
      <c r="A18" s="75" t="s">
        <v>15</v>
      </c>
      <c r="B18" s="76"/>
      <c r="C18" s="77" t="s">
        <v>53</v>
      </c>
      <c r="D18" s="78" t="s">
        <v>52</v>
      </c>
      <c r="E18" s="78"/>
      <c r="F18" s="78"/>
      <c r="G18" s="79"/>
      <c r="H18" s="80"/>
      <c r="I18" s="80"/>
      <c r="J18" s="81">
        <f>21.82*195+22.82*166+15.44*206</f>
        <v>11223.66</v>
      </c>
      <c r="K18" s="81"/>
      <c r="L18" s="82">
        <f aca="true" t="shared" si="7" ref="L18:L30">+K18+J18</f>
        <v>11223.66</v>
      </c>
      <c r="M18" s="83">
        <v>11223.66</v>
      </c>
      <c r="N18" s="83"/>
      <c r="O18" s="82">
        <f t="shared" si="4"/>
        <v>11223.66</v>
      </c>
      <c r="P18" s="81">
        <f t="shared" si="5"/>
        <v>5611.83</v>
      </c>
      <c r="Q18" s="81"/>
      <c r="R18" s="82">
        <f t="shared" si="6"/>
        <v>5611.83</v>
      </c>
      <c r="S18" s="171"/>
      <c r="T18" s="171"/>
    </row>
    <row r="19" spans="1:20" ht="21" customHeight="1">
      <c r="A19" s="75" t="s">
        <v>15</v>
      </c>
      <c r="B19" s="76"/>
      <c r="C19" s="77" t="s">
        <v>54</v>
      </c>
      <c r="D19" s="78" t="s">
        <v>55</v>
      </c>
      <c r="E19" s="78"/>
      <c r="F19" s="78"/>
      <c r="G19" s="79"/>
      <c r="H19" s="80"/>
      <c r="I19" s="80"/>
      <c r="J19" s="81">
        <f>34*230+18*190+18*170</f>
        <v>14300</v>
      </c>
      <c r="K19" s="81"/>
      <c r="L19" s="82">
        <f t="shared" si="7"/>
        <v>14300</v>
      </c>
      <c r="M19" s="83">
        <f>14300-7820</f>
        <v>6480</v>
      </c>
      <c r="N19" s="83"/>
      <c r="O19" s="82">
        <f t="shared" si="4"/>
        <v>6480</v>
      </c>
      <c r="P19" s="81">
        <f t="shared" si="5"/>
        <v>3240</v>
      </c>
      <c r="Q19" s="81"/>
      <c r="R19" s="82">
        <f t="shared" si="6"/>
        <v>3240</v>
      </c>
      <c r="S19" s="171" t="s">
        <v>56</v>
      </c>
      <c r="T19" s="171"/>
    </row>
    <row r="20" spans="1:20" ht="21">
      <c r="A20" s="75" t="s">
        <v>15</v>
      </c>
      <c r="B20" s="76"/>
      <c r="C20" s="77" t="s">
        <v>168</v>
      </c>
      <c r="D20" s="77" t="s">
        <v>57</v>
      </c>
      <c r="E20" s="78"/>
      <c r="F20" s="78"/>
      <c r="G20" s="79"/>
      <c r="H20" s="80"/>
      <c r="I20" s="80"/>
      <c r="J20" s="81">
        <f>192*32.33+185*31.69+134*38.24+211*41.95</f>
        <v>26045.62</v>
      </c>
      <c r="K20" s="81"/>
      <c r="L20" s="82">
        <f t="shared" si="7"/>
        <v>26045.62</v>
      </c>
      <c r="M20" s="83">
        <v>26045.62</v>
      </c>
      <c r="N20" s="83"/>
      <c r="O20" s="82">
        <f t="shared" si="4"/>
        <v>26045.62</v>
      </c>
      <c r="P20" s="81">
        <f t="shared" si="5"/>
        <v>13022.81</v>
      </c>
      <c r="Q20" s="81"/>
      <c r="R20" s="82">
        <f t="shared" si="6"/>
        <v>13022.81</v>
      </c>
      <c r="S20" s="171"/>
      <c r="T20" s="171"/>
    </row>
    <row r="21" spans="1:20" ht="21">
      <c r="A21" s="75" t="s">
        <v>78</v>
      </c>
      <c r="B21" s="76"/>
      <c r="C21" s="77" t="s">
        <v>54</v>
      </c>
      <c r="D21" s="77" t="s">
        <v>94</v>
      </c>
      <c r="E21" s="78"/>
      <c r="F21" s="78"/>
      <c r="G21" s="79"/>
      <c r="H21" s="80"/>
      <c r="I21" s="80"/>
      <c r="J21" s="81">
        <v>49450</v>
      </c>
      <c r="K21" s="81"/>
      <c r="L21" s="82">
        <f t="shared" si="7"/>
        <v>49450</v>
      </c>
      <c r="M21" s="83">
        <f>34*430+18*450+18*450+18*505+18*530</f>
        <v>49450</v>
      </c>
      <c r="N21" s="83"/>
      <c r="O21" s="82">
        <f t="shared" si="4"/>
        <v>49450</v>
      </c>
      <c r="P21" s="81">
        <f t="shared" si="5"/>
        <v>24725</v>
      </c>
      <c r="Q21" s="81"/>
      <c r="R21" s="82">
        <f t="shared" si="6"/>
        <v>24725</v>
      </c>
      <c r="S21" s="171"/>
      <c r="T21" s="171"/>
    </row>
    <row r="22" spans="1:20" ht="21">
      <c r="A22" s="75" t="s">
        <v>78</v>
      </c>
      <c r="B22" s="76"/>
      <c r="C22" s="77" t="s">
        <v>121</v>
      </c>
      <c r="D22" s="77" t="s">
        <v>122</v>
      </c>
      <c r="E22" s="78"/>
      <c r="F22" s="78"/>
      <c r="G22" s="79"/>
      <c r="H22" s="80"/>
      <c r="I22" s="80"/>
      <c r="J22" s="81">
        <v>2822</v>
      </c>
      <c r="K22" s="81"/>
      <c r="L22" s="82">
        <f t="shared" si="7"/>
        <v>2822</v>
      </c>
      <c r="M22" s="83">
        <f>20*111+14*43</f>
        <v>2822</v>
      </c>
      <c r="N22" s="83"/>
      <c r="O22" s="82">
        <f t="shared" si="4"/>
        <v>2822</v>
      </c>
      <c r="P22" s="81">
        <f t="shared" si="5"/>
        <v>1411</v>
      </c>
      <c r="Q22" s="81"/>
      <c r="R22" s="82">
        <f t="shared" si="6"/>
        <v>1411</v>
      </c>
      <c r="S22" s="171"/>
      <c r="T22" s="171"/>
    </row>
    <row r="23" spans="1:20" ht="21">
      <c r="A23" s="75" t="s">
        <v>78</v>
      </c>
      <c r="B23" s="76"/>
      <c r="C23" s="77" t="s">
        <v>53</v>
      </c>
      <c r="D23" s="77" t="s">
        <v>133</v>
      </c>
      <c r="E23" s="78"/>
      <c r="F23" s="78"/>
      <c r="G23" s="79"/>
      <c r="H23" s="80"/>
      <c r="I23" s="80"/>
      <c r="J23" s="81">
        <v>80530.38</v>
      </c>
      <c r="K23" s="81"/>
      <c r="L23" s="82">
        <f t="shared" si="7"/>
        <v>80530.38</v>
      </c>
      <c r="M23" s="83">
        <f>18.24*589+21.46*753.5+29.8*729+24.38*610.5+15.52*725+18.16*317</f>
        <v>80530.38</v>
      </c>
      <c r="N23" s="83"/>
      <c r="O23" s="82">
        <f aca="true" t="shared" si="8" ref="O23:O30">+N23+M23</f>
        <v>80530.38</v>
      </c>
      <c r="P23" s="81">
        <f t="shared" si="5"/>
        <v>40265.19</v>
      </c>
      <c r="Q23" s="81"/>
      <c r="R23" s="82">
        <f t="shared" si="6"/>
        <v>40265.19</v>
      </c>
      <c r="S23" s="171"/>
      <c r="T23" s="171"/>
    </row>
    <row r="24" spans="1:20" ht="21">
      <c r="A24" s="75" t="s">
        <v>78</v>
      </c>
      <c r="B24" s="76"/>
      <c r="C24" s="77" t="s">
        <v>168</v>
      </c>
      <c r="D24" s="77" t="s">
        <v>163</v>
      </c>
      <c r="E24" s="78"/>
      <c r="F24" s="78"/>
      <c r="G24" s="79"/>
      <c r="H24" s="80"/>
      <c r="I24" s="80"/>
      <c r="J24" s="81">
        <v>47158.5</v>
      </c>
      <c r="K24" s="81"/>
      <c r="L24" s="82">
        <f t="shared" si="7"/>
        <v>47158.5</v>
      </c>
      <c r="M24" s="83">
        <f>31.22*250+78.85*170+38.24*250+54.63*300</f>
        <v>47158.5</v>
      </c>
      <c r="N24" s="83"/>
      <c r="O24" s="82">
        <f t="shared" si="8"/>
        <v>47158.5</v>
      </c>
      <c r="P24" s="81">
        <f t="shared" si="5"/>
        <v>23579.25</v>
      </c>
      <c r="Q24" s="81"/>
      <c r="R24" s="82">
        <f t="shared" si="6"/>
        <v>23579.25</v>
      </c>
      <c r="S24" s="171"/>
      <c r="T24" s="171"/>
    </row>
    <row r="25" spans="1:20" ht="21">
      <c r="A25" s="75" t="s">
        <v>78</v>
      </c>
      <c r="B25" s="76"/>
      <c r="C25" s="77" t="s">
        <v>50</v>
      </c>
      <c r="D25" s="78"/>
      <c r="E25" s="78"/>
      <c r="F25" s="78"/>
      <c r="G25" s="79"/>
      <c r="H25" s="80"/>
      <c r="I25" s="80"/>
      <c r="J25" s="81">
        <v>210576.11</v>
      </c>
      <c r="K25" s="81"/>
      <c r="L25" s="82">
        <f t="shared" si="7"/>
        <v>210576.11</v>
      </c>
      <c r="M25" s="83">
        <f>10.2*83+18.58*198+10.2*90+13.97*144+10.2*88+29.38*50+21.64*234+29.99*50+21.64*70+32.57*50+23.5*140+43.05*120+26.42*130+34.34*150+42.55*43+20.6*43+28.58*252+19.53*164+28.58*43+19.53*43+158816.97</f>
        <v>210576.11000000002</v>
      </c>
      <c r="N25" s="83"/>
      <c r="O25" s="82">
        <f t="shared" si="8"/>
        <v>210576.11000000002</v>
      </c>
      <c r="P25" s="81">
        <f t="shared" si="5"/>
        <v>105288.05500000001</v>
      </c>
      <c r="Q25" s="81"/>
      <c r="R25" s="82">
        <f t="shared" si="6"/>
        <v>105288.05500000001</v>
      </c>
      <c r="S25" s="171"/>
      <c r="T25" s="171"/>
    </row>
    <row r="26" spans="1:20" ht="21">
      <c r="A26" s="75" t="s">
        <v>212</v>
      </c>
      <c r="B26" s="76"/>
      <c r="C26" s="77" t="s">
        <v>54</v>
      </c>
      <c r="D26" s="77" t="s">
        <v>213</v>
      </c>
      <c r="E26" s="78"/>
      <c r="F26" s="78"/>
      <c r="G26" s="79"/>
      <c r="H26" s="80"/>
      <c r="I26" s="80"/>
      <c r="J26" s="81">
        <v>30240</v>
      </c>
      <c r="K26" s="81"/>
      <c r="L26" s="82">
        <f t="shared" si="7"/>
        <v>30240</v>
      </c>
      <c r="M26" s="81">
        <v>30240</v>
      </c>
      <c r="N26" s="83"/>
      <c r="O26" s="82">
        <f t="shared" si="8"/>
        <v>30240</v>
      </c>
      <c r="P26" s="81">
        <f t="shared" si="5"/>
        <v>15120</v>
      </c>
      <c r="Q26" s="81"/>
      <c r="R26" s="82">
        <f t="shared" si="6"/>
        <v>15120</v>
      </c>
      <c r="S26" s="171"/>
      <c r="T26" s="171"/>
    </row>
    <row r="27" spans="1:20" ht="21">
      <c r="A27" s="75" t="s">
        <v>212</v>
      </c>
      <c r="B27" s="76"/>
      <c r="C27" s="77" t="s">
        <v>53</v>
      </c>
      <c r="D27" s="78" t="s">
        <v>133</v>
      </c>
      <c r="E27" s="78"/>
      <c r="F27" s="78"/>
      <c r="G27" s="79"/>
      <c r="H27" s="80"/>
      <c r="I27" s="80"/>
      <c r="J27" s="81">
        <v>52024.47</v>
      </c>
      <c r="K27" s="81"/>
      <c r="L27" s="82">
        <f t="shared" si="7"/>
        <v>52024.47</v>
      </c>
      <c r="M27" s="81">
        <v>52024.47</v>
      </c>
      <c r="N27" s="83"/>
      <c r="O27" s="82">
        <f t="shared" si="8"/>
        <v>52024.47</v>
      </c>
      <c r="P27" s="81">
        <f>M27*0.5</f>
        <v>26012.235</v>
      </c>
      <c r="Q27" s="81"/>
      <c r="R27" s="82">
        <f>+Q27+P27</f>
        <v>26012.235</v>
      </c>
      <c r="S27" s="171"/>
      <c r="T27" s="171"/>
    </row>
    <row r="28" spans="1:20" ht="21">
      <c r="A28" s="75" t="s">
        <v>212</v>
      </c>
      <c r="B28" s="76"/>
      <c r="C28" s="77" t="s">
        <v>168</v>
      </c>
      <c r="D28" s="77" t="s">
        <v>163</v>
      </c>
      <c r="E28" s="78"/>
      <c r="F28" s="78"/>
      <c r="G28" s="79"/>
      <c r="H28" s="80"/>
      <c r="I28" s="80"/>
      <c r="J28" s="81">
        <v>19599.4</v>
      </c>
      <c r="K28" s="81"/>
      <c r="L28" s="82">
        <f t="shared" si="7"/>
        <v>19599.4</v>
      </c>
      <c r="M28" s="81">
        <v>19599.4</v>
      </c>
      <c r="N28" s="83"/>
      <c r="O28" s="82">
        <f t="shared" si="8"/>
        <v>19599.4</v>
      </c>
      <c r="P28" s="81">
        <f>M28*0.5</f>
        <v>9799.7</v>
      </c>
      <c r="Q28" s="81"/>
      <c r="R28" s="82">
        <f>+Q28+P28</f>
        <v>9799.7</v>
      </c>
      <c r="S28" s="171"/>
      <c r="T28" s="171"/>
    </row>
    <row r="29" spans="1:20" ht="21">
      <c r="A29" s="75" t="s">
        <v>212</v>
      </c>
      <c r="B29" s="76"/>
      <c r="C29" s="77" t="s">
        <v>50</v>
      </c>
      <c r="D29" s="78" t="s">
        <v>267</v>
      </c>
      <c r="E29" s="78"/>
      <c r="F29" s="78"/>
      <c r="G29" s="79"/>
      <c r="H29" s="80"/>
      <c r="I29" s="80"/>
      <c r="J29" s="81">
        <v>91035.7</v>
      </c>
      <c r="K29" s="81"/>
      <c r="L29" s="82">
        <f t="shared" si="7"/>
        <v>91035.7</v>
      </c>
      <c r="M29" s="81">
        <v>91035.7</v>
      </c>
      <c r="N29" s="83"/>
      <c r="O29" s="82">
        <f t="shared" si="8"/>
        <v>91035.7</v>
      </c>
      <c r="P29" s="81">
        <f>M29*0.5</f>
        <v>45517.85</v>
      </c>
      <c r="Q29" s="81"/>
      <c r="R29" s="82">
        <f>+Q29+P29</f>
        <v>45517.85</v>
      </c>
      <c r="S29" s="171"/>
      <c r="T29" s="171"/>
    </row>
    <row r="30" spans="1:20" ht="21">
      <c r="A30" s="75" t="s">
        <v>212</v>
      </c>
      <c r="B30" s="76"/>
      <c r="C30" s="77" t="s">
        <v>121</v>
      </c>
      <c r="D30" s="77" t="s">
        <v>122</v>
      </c>
      <c r="E30" s="78"/>
      <c r="F30" s="78"/>
      <c r="G30" s="79"/>
      <c r="H30" s="80"/>
      <c r="I30" s="80"/>
      <c r="J30" s="81">
        <v>4166</v>
      </c>
      <c r="K30" s="81"/>
      <c r="L30" s="82">
        <f t="shared" si="7"/>
        <v>4166</v>
      </c>
      <c r="M30" s="81">
        <v>4166</v>
      </c>
      <c r="N30" s="83"/>
      <c r="O30" s="82">
        <f t="shared" si="8"/>
        <v>4166</v>
      </c>
      <c r="P30" s="81">
        <f>M30*0.5</f>
        <v>2083</v>
      </c>
      <c r="Q30" s="81"/>
      <c r="R30" s="82">
        <f>+Q30+P30</f>
        <v>2083</v>
      </c>
      <c r="S30" s="171"/>
      <c r="T30" s="171"/>
    </row>
    <row r="31" spans="1:20" ht="10.5" customHeight="1">
      <c r="A31" s="75"/>
      <c r="B31" s="76"/>
      <c r="C31" s="77"/>
      <c r="D31" s="78"/>
      <c r="E31" s="78"/>
      <c r="F31" s="78"/>
      <c r="G31" s="79"/>
      <c r="H31" s="80"/>
      <c r="I31" s="80"/>
      <c r="J31" s="81"/>
      <c r="K31" s="81"/>
      <c r="L31" s="82">
        <f>SUM(J31:K31)</f>
        <v>0</v>
      </c>
      <c r="M31" s="83">
        <f>L31</f>
        <v>0</v>
      </c>
      <c r="N31" s="81"/>
      <c r="O31" s="82"/>
      <c r="P31" s="81">
        <f>M31*0.65</f>
        <v>0</v>
      </c>
      <c r="Q31" s="81"/>
      <c r="R31" s="82"/>
      <c r="S31" s="171"/>
      <c r="T31" s="171"/>
    </row>
    <row r="32" ht="10.5"/>
    <row r="33" spans="1:20" ht="10.5">
      <c r="A33" s="225" t="s">
        <v>7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7"/>
      <c r="M33" s="41" t="s">
        <v>43</v>
      </c>
      <c r="N33" s="42" t="s">
        <v>44</v>
      </c>
      <c r="O33" s="43" t="s">
        <v>45</v>
      </c>
      <c r="P33" s="42" t="s">
        <v>46</v>
      </c>
      <c r="Q33" s="42" t="s">
        <v>47</v>
      </c>
      <c r="R33" s="43" t="s">
        <v>42</v>
      </c>
      <c r="S33" s="44" t="s">
        <v>25</v>
      </c>
      <c r="T33" s="45" t="s">
        <v>26</v>
      </c>
    </row>
    <row r="34" spans="1:21" ht="10.5">
      <c r="A34" s="206"/>
      <c r="B34" s="207"/>
      <c r="C34" s="177"/>
      <c r="D34" s="178"/>
      <c r="E34" s="178"/>
      <c r="F34" s="178"/>
      <c r="G34" s="178"/>
      <c r="H34" s="178"/>
      <c r="I34" s="178"/>
      <c r="J34" s="178"/>
      <c r="K34" s="179"/>
      <c r="L34" s="88" t="s">
        <v>12</v>
      </c>
      <c r="M34" s="89">
        <v>72921</v>
      </c>
      <c r="N34" s="52"/>
      <c r="O34" s="51"/>
      <c r="P34" s="52"/>
      <c r="Q34" s="52"/>
      <c r="R34" s="51">
        <f>SUM(P34:Q34)</f>
        <v>0</v>
      </c>
      <c r="S34" s="90"/>
      <c r="T34" s="90"/>
      <c r="U34" s="87"/>
    </row>
    <row r="35" spans="1:21" ht="10.5">
      <c r="A35" s="208"/>
      <c r="B35" s="209"/>
      <c r="C35" s="54"/>
      <c r="D35" s="55"/>
      <c r="E35" s="55"/>
      <c r="F35" s="55"/>
      <c r="G35" s="55"/>
      <c r="H35" s="55"/>
      <c r="I35" s="55"/>
      <c r="J35" s="55"/>
      <c r="K35" s="56">
        <v>0</v>
      </c>
      <c r="L35" s="91" t="s">
        <v>28</v>
      </c>
      <c r="M35" s="58"/>
      <c r="N35" s="58"/>
      <c r="O35" s="61"/>
      <c r="P35" s="58"/>
      <c r="Q35" s="58"/>
      <c r="R35" s="61"/>
      <c r="S35" s="59">
        <f>R35*0.375</f>
        <v>0</v>
      </c>
      <c r="T35" s="59">
        <f>R35-S35</f>
        <v>0</v>
      </c>
      <c r="U35" s="87"/>
    </row>
    <row r="36" spans="1:21" ht="10.5">
      <c r="A36" s="208"/>
      <c r="B36" s="209"/>
      <c r="C36" s="54"/>
      <c r="D36" s="55"/>
      <c r="E36" s="55"/>
      <c r="F36" s="92"/>
      <c r="G36" s="93"/>
      <c r="H36" s="55"/>
      <c r="I36" s="55"/>
      <c r="J36" s="55"/>
      <c r="K36" s="60"/>
      <c r="L36" s="91" t="s">
        <v>210</v>
      </c>
      <c r="M36" s="58"/>
      <c r="N36" s="58"/>
      <c r="O36" s="61"/>
      <c r="P36" s="58"/>
      <c r="Q36" s="58"/>
      <c r="R36" s="61"/>
      <c r="S36" s="59">
        <f>R36*0.375</f>
        <v>0</v>
      </c>
      <c r="T36" s="59">
        <f>R36-S36</f>
        <v>0</v>
      </c>
      <c r="U36" s="87"/>
    </row>
    <row r="37" spans="1:21" ht="10.5">
      <c r="A37" s="208"/>
      <c r="B37" s="209"/>
      <c r="C37" s="54"/>
      <c r="D37" s="55"/>
      <c r="E37" s="55"/>
      <c r="F37" s="55"/>
      <c r="G37" s="55"/>
      <c r="H37" s="55"/>
      <c r="I37" s="55"/>
      <c r="J37" s="55"/>
      <c r="K37" s="60"/>
      <c r="L37" s="91" t="s">
        <v>298</v>
      </c>
      <c r="M37" s="58"/>
      <c r="N37" s="56"/>
      <c r="O37" s="61"/>
      <c r="P37" s="56"/>
      <c r="Q37" s="56"/>
      <c r="R37" s="61"/>
      <c r="S37" s="59">
        <f>R37*0.375</f>
        <v>0</v>
      </c>
      <c r="T37" s="59">
        <f>R37-S37</f>
        <v>0</v>
      </c>
      <c r="U37" s="87"/>
    </row>
    <row r="38" spans="1:21" ht="10.5">
      <c r="A38" s="208"/>
      <c r="B38" s="209"/>
      <c r="C38" s="54"/>
      <c r="D38" s="55"/>
      <c r="E38" s="55"/>
      <c r="F38" s="55"/>
      <c r="G38" s="55"/>
      <c r="H38" s="55"/>
      <c r="I38" s="55"/>
      <c r="J38" s="55"/>
      <c r="K38" s="60"/>
      <c r="L38" s="91"/>
      <c r="M38" s="58"/>
      <c r="N38" s="56"/>
      <c r="O38" s="61"/>
      <c r="P38" s="56"/>
      <c r="Q38" s="56"/>
      <c r="R38" s="61"/>
      <c r="S38" s="59">
        <f>R38*0.375</f>
        <v>0</v>
      </c>
      <c r="T38" s="59">
        <f>R38-S38</f>
        <v>0</v>
      </c>
      <c r="U38" s="87"/>
    </row>
    <row r="39" spans="1:21" ht="10.5">
      <c r="A39" s="208"/>
      <c r="B39" s="209"/>
      <c r="C39" s="54"/>
      <c r="D39" s="55"/>
      <c r="E39" s="55"/>
      <c r="F39" s="55"/>
      <c r="G39" s="55"/>
      <c r="H39" s="55"/>
      <c r="I39" s="55"/>
      <c r="J39" s="55"/>
      <c r="K39" s="60"/>
      <c r="L39" s="91"/>
      <c r="M39" s="58"/>
      <c r="N39" s="56"/>
      <c r="O39" s="61"/>
      <c r="P39" s="56"/>
      <c r="Q39" s="56"/>
      <c r="R39" s="61"/>
      <c r="S39" s="59">
        <f>R39*0.375</f>
        <v>0</v>
      </c>
      <c r="T39" s="59">
        <f>R39-S39</f>
        <v>0</v>
      </c>
      <c r="U39" s="87"/>
    </row>
    <row r="40" spans="1:21" ht="10.5">
      <c r="A40" s="210"/>
      <c r="B40" s="211"/>
      <c r="C40" s="164"/>
      <c r="D40" s="165"/>
      <c r="E40" s="165"/>
      <c r="F40" s="165"/>
      <c r="G40" s="165"/>
      <c r="H40" s="165"/>
      <c r="I40" s="165"/>
      <c r="J40" s="165"/>
      <c r="K40" s="166"/>
      <c r="L40" s="94" t="s">
        <v>13</v>
      </c>
      <c r="M40" s="66">
        <f>M34-M35-M36-M37-M38-M39</f>
        <v>72921</v>
      </c>
      <c r="N40" s="67">
        <f>N34-N35-N36-N37-N38-N39</f>
        <v>0</v>
      </c>
      <c r="O40" s="68"/>
      <c r="P40" s="67"/>
      <c r="Q40" s="67"/>
      <c r="R40" s="68"/>
      <c r="S40" s="59"/>
      <c r="T40" s="59"/>
      <c r="U40" s="87"/>
    </row>
    <row r="41" spans="1:20" ht="21">
      <c r="A41" s="70" t="s">
        <v>14</v>
      </c>
      <c r="B41" s="70" t="s">
        <v>11</v>
      </c>
      <c r="C41" s="71" t="s">
        <v>24</v>
      </c>
      <c r="D41" s="71" t="s">
        <v>20</v>
      </c>
      <c r="E41" s="72" t="s">
        <v>2</v>
      </c>
      <c r="F41" s="71" t="s">
        <v>19</v>
      </c>
      <c r="G41" s="71" t="s">
        <v>18</v>
      </c>
      <c r="H41" s="72" t="s">
        <v>17</v>
      </c>
      <c r="I41" s="72" t="s">
        <v>16</v>
      </c>
      <c r="J41" s="71" t="s">
        <v>3</v>
      </c>
      <c r="K41" s="71" t="s">
        <v>4</v>
      </c>
      <c r="L41" s="73" t="s">
        <v>5</v>
      </c>
      <c r="M41" s="74" t="s">
        <v>21</v>
      </c>
      <c r="N41" s="70" t="s">
        <v>39</v>
      </c>
      <c r="O41" s="73" t="s">
        <v>40</v>
      </c>
      <c r="P41" s="70" t="s">
        <v>22</v>
      </c>
      <c r="Q41" s="70" t="s">
        <v>41</v>
      </c>
      <c r="R41" s="73" t="s">
        <v>42</v>
      </c>
      <c r="S41" s="172" t="s">
        <v>27</v>
      </c>
      <c r="T41" s="172"/>
    </row>
    <row r="42" spans="1:20" ht="56.25" customHeight="1">
      <c r="A42" s="75" t="s">
        <v>78</v>
      </c>
      <c r="B42" s="76"/>
      <c r="C42" s="77" t="s">
        <v>50</v>
      </c>
      <c r="D42" s="77" t="s">
        <v>169</v>
      </c>
      <c r="E42" s="77" t="s">
        <v>170</v>
      </c>
      <c r="F42" s="77" t="s">
        <v>171</v>
      </c>
      <c r="G42" s="95">
        <v>38750</v>
      </c>
      <c r="H42" s="95">
        <v>38761</v>
      </c>
      <c r="I42" s="95" t="s">
        <v>172</v>
      </c>
      <c r="J42" s="142">
        <f>1380+117.3</f>
        <v>1497.3</v>
      </c>
      <c r="K42" s="142">
        <v>0</v>
      </c>
      <c r="L42" s="140">
        <v>1497.3</v>
      </c>
      <c r="M42" s="139"/>
      <c r="N42" s="139"/>
      <c r="O42" s="82"/>
      <c r="P42" s="81"/>
      <c r="Q42" s="81"/>
      <c r="R42" s="82"/>
      <c r="S42" s="218" t="s">
        <v>301</v>
      </c>
      <c r="T42" s="219"/>
    </row>
    <row r="43" spans="1:20" ht="69" customHeight="1">
      <c r="A43" s="75" t="s">
        <v>78</v>
      </c>
      <c r="B43" s="76"/>
      <c r="C43" s="77" t="s">
        <v>50</v>
      </c>
      <c r="D43" s="77" t="s">
        <v>173</v>
      </c>
      <c r="E43" s="77" t="s">
        <v>174</v>
      </c>
      <c r="F43" s="77" t="s">
        <v>175</v>
      </c>
      <c r="G43" s="95">
        <v>38754</v>
      </c>
      <c r="H43" s="95">
        <v>38761</v>
      </c>
      <c r="I43" s="95" t="s">
        <v>172</v>
      </c>
      <c r="J43" s="142">
        <v>4000</v>
      </c>
      <c r="K43" s="142">
        <v>800</v>
      </c>
      <c r="L43" s="140">
        <v>4800</v>
      </c>
      <c r="M43" s="139"/>
      <c r="N43" s="139"/>
      <c r="O43" s="82"/>
      <c r="P43" s="81"/>
      <c r="Q43" s="81"/>
      <c r="R43" s="82"/>
      <c r="S43" s="218" t="s">
        <v>301</v>
      </c>
      <c r="T43" s="219"/>
    </row>
    <row r="44" spans="1:20" ht="52.5" customHeight="1">
      <c r="A44" s="75" t="s">
        <v>78</v>
      </c>
      <c r="B44" s="76"/>
      <c r="C44" s="77" t="s">
        <v>50</v>
      </c>
      <c r="D44" s="77" t="s">
        <v>176</v>
      </c>
      <c r="E44" s="77" t="s">
        <v>177</v>
      </c>
      <c r="F44" s="77" t="s">
        <v>171</v>
      </c>
      <c r="G44" s="95">
        <v>38743</v>
      </c>
      <c r="H44" s="95">
        <v>38761</v>
      </c>
      <c r="I44" s="95" t="s">
        <v>172</v>
      </c>
      <c r="J44" s="142">
        <f>2760+234.6</f>
        <v>2994.6</v>
      </c>
      <c r="K44" s="142">
        <v>0</v>
      </c>
      <c r="L44" s="140">
        <v>2994.6</v>
      </c>
      <c r="M44" s="139"/>
      <c r="N44" s="139"/>
      <c r="O44" s="82"/>
      <c r="P44" s="81"/>
      <c r="Q44" s="81"/>
      <c r="R44" s="82"/>
      <c r="S44" s="218" t="s">
        <v>301</v>
      </c>
      <c r="T44" s="219"/>
    </row>
    <row r="45" spans="1:20" ht="52.5" customHeight="1">
      <c r="A45" s="75" t="s">
        <v>212</v>
      </c>
      <c r="B45" s="76"/>
      <c r="C45" s="77" t="s">
        <v>50</v>
      </c>
      <c r="D45" s="168" t="s">
        <v>268</v>
      </c>
      <c r="E45" s="168" t="s">
        <v>269</v>
      </c>
      <c r="F45" s="168" t="s">
        <v>171</v>
      </c>
      <c r="G45" s="169">
        <v>38811</v>
      </c>
      <c r="H45" s="169">
        <v>38811</v>
      </c>
      <c r="I45" s="169" t="s">
        <v>172</v>
      </c>
      <c r="J45" s="180">
        <v>1843.32</v>
      </c>
      <c r="K45" s="180"/>
      <c r="L45" s="140">
        <v>1843.32</v>
      </c>
      <c r="M45" s="139"/>
      <c r="N45" s="139"/>
      <c r="O45" s="82"/>
      <c r="P45" s="81"/>
      <c r="Q45" s="81"/>
      <c r="R45" s="82"/>
      <c r="S45" s="203" t="s">
        <v>302</v>
      </c>
      <c r="T45" s="204"/>
    </row>
    <row r="46" spans="1:20" ht="52.5" customHeight="1">
      <c r="A46" s="75" t="s">
        <v>212</v>
      </c>
      <c r="B46" s="76"/>
      <c r="C46" s="77" t="s">
        <v>50</v>
      </c>
      <c r="D46" s="168" t="s">
        <v>270</v>
      </c>
      <c r="E46" s="168" t="s">
        <v>271</v>
      </c>
      <c r="F46" s="168" t="s">
        <v>171</v>
      </c>
      <c r="G46" s="169">
        <v>38810</v>
      </c>
      <c r="H46" s="169">
        <v>38811</v>
      </c>
      <c r="I46" s="169" t="s">
        <v>172</v>
      </c>
      <c r="J46" s="180">
        <v>2300</v>
      </c>
      <c r="K46" s="180">
        <v>0</v>
      </c>
      <c r="L46" s="140">
        <v>2300</v>
      </c>
      <c r="M46" s="139"/>
      <c r="N46" s="139"/>
      <c r="O46" s="82"/>
      <c r="P46" s="81"/>
      <c r="Q46" s="81"/>
      <c r="R46" s="82"/>
      <c r="S46" s="203" t="s">
        <v>302</v>
      </c>
      <c r="T46" s="204"/>
    </row>
    <row r="47" spans="1:20" ht="10.5">
      <c r="A47" s="75"/>
      <c r="B47" s="76"/>
      <c r="C47" s="77"/>
      <c r="D47" s="71"/>
      <c r="E47" s="72"/>
      <c r="F47" s="71"/>
      <c r="G47" s="71"/>
      <c r="H47" s="72"/>
      <c r="I47" s="72"/>
      <c r="J47" s="71"/>
      <c r="K47" s="71"/>
      <c r="L47" s="73"/>
      <c r="M47" s="74"/>
      <c r="N47" s="70"/>
      <c r="O47" s="73"/>
      <c r="P47" s="70"/>
      <c r="Q47" s="70"/>
      <c r="R47" s="73"/>
      <c r="S47" s="70"/>
      <c r="T47" s="70"/>
    </row>
    <row r="48" spans="1:20" ht="10.5" customHeight="1">
      <c r="A48" s="75"/>
      <c r="B48" s="76"/>
      <c r="C48" s="78"/>
      <c r="D48" s="77"/>
      <c r="E48" s="78"/>
      <c r="F48" s="77"/>
      <c r="G48" s="79"/>
      <c r="H48" s="95"/>
      <c r="I48" s="95"/>
      <c r="J48" s="81"/>
      <c r="K48" s="81">
        <f>+J48*0.2</f>
        <v>0</v>
      </c>
      <c r="L48" s="82">
        <f>SUM(J48:K48)</f>
        <v>0</v>
      </c>
      <c r="M48" s="83">
        <v>0</v>
      </c>
      <c r="N48" s="83"/>
      <c r="O48" s="82"/>
      <c r="P48" s="81">
        <f>M48*0.65</f>
        <v>0</v>
      </c>
      <c r="Q48" s="81"/>
      <c r="R48" s="82"/>
      <c r="S48" s="171"/>
      <c r="T48" s="171"/>
    </row>
    <row r="49" ht="10.5"/>
    <row r="50" spans="1:20" ht="10.5">
      <c r="A50" s="212" t="s">
        <v>1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4"/>
      <c r="M50" s="41" t="s">
        <v>43</v>
      </c>
      <c r="N50" s="42" t="s">
        <v>44</v>
      </c>
      <c r="O50" s="43" t="s">
        <v>45</v>
      </c>
      <c r="P50" s="42" t="s">
        <v>46</v>
      </c>
      <c r="Q50" s="42" t="s">
        <v>47</v>
      </c>
      <c r="R50" s="43" t="s">
        <v>42</v>
      </c>
      <c r="S50" s="44" t="s">
        <v>25</v>
      </c>
      <c r="T50" s="45" t="s">
        <v>26</v>
      </c>
    </row>
    <row r="51" spans="1:21" ht="10.5">
      <c r="A51" s="208"/>
      <c r="B51" s="209"/>
      <c r="C51" s="215"/>
      <c r="D51" s="216"/>
      <c r="E51" s="216"/>
      <c r="F51" s="216"/>
      <c r="G51" s="216"/>
      <c r="H51" s="216"/>
      <c r="I51" s="216"/>
      <c r="J51" s="216"/>
      <c r="K51" s="217"/>
      <c r="L51" s="49" t="s">
        <v>12</v>
      </c>
      <c r="M51" s="89">
        <v>112511</v>
      </c>
      <c r="N51" s="52"/>
      <c r="O51" s="51"/>
      <c r="P51" s="52"/>
      <c r="Q51" s="52"/>
      <c r="R51" s="51"/>
      <c r="S51" s="90"/>
      <c r="T51" s="90"/>
      <c r="U51" s="87"/>
    </row>
    <row r="52" spans="1:21" ht="10.5">
      <c r="A52" s="208"/>
      <c r="B52" s="209"/>
      <c r="C52" s="54"/>
      <c r="D52" s="55"/>
      <c r="E52" s="55"/>
      <c r="F52" s="55"/>
      <c r="G52" s="55"/>
      <c r="H52" s="55"/>
      <c r="I52" s="55"/>
      <c r="J52" s="55"/>
      <c r="K52" s="96"/>
      <c r="L52" s="57" t="s">
        <v>28</v>
      </c>
      <c r="M52" s="58"/>
      <c r="N52" s="56">
        <f>SUM(N59:N61)</f>
        <v>0</v>
      </c>
      <c r="O52" s="61"/>
      <c r="P52" s="56"/>
      <c r="Q52" s="56">
        <f>SUM(Q59:Q61)</f>
        <v>0</v>
      </c>
      <c r="R52" s="61"/>
      <c r="S52" s="59">
        <f>R52*0.375</f>
        <v>0</v>
      </c>
      <c r="T52" s="59">
        <f>R52-S52</f>
        <v>0</v>
      </c>
      <c r="U52" s="87"/>
    </row>
    <row r="53" spans="1:21" ht="10.5">
      <c r="A53" s="208"/>
      <c r="B53" s="209"/>
      <c r="C53" s="54"/>
      <c r="D53" s="55"/>
      <c r="E53" s="55"/>
      <c r="F53" s="55"/>
      <c r="G53" s="55"/>
      <c r="H53" s="55"/>
      <c r="I53" s="55"/>
      <c r="J53" s="55"/>
      <c r="K53" s="60"/>
      <c r="L53" s="57" t="s">
        <v>210</v>
      </c>
      <c r="M53" s="58">
        <v>0</v>
      </c>
      <c r="N53" s="56"/>
      <c r="O53" s="61"/>
      <c r="P53" s="56">
        <v>0</v>
      </c>
      <c r="Q53" s="97"/>
      <c r="R53" s="98"/>
      <c r="S53" s="59">
        <f>R53*0.375</f>
        <v>0</v>
      </c>
      <c r="T53" s="59">
        <f>R53-S53</f>
        <v>0</v>
      </c>
      <c r="U53" s="87"/>
    </row>
    <row r="54" spans="1:21" ht="10.5">
      <c r="A54" s="208"/>
      <c r="B54" s="209"/>
      <c r="C54" s="54"/>
      <c r="D54" s="55"/>
      <c r="E54" s="55"/>
      <c r="F54" s="55"/>
      <c r="G54" s="55"/>
      <c r="H54" s="55"/>
      <c r="I54" s="55"/>
      <c r="J54" s="55"/>
      <c r="K54" s="60"/>
      <c r="L54" s="57" t="s">
        <v>298</v>
      </c>
      <c r="M54" s="58"/>
      <c r="N54" s="56"/>
      <c r="O54" s="61">
        <f>+N54+M54</f>
        <v>0</v>
      </c>
      <c r="P54" s="58"/>
      <c r="Q54" s="56"/>
      <c r="R54" s="61">
        <f>+Q54+P54</f>
        <v>0</v>
      </c>
      <c r="S54" s="59">
        <f>R54*0.375</f>
        <v>0</v>
      </c>
      <c r="T54" s="59">
        <f>R54-S54</f>
        <v>0</v>
      </c>
      <c r="U54" s="87"/>
    </row>
    <row r="55" spans="1:21" ht="10.5">
      <c r="A55" s="208"/>
      <c r="B55" s="209"/>
      <c r="C55" s="54"/>
      <c r="D55" s="55"/>
      <c r="E55" s="55"/>
      <c r="F55" s="55"/>
      <c r="G55" s="55"/>
      <c r="H55" s="55"/>
      <c r="I55" s="55"/>
      <c r="J55" s="55"/>
      <c r="K55" s="60"/>
      <c r="L55" s="91"/>
      <c r="M55" s="58"/>
      <c r="N55" s="56"/>
      <c r="O55" s="61"/>
      <c r="P55" s="58"/>
      <c r="Q55" s="56"/>
      <c r="R55" s="61">
        <f>+Q55+P55</f>
        <v>0</v>
      </c>
      <c r="S55" s="59">
        <f>R55*0.375</f>
        <v>0</v>
      </c>
      <c r="T55" s="59">
        <f>R55-S55</f>
        <v>0</v>
      </c>
      <c r="U55" s="87"/>
    </row>
    <row r="56" spans="1:21" ht="10.5">
      <c r="A56" s="208"/>
      <c r="B56" s="209"/>
      <c r="C56" s="54"/>
      <c r="D56" s="55"/>
      <c r="E56" s="55"/>
      <c r="F56" s="55"/>
      <c r="G56" s="55"/>
      <c r="H56" s="55"/>
      <c r="I56" s="55"/>
      <c r="J56" s="55"/>
      <c r="K56" s="60"/>
      <c r="L56" s="91"/>
      <c r="M56" s="58"/>
      <c r="N56" s="56"/>
      <c r="O56" s="61"/>
      <c r="P56" s="58"/>
      <c r="Q56" s="56"/>
      <c r="R56" s="61">
        <f>+Q56+P56</f>
        <v>0</v>
      </c>
      <c r="S56" s="59">
        <f>R56*0.375</f>
        <v>0</v>
      </c>
      <c r="T56" s="59">
        <f>R56-S56</f>
        <v>0</v>
      </c>
      <c r="U56" s="87"/>
    </row>
    <row r="57" spans="1:21" ht="10.5">
      <c r="A57" s="210"/>
      <c r="B57" s="211"/>
      <c r="C57" s="164"/>
      <c r="D57" s="165"/>
      <c r="E57" s="165"/>
      <c r="F57" s="165"/>
      <c r="G57" s="165"/>
      <c r="H57" s="165"/>
      <c r="I57" s="165"/>
      <c r="J57" s="165"/>
      <c r="K57" s="166"/>
      <c r="L57" s="65" t="s">
        <v>13</v>
      </c>
      <c r="M57" s="66">
        <f>M51-M52-M53</f>
        <v>112511</v>
      </c>
      <c r="N57" s="67"/>
      <c r="O57" s="68"/>
      <c r="P57" s="100">
        <f>P51-P52</f>
        <v>0</v>
      </c>
      <c r="Q57" s="101"/>
      <c r="R57" s="102"/>
      <c r="S57" s="101"/>
      <c r="T57" s="12"/>
      <c r="U57" s="87"/>
    </row>
    <row r="58" spans="1:20" ht="34.5" customHeight="1">
      <c r="A58" s="70" t="s">
        <v>14</v>
      </c>
      <c r="B58" s="70" t="s">
        <v>11</v>
      </c>
      <c r="C58" s="71" t="s">
        <v>24</v>
      </c>
      <c r="D58" s="71" t="s">
        <v>20</v>
      </c>
      <c r="E58" s="72" t="s">
        <v>2</v>
      </c>
      <c r="F58" s="71" t="s">
        <v>19</v>
      </c>
      <c r="G58" s="71" t="s">
        <v>18</v>
      </c>
      <c r="H58" s="72" t="s">
        <v>17</v>
      </c>
      <c r="I58" s="72" t="s">
        <v>16</v>
      </c>
      <c r="J58" s="71" t="s">
        <v>3</v>
      </c>
      <c r="K58" s="71" t="s">
        <v>4</v>
      </c>
      <c r="L58" s="73" t="s">
        <v>5</v>
      </c>
      <c r="M58" s="74" t="s">
        <v>21</v>
      </c>
      <c r="N58" s="70" t="s">
        <v>39</v>
      </c>
      <c r="O58" s="73" t="s">
        <v>40</v>
      </c>
      <c r="P58" s="70" t="s">
        <v>22</v>
      </c>
      <c r="Q58" s="70" t="s">
        <v>41</v>
      </c>
      <c r="R58" s="73" t="s">
        <v>42</v>
      </c>
      <c r="S58" s="172" t="s">
        <v>27</v>
      </c>
      <c r="T58" s="172"/>
    </row>
    <row r="59" spans="1:20" ht="21">
      <c r="A59" s="75" t="s">
        <v>212</v>
      </c>
      <c r="B59" s="76"/>
      <c r="C59" s="77" t="s">
        <v>50</v>
      </c>
      <c r="D59" s="77" t="s">
        <v>272</v>
      </c>
      <c r="E59" s="77" t="s">
        <v>273</v>
      </c>
      <c r="F59" s="78" t="s">
        <v>274</v>
      </c>
      <c r="G59" s="79">
        <v>38791</v>
      </c>
      <c r="H59" s="80">
        <v>38826</v>
      </c>
      <c r="I59" s="80" t="s">
        <v>180</v>
      </c>
      <c r="J59" s="81">
        <v>3445.5</v>
      </c>
      <c r="K59" s="81">
        <v>689.1</v>
      </c>
      <c r="L59" s="82">
        <v>4134.6</v>
      </c>
      <c r="M59" s="83"/>
      <c r="N59" s="81"/>
      <c r="O59" s="82"/>
      <c r="P59" s="81"/>
      <c r="Q59" s="81"/>
      <c r="R59" s="82"/>
      <c r="S59" s="170" t="s">
        <v>303</v>
      </c>
      <c r="T59" s="170"/>
    </row>
    <row r="60" spans="1:20" ht="10.5">
      <c r="A60" s="75"/>
      <c r="B60" s="76"/>
      <c r="C60" s="78"/>
      <c r="D60" s="77"/>
      <c r="E60" s="77"/>
      <c r="F60" s="78"/>
      <c r="G60" s="79"/>
      <c r="H60" s="80"/>
      <c r="I60" s="80"/>
      <c r="J60" s="81"/>
      <c r="K60" s="81"/>
      <c r="L60" s="82"/>
      <c r="M60" s="83"/>
      <c r="N60" s="81"/>
      <c r="O60" s="82"/>
      <c r="P60" s="81"/>
      <c r="Q60" s="81"/>
      <c r="R60" s="82"/>
      <c r="S60" s="103"/>
      <c r="T60" s="103"/>
    </row>
    <row r="61" spans="1:20" ht="10.5">
      <c r="A61" s="104"/>
      <c r="B61" s="76"/>
      <c r="C61" s="78"/>
      <c r="D61" s="78"/>
      <c r="E61" s="78"/>
      <c r="F61" s="78"/>
      <c r="G61" s="79"/>
      <c r="H61" s="80"/>
      <c r="I61" s="80"/>
      <c r="J61" s="81"/>
      <c r="K61" s="81"/>
      <c r="L61" s="82"/>
      <c r="M61" s="83"/>
      <c r="N61" s="81"/>
      <c r="O61" s="82"/>
      <c r="P61" s="81"/>
      <c r="Q61" s="81"/>
      <c r="R61" s="82"/>
      <c r="S61" s="170"/>
      <c r="T61" s="170"/>
    </row>
    <row r="62" ht="10.5"/>
    <row r="63" spans="1:20" ht="10.5">
      <c r="A63" s="212" t="s">
        <v>8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4"/>
      <c r="M63" s="41" t="s">
        <v>43</v>
      </c>
      <c r="N63" s="42" t="s">
        <v>44</v>
      </c>
      <c r="O63" s="43" t="s">
        <v>45</v>
      </c>
      <c r="P63" s="42" t="s">
        <v>46</v>
      </c>
      <c r="Q63" s="42" t="s">
        <v>47</v>
      </c>
      <c r="R63" s="43" t="s">
        <v>42</v>
      </c>
      <c r="S63" s="44" t="s">
        <v>25</v>
      </c>
      <c r="T63" s="45" t="s">
        <v>26</v>
      </c>
    </row>
    <row r="64" spans="1:21" ht="10.5">
      <c r="A64" s="208"/>
      <c r="B64" s="209"/>
      <c r="C64" s="215"/>
      <c r="D64" s="216"/>
      <c r="E64" s="216"/>
      <c r="F64" s="216"/>
      <c r="G64" s="216"/>
      <c r="H64" s="216"/>
      <c r="I64" s="216"/>
      <c r="J64" s="216"/>
      <c r="K64" s="217"/>
      <c r="L64" s="105" t="s">
        <v>12</v>
      </c>
      <c r="M64" s="89">
        <v>45628</v>
      </c>
      <c r="N64" s="52"/>
      <c r="O64" s="51"/>
      <c r="P64" s="52"/>
      <c r="Q64" s="52"/>
      <c r="R64" s="51"/>
      <c r="S64" s="90"/>
      <c r="T64" s="90"/>
      <c r="U64" s="87"/>
    </row>
    <row r="65" spans="1:21" ht="10.5">
      <c r="A65" s="208"/>
      <c r="B65" s="209"/>
      <c r="C65" s="54"/>
      <c r="D65" s="55"/>
      <c r="E65" s="55"/>
      <c r="F65" s="55"/>
      <c r="G65" s="55"/>
      <c r="H65" s="55"/>
      <c r="I65" s="55"/>
      <c r="J65" s="55"/>
      <c r="K65" s="56"/>
      <c r="L65" s="57" t="s">
        <v>28</v>
      </c>
      <c r="M65" s="58"/>
      <c r="N65" s="56">
        <f>SUM(N72:N74)</f>
        <v>0</v>
      </c>
      <c r="O65" s="61"/>
      <c r="P65" s="56"/>
      <c r="Q65" s="56">
        <f>SUM(Q72:Q74)</f>
        <v>0</v>
      </c>
      <c r="R65" s="61"/>
      <c r="S65" s="59">
        <f>R65*0.375</f>
        <v>0</v>
      </c>
      <c r="T65" s="59">
        <f>R65-S65</f>
        <v>0</v>
      </c>
      <c r="U65" s="87"/>
    </row>
    <row r="66" spans="1:21" ht="10.5">
      <c r="A66" s="208"/>
      <c r="B66" s="209"/>
      <c r="C66" s="54"/>
      <c r="D66" s="55"/>
      <c r="E66" s="55"/>
      <c r="F66" s="55"/>
      <c r="G66" s="55"/>
      <c r="H66" s="55"/>
      <c r="I66" s="55"/>
      <c r="J66" s="55"/>
      <c r="K66" s="60"/>
      <c r="L66" s="57" t="s">
        <v>210</v>
      </c>
      <c r="M66" s="58">
        <v>0</v>
      </c>
      <c r="N66" s="56"/>
      <c r="O66" s="61"/>
      <c r="P66" s="56">
        <v>0</v>
      </c>
      <c r="Q66" s="97"/>
      <c r="R66" s="98"/>
      <c r="S66" s="59">
        <f>R66*0.375</f>
        <v>0</v>
      </c>
      <c r="T66" s="59">
        <f>R66-S66</f>
        <v>0</v>
      </c>
      <c r="U66" s="87"/>
    </row>
    <row r="67" spans="1:21" ht="10.5">
      <c r="A67" s="208"/>
      <c r="B67" s="209"/>
      <c r="C67" s="54"/>
      <c r="D67" s="55"/>
      <c r="E67" s="55"/>
      <c r="F67" s="55"/>
      <c r="G67" s="55"/>
      <c r="H67" s="55"/>
      <c r="I67" s="55"/>
      <c r="J67" s="55"/>
      <c r="K67" s="60"/>
      <c r="L67" s="57" t="s">
        <v>298</v>
      </c>
      <c r="M67" s="58"/>
      <c r="N67" s="56"/>
      <c r="O67" s="61"/>
      <c r="P67" s="56"/>
      <c r="Q67" s="97"/>
      <c r="R67" s="98"/>
      <c r="S67" s="59">
        <f>R67*0.375</f>
        <v>0</v>
      </c>
      <c r="T67" s="59">
        <f>R67-S67</f>
        <v>0</v>
      </c>
      <c r="U67" s="87"/>
    </row>
    <row r="68" spans="1:21" ht="10.5">
      <c r="A68" s="208"/>
      <c r="B68" s="209"/>
      <c r="C68" s="54"/>
      <c r="D68" s="55"/>
      <c r="E68" s="55"/>
      <c r="F68" s="55"/>
      <c r="G68" s="55"/>
      <c r="H68" s="55"/>
      <c r="I68" s="55"/>
      <c r="J68" s="55"/>
      <c r="K68" s="60"/>
      <c r="L68" s="91"/>
      <c r="M68" s="58"/>
      <c r="N68" s="56"/>
      <c r="O68" s="61"/>
      <c r="P68" s="56"/>
      <c r="Q68" s="97"/>
      <c r="R68" s="98"/>
      <c r="S68" s="59">
        <f>R68*0.375</f>
        <v>0</v>
      </c>
      <c r="T68" s="59">
        <f>R68-S68</f>
        <v>0</v>
      </c>
      <c r="U68" s="87"/>
    </row>
    <row r="69" spans="1:21" ht="10.5">
      <c r="A69" s="208"/>
      <c r="B69" s="209"/>
      <c r="C69" s="54"/>
      <c r="D69" s="55"/>
      <c r="E69" s="55"/>
      <c r="F69" s="55"/>
      <c r="G69" s="55"/>
      <c r="H69" s="55"/>
      <c r="I69" s="55"/>
      <c r="J69" s="55"/>
      <c r="K69" s="60"/>
      <c r="L69" s="91"/>
      <c r="M69" s="58"/>
      <c r="N69" s="56"/>
      <c r="O69" s="61"/>
      <c r="P69" s="56"/>
      <c r="Q69" s="97"/>
      <c r="R69" s="98"/>
      <c r="S69" s="99"/>
      <c r="T69" s="99"/>
      <c r="U69" s="87"/>
    </row>
    <row r="70" spans="1:21" ht="10.5">
      <c r="A70" s="210"/>
      <c r="B70" s="211"/>
      <c r="C70" s="164"/>
      <c r="D70" s="165"/>
      <c r="E70" s="165"/>
      <c r="F70" s="165"/>
      <c r="G70" s="165"/>
      <c r="H70" s="165"/>
      <c r="I70" s="165"/>
      <c r="J70" s="165"/>
      <c r="K70" s="166"/>
      <c r="L70" s="65" t="s">
        <v>13</v>
      </c>
      <c r="M70" s="66">
        <f>M64-M65-M66</f>
        <v>45628</v>
      </c>
      <c r="N70" s="67">
        <f>N64-N65-N66</f>
        <v>0</v>
      </c>
      <c r="O70" s="68"/>
      <c r="P70" s="67"/>
      <c r="Q70" s="67"/>
      <c r="R70" s="68"/>
      <c r="S70" s="12"/>
      <c r="T70" s="12"/>
      <c r="U70" s="87"/>
    </row>
    <row r="71" spans="1:20" ht="30.75" customHeight="1">
      <c r="A71" s="70" t="s">
        <v>14</v>
      </c>
      <c r="B71" s="70" t="s">
        <v>11</v>
      </c>
      <c r="C71" s="71" t="s">
        <v>24</v>
      </c>
      <c r="D71" s="71" t="s">
        <v>20</v>
      </c>
      <c r="E71" s="72" t="s">
        <v>2</v>
      </c>
      <c r="F71" s="71" t="s">
        <v>19</v>
      </c>
      <c r="G71" s="71" t="s">
        <v>18</v>
      </c>
      <c r="H71" s="72" t="s">
        <v>17</v>
      </c>
      <c r="I71" s="72" t="s">
        <v>16</v>
      </c>
      <c r="J71" s="71" t="s">
        <v>3</v>
      </c>
      <c r="K71" s="71" t="s">
        <v>4</v>
      </c>
      <c r="L71" s="73" t="s">
        <v>5</v>
      </c>
      <c r="M71" s="74" t="s">
        <v>21</v>
      </c>
      <c r="N71" s="70" t="s">
        <v>39</v>
      </c>
      <c r="O71" s="73" t="s">
        <v>40</v>
      </c>
      <c r="P71" s="70" t="s">
        <v>22</v>
      </c>
      <c r="Q71" s="70" t="s">
        <v>41</v>
      </c>
      <c r="R71" s="73" t="s">
        <v>42</v>
      </c>
      <c r="S71" s="172" t="s">
        <v>27</v>
      </c>
      <c r="T71" s="172"/>
    </row>
    <row r="72" spans="1:20" ht="21">
      <c r="A72" s="75" t="s">
        <v>212</v>
      </c>
      <c r="B72" s="76"/>
      <c r="C72" s="77" t="s">
        <v>50</v>
      </c>
      <c r="D72" s="103" t="s">
        <v>275</v>
      </c>
      <c r="E72" s="76" t="s">
        <v>276</v>
      </c>
      <c r="F72" s="76">
        <v>326</v>
      </c>
      <c r="G72" s="106">
        <v>38776</v>
      </c>
      <c r="H72" s="107" t="s">
        <v>277</v>
      </c>
      <c r="I72" s="108" t="s">
        <v>180</v>
      </c>
      <c r="J72" s="81">
        <v>1120</v>
      </c>
      <c r="K72" s="81">
        <v>224</v>
      </c>
      <c r="L72" s="109">
        <v>1344</v>
      </c>
      <c r="M72" s="83"/>
      <c r="N72" s="81"/>
      <c r="O72" s="82"/>
      <c r="P72" s="81"/>
      <c r="Q72" s="81"/>
      <c r="R72" s="82"/>
      <c r="S72" s="170" t="s">
        <v>303</v>
      </c>
      <c r="T72" s="170"/>
    </row>
    <row r="73" spans="1:20" ht="10.5">
      <c r="A73" s="75"/>
      <c r="B73" s="76"/>
      <c r="C73" s="78"/>
      <c r="D73" s="103"/>
      <c r="E73" s="76"/>
      <c r="F73" s="76"/>
      <c r="G73" s="106"/>
      <c r="H73" s="107"/>
      <c r="I73" s="108"/>
      <c r="J73" s="81"/>
      <c r="K73" s="81"/>
      <c r="L73" s="109"/>
      <c r="M73" s="83"/>
      <c r="N73" s="81"/>
      <c r="O73" s="82"/>
      <c r="P73" s="81"/>
      <c r="Q73" s="81"/>
      <c r="R73" s="82"/>
      <c r="S73" s="103"/>
      <c r="T73" s="103"/>
    </row>
    <row r="74" spans="1:20" ht="10.5">
      <c r="A74" s="104"/>
      <c r="B74" s="76"/>
      <c r="C74" s="78"/>
      <c r="D74" s="78"/>
      <c r="E74" s="78"/>
      <c r="F74" s="78"/>
      <c r="G74" s="79"/>
      <c r="H74" s="80"/>
      <c r="I74" s="80"/>
      <c r="J74" s="81"/>
      <c r="K74" s="81"/>
      <c r="L74" s="82"/>
      <c r="M74" s="83"/>
      <c r="N74" s="81"/>
      <c r="O74" s="82"/>
      <c r="P74" s="81"/>
      <c r="Q74" s="81"/>
      <c r="R74" s="82"/>
      <c r="S74" s="170"/>
      <c r="T74" s="170"/>
    </row>
    <row r="75" ht="10.5"/>
    <row r="76" spans="1:20" ht="10.5">
      <c r="A76" s="212" t="s">
        <v>23</v>
      </c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4"/>
      <c r="M76" s="41" t="s">
        <v>43</v>
      </c>
      <c r="N76" s="42" t="s">
        <v>44</v>
      </c>
      <c r="O76" s="43" t="s">
        <v>45</v>
      </c>
      <c r="P76" s="42" t="s">
        <v>46</v>
      </c>
      <c r="Q76" s="42" t="s">
        <v>47</v>
      </c>
      <c r="R76" s="43" t="s">
        <v>42</v>
      </c>
      <c r="S76" s="44" t="s">
        <v>25</v>
      </c>
      <c r="T76" s="45" t="s">
        <v>26</v>
      </c>
    </row>
    <row r="77" spans="1:21" ht="10.5">
      <c r="A77" s="208"/>
      <c r="B77" s="209"/>
      <c r="C77" s="177"/>
      <c r="D77" s="178"/>
      <c r="E77" s="178"/>
      <c r="F77" s="178"/>
      <c r="G77" s="178"/>
      <c r="H77" s="178"/>
      <c r="I77" s="178"/>
      <c r="J77" s="178"/>
      <c r="K77" s="179"/>
      <c r="L77" s="105" t="s">
        <v>12</v>
      </c>
      <c r="M77" s="89">
        <v>37019</v>
      </c>
      <c r="N77" s="52"/>
      <c r="O77" s="51"/>
      <c r="P77" s="52"/>
      <c r="Q77" s="52"/>
      <c r="R77" s="51"/>
      <c r="S77" s="59"/>
      <c r="T77" s="59"/>
      <c r="U77" s="87"/>
    </row>
    <row r="78" spans="1:21" ht="10.5">
      <c r="A78" s="208"/>
      <c r="B78" s="209"/>
      <c r="C78" s="54"/>
      <c r="D78" s="55"/>
      <c r="E78" s="55"/>
      <c r="F78" s="55"/>
      <c r="G78" s="55"/>
      <c r="H78" s="55"/>
      <c r="I78" s="55"/>
      <c r="J78" s="55"/>
      <c r="K78" s="56">
        <f>SUM(K85)</f>
        <v>0</v>
      </c>
      <c r="L78" s="57" t="s">
        <v>28</v>
      </c>
      <c r="M78" s="58">
        <f aca="true" t="shared" si="9" ref="M78:R78">SUM(M85:M86)</f>
        <v>0</v>
      </c>
      <c r="N78" s="56">
        <f t="shared" si="9"/>
        <v>0</v>
      </c>
      <c r="O78" s="61">
        <f t="shared" si="9"/>
        <v>0</v>
      </c>
      <c r="P78" s="56">
        <f t="shared" si="9"/>
        <v>0</v>
      </c>
      <c r="Q78" s="56">
        <f t="shared" si="9"/>
        <v>0</v>
      </c>
      <c r="R78" s="61">
        <f t="shared" si="9"/>
        <v>0</v>
      </c>
      <c r="S78" s="59">
        <f>R78*0.375</f>
        <v>0</v>
      </c>
      <c r="T78" s="59">
        <f>R78-S78</f>
        <v>0</v>
      </c>
      <c r="U78" s="87"/>
    </row>
    <row r="79" spans="1:21" ht="10.5">
      <c r="A79" s="208"/>
      <c r="B79" s="209"/>
      <c r="C79" s="54"/>
      <c r="D79" s="55"/>
      <c r="E79" s="55"/>
      <c r="F79" s="55"/>
      <c r="G79" s="55"/>
      <c r="H79" s="55"/>
      <c r="I79" s="55"/>
      <c r="J79" s="55"/>
      <c r="K79" s="60"/>
      <c r="L79" s="57" t="s">
        <v>210</v>
      </c>
      <c r="M79" s="58">
        <f>SUM(M86:M86)</f>
        <v>0</v>
      </c>
      <c r="N79" s="56"/>
      <c r="O79" s="61"/>
      <c r="P79" s="56">
        <f>SUM(P86:P86)</f>
        <v>0</v>
      </c>
      <c r="Q79" s="97"/>
      <c r="R79" s="98"/>
      <c r="S79" s="59">
        <f>R79*0.375</f>
        <v>0</v>
      </c>
      <c r="T79" s="59">
        <f>R79-S79</f>
        <v>0</v>
      </c>
      <c r="U79" s="87"/>
    </row>
    <row r="80" spans="1:21" ht="10.5">
      <c r="A80" s="208"/>
      <c r="B80" s="209"/>
      <c r="C80" s="54"/>
      <c r="D80" s="55"/>
      <c r="E80" s="55"/>
      <c r="F80" s="55"/>
      <c r="G80" s="55"/>
      <c r="H80" s="55"/>
      <c r="I80" s="55"/>
      <c r="J80" s="55"/>
      <c r="K80" s="60"/>
      <c r="L80" s="57" t="s">
        <v>298</v>
      </c>
      <c r="M80" s="58"/>
      <c r="N80" s="56"/>
      <c r="O80" s="61"/>
      <c r="P80" s="56"/>
      <c r="Q80" s="97"/>
      <c r="R80" s="98"/>
      <c r="S80" s="59">
        <f>R80*0.375</f>
        <v>0</v>
      </c>
      <c r="T80" s="59">
        <f>R80-S80</f>
        <v>0</v>
      </c>
      <c r="U80" s="87"/>
    </row>
    <row r="81" spans="1:21" ht="10.5">
      <c r="A81" s="208"/>
      <c r="B81" s="209"/>
      <c r="C81" s="54"/>
      <c r="D81" s="55"/>
      <c r="E81" s="55"/>
      <c r="F81" s="55"/>
      <c r="G81" s="55"/>
      <c r="H81" s="55"/>
      <c r="I81" s="55"/>
      <c r="J81" s="55"/>
      <c r="K81" s="60"/>
      <c r="L81" s="57"/>
      <c r="M81" s="58"/>
      <c r="N81" s="56"/>
      <c r="O81" s="61"/>
      <c r="P81" s="56"/>
      <c r="Q81" s="97"/>
      <c r="R81" s="98"/>
      <c r="S81" s="59">
        <f>R81*0.375</f>
        <v>0</v>
      </c>
      <c r="T81" s="59">
        <f>R81-S81</f>
        <v>0</v>
      </c>
      <c r="U81" s="87"/>
    </row>
    <row r="82" spans="1:21" ht="10.5">
      <c r="A82" s="208"/>
      <c r="B82" s="209"/>
      <c r="C82" s="54"/>
      <c r="D82" s="55"/>
      <c r="E82" s="55"/>
      <c r="F82" s="55"/>
      <c r="G82" s="55"/>
      <c r="H82" s="55"/>
      <c r="I82" s="55"/>
      <c r="J82" s="55"/>
      <c r="K82" s="60"/>
      <c r="L82" s="57"/>
      <c r="M82" s="58"/>
      <c r="N82" s="56"/>
      <c r="O82" s="61"/>
      <c r="P82" s="56"/>
      <c r="Q82" s="97"/>
      <c r="R82" s="98"/>
      <c r="S82" s="59">
        <f>R82*0.375</f>
        <v>0</v>
      </c>
      <c r="T82" s="59">
        <f>R82-S82</f>
        <v>0</v>
      </c>
      <c r="U82" s="87"/>
    </row>
    <row r="83" spans="1:21" ht="10.5">
      <c r="A83" s="210"/>
      <c r="B83" s="211"/>
      <c r="C83" s="62"/>
      <c r="D83" s="63"/>
      <c r="E83" s="63"/>
      <c r="F83" s="63"/>
      <c r="G83" s="63"/>
      <c r="H83" s="63"/>
      <c r="I83" s="63"/>
      <c r="J83" s="63"/>
      <c r="K83" s="64"/>
      <c r="L83" s="65" t="s">
        <v>13</v>
      </c>
      <c r="M83" s="66">
        <f>M77-M78-M79</f>
        <v>37019</v>
      </c>
      <c r="N83" s="67">
        <f>N77-N78-N79</f>
        <v>0</v>
      </c>
      <c r="O83" s="68"/>
      <c r="P83" s="67"/>
      <c r="Q83" s="67"/>
      <c r="R83" s="68"/>
      <c r="S83" s="12"/>
      <c r="T83" s="12"/>
      <c r="U83" s="87"/>
    </row>
    <row r="84" spans="1:20" ht="34.5" customHeight="1">
      <c r="A84" s="70" t="s">
        <v>14</v>
      </c>
      <c r="B84" s="70" t="s">
        <v>11</v>
      </c>
      <c r="C84" s="71" t="s">
        <v>24</v>
      </c>
      <c r="D84" s="71" t="s">
        <v>20</v>
      </c>
      <c r="E84" s="72" t="s">
        <v>2</v>
      </c>
      <c r="F84" s="71" t="s">
        <v>19</v>
      </c>
      <c r="G84" s="71" t="s">
        <v>18</v>
      </c>
      <c r="H84" s="72" t="s">
        <v>17</v>
      </c>
      <c r="I84" s="72" t="s">
        <v>16</v>
      </c>
      <c r="J84" s="71" t="s">
        <v>3</v>
      </c>
      <c r="K84" s="71" t="s">
        <v>4</v>
      </c>
      <c r="L84" s="73" t="s">
        <v>5</v>
      </c>
      <c r="M84" s="74" t="s">
        <v>21</v>
      </c>
      <c r="N84" s="70" t="s">
        <v>39</v>
      </c>
      <c r="O84" s="73" t="s">
        <v>40</v>
      </c>
      <c r="P84" s="70" t="s">
        <v>22</v>
      </c>
      <c r="Q84" s="70" t="s">
        <v>41</v>
      </c>
      <c r="R84" s="73" t="s">
        <v>42</v>
      </c>
      <c r="S84" s="172" t="s">
        <v>27</v>
      </c>
      <c r="T84" s="172"/>
    </row>
    <row r="85" spans="1:20" ht="10.5">
      <c r="A85" s="75"/>
      <c r="B85" s="76"/>
      <c r="C85" s="78"/>
      <c r="D85" s="110"/>
      <c r="E85" s="77"/>
      <c r="F85" s="111"/>
      <c r="G85" s="112"/>
      <c r="H85" s="106"/>
      <c r="I85" s="113"/>
      <c r="J85" s="114"/>
      <c r="K85" s="115">
        <f>+J85*0.2</f>
        <v>0</v>
      </c>
      <c r="L85" s="116">
        <f>+K85+J85</f>
        <v>0</v>
      </c>
      <c r="M85" s="83"/>
      <c r="N85" s="81"/>
      <c r="O85" s="82">
        <f>SUM(M85:N85)</f>
        <v>0</v>
      </c>
      <c r="P85" s="81">
        <f>M85*0.65</f>
        <v>0</v>
      </c>
      <c r="Q85" s="81">
        <f>N85*0.65</f>
        <v>0</v>
      </c>
      <c r="R85" s="82">
        <f>SUM(P85:Q85)</f>
        <v>0</v>
      </c>
      <c r="S85" s="170"/>
      <c r="T85" s="170"/>
    </row>
    <row r="86" spans="1:20" ht="10.5">
      <c r="A86" s="75"/>
      <c r="B86" s="76"/>
      <c r="C86" s="78"/>
      <c r="D86" s="78"/>
      <c r="E86" s="78"/>
      <c r="F86" s="76"/>
      <c r="G86" s="106"/>
      <c r="H86" s="106"/>
      <c r="I86" s="113"/>
      <c r="J86" s="117"/>
      <c r="K86" s="115"/>
      <c r="L86" s="116"/>
      <c r="M86" s="83"/>
      <c r="N86" s="81"/>
      <c r="O86" s="82"/>
      <c r="P86" s="81"/>
      <c r="Q86" s="81"/>
      <c r="R86" s="82"/>
      <c r="S86" s="170"/>
      <c r="T86" s="170"/>
    </row>
    <row r="87" ht="10.5"/>
    <row r="88" spans="1:20" ht="10.5">
      <c r="A88" s="212" t="s">
        <v>9</v>
      </c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4"/>
      <c r="M88" s="41" t="s">
        <v>43</v>
      </c>
      <c r="N88" s="42" t="s">
        <v>44</v>
      </c>
      <c r="O88" s="43" t="s">
        <v>45</v>
      </c>
      <c r="P88" s="42" t="s">
        <v>46</v>
      </c>
      <c r="Q88" s="42" t="s">
        <v>47</v>
      </c>
      <c r="R88" s="43" t="s">
        <v>42</v>
      </c>
      <c r="S88" s="44" t="s">
        <v>25</v>
      </c>
      <c r="T88" s="45" t="s">
        <v>26</v>
      </c>
    </row>
    <row r="89" spans="1:21" ht="10.5">
      <c r="A89" s="208"/>
      <c r="B89" s="209"/>
      <c r="C89" s="177"/>
      <c r="D89" s="178"/>
      <c r="E89" s="178"/>
      <c r="F89" s="178"/>
      <c r="G89" s="178"/>
      <c r="H89" s="178"/>
      <c r="I89" s="178"/>
      <c r="J89" s="178"/>
      <c r="K89" s="179"/>
      <c r="L89" s="105" t="s">
        <v>12</v>
      </c>
      <c r="M89" s="89">
        <v>52401</v>
      </c>
      <c r="N89" s="52"/>
      <c r="O89" s="51"/>
      <c r="P89" s="52"/>
      <c r="Q89" s="52"/>
      <c r="R89" s="51"/>
      <c r="S89" s="59"/>
      <c r="T89" s="59"/>
      <c r="U89" s="87"/>
    </row>
    <row r="90" spans="1:21" ht="10.5">
      <c r="A90" s="208"/>
      <c r="B90" s="209"/>
      <c r="C90" s="54"/>
      <c r="D90" s="55"/>
      <c r="E90" s="55"/>
      <c r="F90" s="55"/>
      <c r="G90" s="55"/>
      <c r="H90" s="55"/>
      <c r="I90" s="55"/>
      <c r="J90" s="55"/>
      <c r="K90" s="56">
        <f>SUM(K97:K98)</f>
        <v>0</v>
      </c>
      <c r="L90" s="57" t="s">
        <v>28</v>
      </c>
      <c r="M90" s="58">
        <f aca="true" t="shared" si="10" ref="M90:R90">SUM(M97:M98)</f>
        <v>0</v>
      </c>
      <c r="N90" s="56">
        <f t="shared" si="10"/>
        <v>0</v>
      </c>
      <c r="O90" s="61">
        <f t="shared" si="10"/>
        <v>0</v>
      </c>
      <c r="P90" s="56">
        <f t="shared" si="10"/>
        <v>0</v>
      </c>
      <c r="Q90" s="56">
        <f t="shared" si="10"/>
        <v>0</v>
      </c>
      <c r="R90" s="61">
        <f t="shared" si="10"/>
        <v>0</v>
      </c>
      <c r="S90" s="59">
        <f>R90*0.375</f>
        <v>0</v>
      </c>
      <c r="T90" s="59">
        <f>R90-S90</f>
        <v>0</v>
      </c>
      <c r="U90" s="87"/>
    </row>
    <row r="91" spans="1:21" ht="10.5">
      <c r="A91" s="208"/>
      <c r="B91" s="209"/>
      <c r="C91" s="54"/>
      <c r="D91" s="55"/>
      <c r="E91" s="55"/>
      <c r="F91" s="55"/>
      <c r="G91" s="55"/>
      <c r="H91" s="55"/>
      <c r="I91" s="55"/>
      <c r="J91" s="55"/>
      <c r="K91" s="60"/>
      <c r="L91" s="57" t="s">
        <v>210</v>
      </c>
      <c r="M91" s="58"/>
      <c r="N91" s="56"/>
      <c r="O91" s="61"/>
      <c r="P91" s="56"/>
      <c r="Q91" s="97"/>
      <c r="R91" s="98"/>
      <c r="S91" s="59">
        <f>R91*0.375</f>
        <v>0</v>
      </c>
      <c r="T91" s="59">
        <f>R91-S91</f>
        <v>0</v>
      </c>
      <c r="U91" s="87"/>
    </row>
    <row r="92" spans="1:21" ht="10.5">
      <c r="A92" s="208"/>
      <c r="B92" s="209"/>
      <c r="C92" s="54"/>
      <c r="D92" s="55"/>
      <c r="E92" s="55"/>
      <c r="F92" s="55"/>
      <c r="G92" s="55"/>
      <c r="H92" s="55"/>
      <c r="I92" s="55"/>
      <c r="J92" s="55"/>
      <c r="K92" s="60"/>
      <c r="L92" s="57" t="s">
        <v>298</v>
      </c>
      <c r="M92" s="58"/>
      <c r="N92" s="56"/>
      <c r="O92" s="61"/>
      <c r="P92" s="56"/>
      <c r="Q92" s="97"/>
      <c r="R92" s="98"/>
      <c r="S92" s="59">
        <f>R92*0.375</f>
        <v>0</v>
      </c>
      <c r="T92" s="59">
        <f>R92-S92</f>
        <v>0</v>
      </c>
      <c r="U92" s="87"/>
    </row>
    <row r="93" spans="1:21" ht="10.5">
      <c r="A93" s="208"/>
      <c r="B93" s="209"/>
      <c r="C93" s="54"/>
      <c r="D93" s="55"/>
      <c r="E93" s="55"/>
      <c r="F93" s="55"/>
      <c r="G93" s="55"/>
      <c r="H93" s="55"/>
      <c r="I93" s="55"/>
      <c r="J93" s="55"/>
      <c r="K93" s="60"/>
      <c r="L93" s="57"/>
      <c r="M93" s="58"/>
      <c r="N93" s="56"/>
      <c r="O93" s="61"/>
      <c r="P93" s="56"/>
      <c r="Q93" s="97"/>
      <c r="R93" s="98"/>
      <c r="S93" s="59">
        <f>R93*0.375</f>
        <v>0</v>
      </c>
      <c r="T93" s="59">
        <f>R93-S93</f>
        <v>0</v>
      </c>
      <c r="U93" s="87"/>
    </row>
    <row r="94" spans="1:21" ht="10.5">
      <c r="A94" s="208"/>
      <c r="B94" s="209"/>
      <c r="C94" s="54"/>
      <c r="D94" s="55"/>
      <c r="E94" s="55"/>
      <c r="F94" s="55"/>
      <c r="G94" s="55"/>
      <c r="H94" s="55"/>
      <c r="I94" s="55"/>
      <c r="J94" s="55"/>
      <c r="K94" s="60"/>
      <c r="L94" s="57"/>
      <c r="M94" s="58"/>
      <c r="N94" s="56"/>
      <c r="O94" s="61"/>
      <c r="P94" s="56"/>
      <c r="Q94" s="97"/>
      <c r="R94" s="98"/>
      <c r="S94" s="59">
        <f>R94*0.375</f>
        <v>0</v>
      </c>
      <c r="T94" s="59">
        <f>R94-S94</f>
        <v>0</v>
      </c>
      <c r="U94" s="87"/>
    </row>
    <row r="95" spans="1:21" ht="10.5">
      <c r="A95" s="210"/>
      <c r="B95" s="211"/>
      <c r="C95" s="164"/>
      <c r="D95" s="165"/>
      <c r="E95" s="165"/>
      <c r="F95" s="165"/>
      <c r="G95" s="165"/>
      <c r="H95" s="165"/>
      <c r="I95" s="165"/>
      <c r="J95" s="165"/>
      <c r="K95" s="166"/>
      <c r="L95" s="65" t="s">
        <v>13</v>
      </c>
      <c r="M95" s="66">
        <f>M89-M90-M91</f>
        <v>52401</v>
      </c>
      <c r="N95" s="67">
        <f>N89-N90-N91</f>
        <v>0</v>
      </c>
      <c r="O95" s="68"/>
      <c r="P95" s="67"/>
      <c r="Q95" s="67"/>
      <c r="R95" s="68"/>
      <c r="S95" s="12"/>
      <c r="T95" s="12"/>
      <c r="U95" s="87"/>
    </row>
    <row r="96" spans="1:20" ht="21">
      <c r="A96" s="70" t="s">
        <v>14</v>
      </c>
      <c r="B96" s="70" t="s">
        <v>11</v>
      </c>
      <c r="C96" s="71" t="s">
        <v>24</v>
      </c>
      <c r="D96" s="71" t="s">
        <v>20</v>
      </c>
      <c r="E96" s="72" t="s">
        <v>2</v>
      </c>
      <c r="F96" s="71" t="s">
        <v>19</v>
      </c>
      <c r="G96" s="71" t="s">
        <v>18</v>
      </c>
      <c r="H96" s="72" t="s">
        <v>17</v>
      </c>
      <c r="I96" s="72" t="s">
        <v>16</v>
      </c>
      <c r="J96" s="71" t="s">
        <v>3</v>
      </c>
      <c r="K96" s="71" t="s">
        <v>4</v>
      </c>
      <c r="L96" s="73" t="s">
        <v>5</v>
      </c>
      <c r="M96" s="74" t="s">
        <v>21</v>
      </c>
      <c r="N96" s="70" t="s">
        <v>39</v>
      </c>
      <c r="O96" s="73" t="s">
        <v>40</v>
      </c>
      <c r="P96" s="70" t="s">
        <v>22</v>
      </c>
      <c r="Q96" s="70" t="s">
        <v>41</v>
      </c>
      <c r="R96" s="73" t="s">
        <v>42</v>
      </c>
      <c r="S96" s="172" t="s">
        <v>27</v>
      </c>
      <c r="T96" s="172"/>
    </row>
    <row r="97" spans="1:20" ht="10.5">
      <c r="A97" s="75"/>
      <c r="B97" s="76"/>
      <c r="C97" s="78"/>
      <c r="D97" s="110"/>
      <c r="E97" s="77"/>
      <c r="F97" s="111"/>
      <c r="G97" s="112"/>
      <c r="H97" s="95"/>
      <c r="I97" s="113"/>
      <c r="J97" s="114"/>
      <c r="K97" s="115">
        <f>J97*0.2</f>
        <v>0</v>
      </c>
      <c r="L97" s="116">
        <f>J97+K97</f>
        <v>0</v>
      </c>
      <c r="M97" s="83">
        <f>+L97</f>
        <v>0</v>
      </c>
      <c r="N97" s="81"/>
      <c r="O97" s="82">
        <f>SUM(M97:N97)</f>
        <v>0</v>
      </c>
      <c r="P97" s="81">
        <f>M97*0.65</f>
        <v>0</v>
      </c>
      <c r="Q97" s="81">
        <f>N97*0.65</f>
        <v>0</v>
      </c>
      <c r="R97" s="82">
        <f>SUM(P97:Q97)</f>
        <v>0</v>
      </c>
      <c r="S97" s="170"/>
      <c r="T97" s="170"/>
    </row>
    <row r="98" spans="1:20" ht="10.5">
      <c r="A98" s="104"/>
      <c r="B98" s="76"/>
      <c r="C98" s="78"/>
      <c r="D98" s="78"/>
      <c r="E98" s="78"/>
      <c r="F98" s="78"/>
      <c r="G98" s="79"/>
      <c r="H98" s="80"/>
      <c r="I98" s="80"/>
      <c r="J98" s="81"/>
      <c r="K98" s="81"/>
      <c r="L98" s="82"/>
      <c r="M98" s="83"/>
      <c r="N98" s="81"/>
      <c r="O98" s="82"/>
      <c r="P98" s="81"/>
      <c r="Q98" s="81"/>
      <c r="R98" s="82"/>
      <c r="S98" s="170"/>
      <c r="T98" s="170"/>
    </row>
    <row r="99" ht="10.5"/>
    <row r="100" spans="1:20" ht="10.5">
      <c r="A100" s="212" t="s">
        <v>10</v>
      </c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4"/>
      <c r="M100" s="41" t="s">
        <v>43</v>
      </c>
      <c r="N100" s="42" t="s">
        <v>44</v>
      </c>
      <c r="O100" s="43" t="s">
        <v>45</v>
      </c>
      <c r="P100" s="42" t="s">
        <v>46</v>
      </c>
      <c r="Q100" s="42" t="s">
        <v>47</v>
      </c>
      <c r="R100" s="43" t="s">
        <v>42</v>
      </c>
      <c r="S100" s="44" t="s">
        <v>25</v>
      </c>
      <c r="T100" s="45" t="s">
        <v>26</v>
      </c>
    </row>
    <row r="101" spans="1:21" ht="10.5">
      <c r="A101" s="173"/>
      <c r="B101" s="174"/>
      <c r="C101" s="177"/>
      <c r="D101" s="178"/>
      <c r="E101" s="178"/>
      <c r="F101" s="178"/>
      <c r="G101" s="178"/>
      <c r="H101" s="178"/>
      <c r="I101" s="178"/>
      <c r="J101" s="178"/>
      <c r="K101" s="179"/>
      <c r="L101" s="105" t="s">
        <v>12</v>
      </c>
      <c r="M101" s="89">
        <v>75000</v>
      </c>
      <c r="N101" s="52"/>
      <c r="O101" s="51"/>
      <c r="P101" s="52"/>
      <c r="Q101" s="52"/>
      <c r="R101" s="51"/>
      <c r="S101" s="59"/>
      <c r="T101" s="59"/>
      <c r="U101" s="87"/>
    </row>
    <row r="102" spans="1:21" ht="10.5">
      <c r="A102" s="173"/>
      <c r="B102" s="174"/>
      <c r="C102" s="54"/>
      <c r="D102" s="55"/>
      <c r="E102" s="55"/>
      <c r="F102" s="55"/>
      <c r="G102" s="55"/>
      <c r="H102" s="55"/>
      <c r="I102" s="55"/>
      <c r="J102" s="55"/>
      <c r="K102" s="56"/>
      <c r="L102" s="57" t="s">
        <v>28</v>
      </c>
      <c r="M102" s="58">
        <f aca="true" t="shared" si="11" ref="M102:R102">SUM(M109:M116)</f>
        <v>2097.02</v>
      </c>
      <c r="N102" s="58">
        <f t="shared" si="11"/>
        <v>0</v>
      </c>
      <c r="O102" s="61">
        <f t="shared" si="11"/>
        <v>2097.02</v>
      </c>
      <c r="P102" s="58">
        <f t="shared" si="11"/>
        <v>1048.51</v>
      </c>
      <c r="Q102" s="58">
        <f t="shared" si="11"/>
        <v>0</v>
      </c>
      <c r="R102" s="61">
        <f t="shared" si="11"/>
        <v>1048.51</v>
      </c>
      <c r="S102" s="59">
        <f>R102*0.375</f>
        <v>393.19124999999997</v>
      </c>
      <c r="T102" s="59">
        <f>R102-S102</f>
        <v>655.31875</v>
      </c>
      <c r="U102" s="87"/>
    </row>
    <row r="103" spans="1:21" ht="10.5">
      <c r="A103" s="173"/>
      <c r="B103" s="174"/>
      <c r="C103" s="54"/>
      <c r="D103" s="55"/>
      <c r="E103" s="55"/>
      <c r="F103" s="55"/>
      <c r="G103" s="55"/>
      <c r="H103" s="55"/>
      <c r="I103" s="55"/>
      <c r="J103" s="55"/>
      <c r="K103" s="60"/>
      <c r="L103" s="57" t="s">
        <v>210</v>
      </c>
      <c r="M103" s="58">
        <f>SUM(M117:M142)</f>
        <v>5330.969999999999</v>
      </c>
      <c r="N103" s="58">
        <f>SUM(N117:N152)</f>
        <v>0</v>
      </c>
      <c r="O103" s="61">
        <f>+N103+M103</f>
        <v>5330.969999999999</v>
      </c>
      <c r="P103" s="58">
        <f>SUM(P117:P142)</f>
        <v>2665.4849999999997</v>
      </c>
      <c r="Q103" s="58">
        <f>SUM(Q117:Q152)</f>
        <v>0</v>
      </c>
      <c r="R103" s="61">
        <f>+Q103+P103</f>
        <v>2665.4849999999997</v>
      </c>
      <c r="S103" s="59">
        <f>R103*0.375</f>
        <v>999.5568749999999</v>
      </c>
      <c r="T103" s="59">
        <f>R103-S103</f>
        <v>1665.928125</v>
      </c>
      <c r="U103" s="87"/>
    </row>
    <row r="104" spans="1:21" ht="10.5">
      <c r="A104" s="173"/>
      <c r="B104" s="174"/>
      <c r="C104" s="54"/>
      <c r="D104" s="55"/>
      <c r="E104" s="55"/>
      <c r="F104" s="55"/>
      <c r="G104" s="55"/>
      <c r="H104" s="55"/>
      <c r="I104" s="55"/>
      <c r="J104" s="55"/>
      <c r="K104" s="60"/>
      <c r="L104" s="57" t="s">
        <v>298</v>
      </c>
      <c r="M104" s="58">
        <f>SUM(M148:M214)</f>
        <v>12498.473999999998</v>
      </c>
      <c r="N104" s="58">
        <f>SUM(N148:N214)</f>
        <v>0</v>
      </c>
      <c r="O104" s="61">
        <f>+N104+M104</f>
        <v>12498.473999999998</v>
      </c>
      <c r="P104" s="58">
        <f>SUM(P148:P214)</f>
        <v>6249.236999999999</v>
      </c>
      <c r="Q104" s="58">
        <f>SUM(Q148:Q214)</f>
        <v>0</v>
      </c>
      <c r="R104" s="61">
        <f>+Q104+P104</f>
        <v>6249.236999999999</v>
      </c>
      <c r="S104" s="59">
        <f>R104*0.375</f>
        <v>2343.4638749999995</v>
      </c>
      <c r="T104" s="59">
        <f>R104-S104</f>
        <v>3905.7731249999997</v>
      </c>
      <c r="U104" s="87"/>
    </row>
    <row r="105" spans="1:21" ht="10.5">
      <c r="A105" s="173"/>
      <c r="B105" s="174"/>
      <c r="C105" s="54"/>
      <c r="D105" s="55"/>
      <c r="E105" s="55"/>
      <c r="F105" s="55"/>
      <c r="G105" s="55"/>
      <c r="H105" s="55"/>
      <c r="I105" s="55"/>
      <c r="J105" s="55"/>
      <c r="K105" s="60"/>
      <c r="L105" s="57"/>
      <c r="M105" s="58"/>
      <c r="N105" s="56"/>
      <c r="O105" s="61"/>
      <c r="P105" s="56"/>
      <c r="Q105" s="97"/>
      <c r="R105" s="98"/>
      <c r="S105" s="59">
        <f>R105*0.375</f>
        <v>0</v>
      </c>
      <c r="T105" s="59">
        <f>R105-S105</f>
        <v>0</v>
      </c>
      <c r="U105" s="87"/>
    </row>
    <row r="106" spans="1:21" ht="10.5">
      <c r="A106" s="173"/>
      <c r="B106" s="174"/>
      <c r="C106" s="54"/>
      <c r="D106" s="55"/>
      <c r="E106" s="55"/>
      <c r="F106" s="55"/>
      <c r="G106" s="55"/>
      <c r="H106" s="55"/>
      <c r="I106" s="55"/>
      <c r="J106" s="55"/>
      <c r="K106" s="60"/>
      <c r="L106" s="57"/>
      <c r="M106" s="58"/>
      <c r="N106" s="56"/>
      <c r="O106" s="61"/>
      <c r="P106" s="56"/>
      <c r="Q106" s="97"/>
      <c r="R106" s="98"/>
      <c r="S106" s="59">
        <f>R106*0.375</f>
        <v>0</v>
      </c>
      <c r="T106" s="59">
        <f>R106-S106</f>
        <v>0</v>
      </c>
      <c r="U106" s="87"/>
    </row>
    <row r="107" spans="1:21" ht="10.5">
      <c r="A107" s="175"/>
      <c r="B107" s="176"/>
      <c r="C107" s="164"/>
      <c r="D107" s="165"/>
      <c r="E107" s="165"/>
      <c r="F107" s="165"/>
      <c r="G107" s="165"/>
      <c r="H107" s="165"/>
      <c r="I107" s="165"/>
      <c r="J107" s="165"/>
      <c r="K107" s="166"/>
      <c r="L107" s="65" t="s">
        <v>13</v>
      </c>
      <c r="M107" s="66">
        <f>M101-M102-M103-M104-M105-M106</f>
        <v>55073.53599999999</v>
      </c>
      <c r="N107" s="67">
        <f>N101-N102-N103-N104-N105-N106</f>
        <v>0</v>
      </c>
      <c r="O107" s="68"/>
      <c r="P107" s="67"/>
      <c r="Q107" s="67"/>
      <c r="R107" s="68"/>
      <c r="S107" s="12"/>
      <c r="T107" s="12"/>
      <c r="U107" s="87"/>
    </row>
    <row r="108" spans="1:20" ht="21">
      <c r="A108" s="118" t="s">
        <v>14</v>
      </c>
      <c r="B108" s="118" t="s">
        <v>11</v>
      </c>
      <c r="C108" s="119" t="s">
        <v>24</v>
      </c>
      <c r="D108" s="119" t="s">
        <v>20</v>
      </c>
      <c r="E108" s="120" t="s">
        <v>2</v>
      </c>
      <c r="F108" s="119" t="s">
        <v>19</v>
      </c>
      <c r="G108" s="119" t="s">
        <v>18</v>
      </c>
      <c r="H108" s="120" t="s">
        <v>17</v>
      </c>
      <c r="I108" s="120" t="s">
        <v>16</v>
      </c>
      <c r="J108" s="119" t="s">
        <v>3</v>
      </c>
      <c r="K108" s="119" t="s">
        <v>4</v>
      </c>
      <c r="L108" s="121" t="s">
        <v>5</v>
      </c>
      <c r="M108" s="74" t="s">
        <v>21</v>
      </c>
      <c r="N108" s="70" t="s">
        <v>39</v>
      </c>
      <c r="O108" s="73" t="s">
        <v>40</v>
      </c>
      <c r="P108" s="70" t="s">
        <v>22</v>
      </c>
      <c r="Q108" s="70" t="s">
        <v>41</v>
      </c>
      <c r="R108" s="73" t="s">
        <v>42</v>
      </c>
      <c r="S108" s="172" t="s">
        <v>27</v>
      </c>
      <c r="T108" s="172"/>
    </row>
    <row r="109" spans="1:20" ht="63">
      <c r="A109" s="122" t="s">
        <v>15</v>
      </c>
      <c r="B109" s="118"/>
      <c r="C109" s="77" t="s">
        <v>53</v>
      </c>
      <c r="D109" s="78" t="s">
        <v>58</v>
      </c>
      <c r="E109" s="78" t="s">
        <v>59</v>
      </c>
      <c r="F109" s="123" t="s">
        <v>74</v>
      </c>
      <c r="G109" s="79">
        <v>38569</v>
      </c>
      <c r="H109" s="80">
        <v>38610</v>
      </c>
      <c r="I109" s="95" t="s">
        <v>60</v>
      </c>
      <c r="J109" s="124">
        <v>293.78</v>
      </c>
      <c r="K109" s="124">
        <v>58.72</v>
      </c>
      <c r="L109" s="125">
        <v>352.5</v>
      </c>
      <c r="M109" s="126"/>
      <c r="N109" s="127"/>
      <c r="O109" s="128"/>
      <c r="P109" s="127"/>
      <c r="Q109" s="127"/>
      <c r="R109" s="128"/>
      <c r="S109" s="70"/>
      <c r="T109" s="70"/>
    </row>
    <row r="110" spans="1:20" ht="21">
      <c r="A110" s="122" t="s">
        <v>15</v>
      </c>
      <c r="B110" s="118"/>
      <c r="C110" s="77" t="s">
        <v>53</v>
      </c>
      <c r="D110" s="129" t="s">
        <v>61</v>
      </c>
      <c r="E110" s="78" t="s">
        <v>62</v>
      </c>
      <c r="F110" s="130">
        <v>26</v>
      </c>
      <c r="G110" s="79">
        <v>38595</v>
      </c>
      <c r="H110" s="80">
        <v>38573</v>
      </c>
      <c r="I110" s="95" t="s">
        <v>63</v>
      </c>
      <c r="J110" s="124">
        <v>600</v>
      </c>
      <c r="K110" s="124">
        <v>0</v>
      </c>
      <c r="L110" s="125">
        <v>600</v>
      </c>
      <c r="M110" s="126">
        <v>600</v>
      </c>
      <c r="N110" s="127"/>
      <c r="O110" s="128">
        <f aca="true" t="shared" si="12" ref="O110:O115">+N110+M110</f>
        <v>600</v>
      </c>
      <c r="P110" s="127">
        <f aca="true" t="shared" si="13" ref="P110:P115">+M110*0.5</f>
        <v>300</v>
      </c>
      <c r="Q110" s="127"/>
      <c r="R110" s="128">
        <f aca="true" t="shared" si="14" ref="R110:R115">+Q110+P110</f>
        <v>300</v>
      </c>
      <c r="S110" s="167"/>
      <c r="T110" s="205"/>
    </row>
    <row r="111" spans="1:20" ht="63">
      <c r="A111" s="122" t="s">
        <v>15</v>
      </c>
      <c r="B111" s="118"/>
      <c r="C111" s="77" t="s">
        <v>53</v>
      </c>
      <c r="D111" s="78" t="s">
        <v>58</v>
      </c>
      <c r="E111" s="78" t="s">
        <v>59</v>
      </c>
      <c r="F111" s="133" t="s">
        <v>64</v>
      </c>
      <c r="G111" s="79">
        <v>38603</v>
      </c>
      <c r="H111" s="80">
        <v>38642</v>
      </c>
      <c r="I111" s="95" t="s">
        <v>60</v>
      </c>
      <c r="J111" s="124">
        <v>119.99</v>
      </c>
      <c r="K111" s="124">
        <v>24.01</v>
      </c>
      <c r="L111" s="125">
        <v>144</v>
      </c>
      <c r="M111" s="126">
        <v>119.99</v>
      </c>
      <c r="N111" s="127"/>
      <c r="O111" s="128">
        <f t="shared" si="12"/>
        <v>119.99</v>
      </c>
      <c r="P111" s="127">
        <f t="shared" si="13"/>
        <v>59.995</v>
      </c>
      <c r="Q111" s="127"/>
      <c r="R111" s="128">
        <f t="shared" si="14"/>
        <v>59.995</v>
      </c>
      <c r="S111" s="167"/>
      <c r="T111" s="205"/>
    </row>
    <row r="112" spans="1:20" ht="63">
      <c r="A112" s="122" t="s">
        <v>15</v>
      </c>
      <c r="B112" s="118"/>
      <c r="C112" s="77" t="s">
        <v>53</v>
      </c>
      <c r="D112" s="78" t="s">
        <v>65</v>
      </c>
      <c r="E112" s="78" t="s">
        <v>66</v>
      </c>
      <c r="F112" s="123" t="s">
        <v>75</v>
      </c>
      <c r="G112" s="79">
        <v>38621</v>
      </c>
      <c r="H112" s="80">
        <v>38642</v>
      </c>
      <c r="I112" s="95" t="s">
        <v>60</v>
      </c>
      <c r="J112" s="134">
        <v>126.13</v>
      </c>
      <c r="K112" s="134">
        <v>25.23</v>
      </c>
      <c r="L112" s="125">
        <v>151.36</v>
      </c>
      <c r="M112" s="126">
        <v>126.13</v>
      </c>
      <c r="N112" s="127"/>
      <c r="O112" s="128">
        <f t="shared" si="12"/>
        <v>126.13</v>
      </c>
      <c r="P112" s="127">
        <f t="shared" si="13"/>
        <v>63.065</v>
      </c>
      <c r="Q112" s="127"/>
      <c r="R112" s="128">
        <f t="shared" si="14"/>
        <v>63.065</v>
      </c>
      <c r="S112" s="167"/>
      <c r="T112" s="205"/>
    </row>
    <row r="113" spans="1:20" ht="21">
      <c r="A113" s="122" t="s">
        <v>15</v>
      </c>
      <c r="B113" s="118"/>
      <c r="C113" s="77" t="s">
        <v>53</v>
      </c>
      <c r="D113" s="129" t="s">
        <v>67</v>
      </c>
      <c r="E113" s="78" t="s">
        <v>62</v>
      </c>
      <c r="F113" s="78">
        <v>30</v>
      </c>
      <c r="G113" s="79">
        <v>38625</v>
      </c>
      <c r="H113" s="80">
        <v>38607</v>
      </c>
      <c r="I113" s="95" t="s">
        <v>63</v>
      </c>
      <c r="J113" s="124">
        <v>600</v>
      </c>
      <c r="K113" s="124">
        <v>0</v>
      </c>
      <c r="L113" s="125">
        <v>600</v>
      </c>
      <c r="M113" s="126">
        <v>600</v>
      </c>
      <c r="N113" s="127"/>
      <c r="O113" s="128">
        <f t="shared" si="12"/>
        <v>600</v>
      </c>
      <c r="P113" s="127">
        <f t="shared" si="13"/>
        <v>300</v>
      </c>
      <c r="Q113" s="127"/>
      <c r="R113" s="128">
        <f t="shared" si="14"/>
        <v>300</v>
      </c>
      <c r="S113" s="167"/>
      <c r="T113" s="205"/>
    </row>
    <row r="114" spans="1:20" ht="21">
      <c r="A114" s="122" t="s">
        <v>15</v>
      </c>
      <c r="B114" s="118"/>
      <c r="C114" s="77" t="s">
        <v>53</v>
      </c>
      <c r="D114" s="129" t="s">
        <v>68</v>
      </c>
      <c r="E114" s="78" t="s">
        <v>62</v>
      </c>
      <c r="F114" s="78">
        <v>35</v>
      </c>
      <c r="G114" s="79">
        <v>38656</v>
      </c>
      <c r="H114" s="80">
        <v>38642</v>
      </c>
      <c r="I114" s="95" t="s">
        <v>63</v>
      </c>
      <c r="J114" s="124">
        <v>600</v>
      </c>
      <c r="K114" s="124">
        <v>0</v>
      </c>
      <c r="L114" s="125">
        <v>600</v>
      </c>
      <c r="M114" s="126">
        <v>600</v>
      </c>
      <c r="N114" s="127"/>
      <c r="O114" s="128">
        <f t="shared" si="12"/>
        <v>600</v>
      </c>
      <c r="P114" s="127">
        <f t="shared" si="13"/>
        <v>300</v>
      </c>
      <c r="Q114" s="127"/>
      <c r="R114" s="128">
        <f t="shared" si="14"/>
        <v>300</v>
      </c>
      <c r="S114" s="167"/>
      <c r="T114" s="205"/>
    </row>
    <row r="115" spans="1:20" ht="63">
      <c r="A115" s="122" t="s">
        <v>15</v>
      </c>
      <c r="B115" s="118"/>
      <c r="C115" s="77" t="s">
        <v>53</v>
      </c>
      <c r="D115" s="129" t="s">
        <v>69</v>
      </c>
      <c r="E115" s="78" t="s">
        <v>70</v>
      </c>
      <c r="F115" s="123" t="s">
        <v>76</v>
      </c>
      <c r="G115" s="79">
        <v>38658</v>
      </c>
      <c r="H115" s="80">
        <v>38680</v>
      </c>
      <c r="I115" s="95" t="s">
        <v>60</v>
      </c>
      <c r="J115" s="124">
        <v>50.9</v>
      </c>
      <c r="K115" s="124">
        <v>10.18</v>
      </c>
      <c r="L115" s="125">
        <v>61.08</v>
      </c>
      <c r="M115" s="126">
        <v>50.9</v>
      </c>
      <c r="N115" s="127"/>
      <c r="O115" s="128">
        <f t="shared" si="12"/>
        <v>50.9</v>
      </c>
      <c r="P115" s="127">
        <f t="shared" si="13"/>
        <v>25.45</v>
      </c>
      <c r="Q115" s="127"/>
      <c r="R115" s="128">
        <f t="shared" si="14"/>
        <v>25.45</v>
      </c>
      <c r="S115" s="167"/>
      <c r="T115" s="205"/>
    </row>
    <row r="116" spans="1:20" ht="31.5">
      <c r="A116" s="122" t="s">
        <v>15</v>
      </c>
      <c r="B116" s="118"/>
      <c r="C116" s="77" t="s">
        <v>53</v>
      </c>
      <c r="D116" s="135" t="s">
        <v>71</v>
      </c>
      <c r="E116" s="78" t="s">
        <v>72</v>
      </c>
      <c r="F116" s="78">
        <v>349</v>
      </c>
      <c r="G116" s="79">
        <v>38667</v>
      </c>
      <c r="H116" s="80">
        <v>38667</v>
      </c>
      <c r="I116" s="80" t="s">
        <v>73</v>
      </c>
      <c r="J116" s="124">
        <v>393.22</v>
      </c>
      <c r="K116" s="124">
        <v>0</v>
      </c>
      <c r="L116" s="125">
        <v>393.22</v>
      </c>
      <c r="M116" s="136"/>
      <c r="N116" s="136"/>
      <c r="O116" s="137"/>
      <c r="P116" s="138"/>
      <c r="Q116" s="138">
        <f>N116*0.65</f>
        <v>0</v>
      </c>
      <c r="R116" s="137"/>
      <c r="S116" s="171" t="s">
        <v>77</v>
      </c>
      <c r="T116" s="171"/>
    </row>
    <row r="117" spans="1:20" ht="63">
      <c r="A117" s="122" t="s">
        <v>78</v>
      </c>
      <c r="B117" s="118"/>
      <c r="C117" s="77" t="s">
        <v>53</v>
      </c>
      <c r="D117" s="78" t="s">
        <v>58</v>
      </c>
      <c r="E117" s="78" t="s">
        <v>59</v>
      </c>
      <c r="F117" s="123" t="s">
        <v>74</v>
      </c>
      <c r="G117" s="79">
        <v>38569</v>
      </c>
      <c r="H117" s="80">
        <v>38610</v>
      </c>
      <c r="I117" s="95" t="s">
        <v>60</v>
      </c>
      <c r="J117" s="124">
        <v>293.78</v>
      </c>
      <c r="K117" s="124">
        <v>58.72</v>
      </c>
      <c r="L117" s="125">
        <v>352.5</v>
      </c>
      <c r="M117" s="136">
        <v>293.78</v>
      </c>
      <c r="N117" s="136"/>
      <c r="O117" s="128">
        <f>+N117+M117</f>
        <v>293.78</v>
      </c>
      <c r="P117" s="127">
        <f>+M117*0.5</f>
        <v>146.89</v>
      </c>
      <c r="Q117" s="127"/>
      <c r="R117" s="128">
        <f>+Q117+P117</f>
        <v>146.89</v>
      </c>
      <c r="S117" s="167"/>
      <c r="T117" s="205"/>
    </row>
    <row r="118" spans="1:20" ht="31.5">
      <c r="A118" s="75" t="s">
        <v>78</v>
      </c>
      <c r="B118" s="76"/>
      <c r="C118" s="77" t="s">
        <v>121</v>
      </c>
      <c r="D118" s="77" t="s">
        <v>123</v>
      </c>
      <c r="E118" s="77" t="s">
        <v>124</v>
      </c>
      <c r="F118" s="123" t="s">
        <v>130</v>
      </c>
      <c r="G118" s="95">
        <v>38672</v>
      </c>
      <c r="H118" s="95">
        <v>38695</v>
      </c>
      <c r="I118" s="95" t="s">
        <v>125</v>
      </c>
      <c r="J118" s="139">
        <v>67.58</v>
      </c>
      <c r="K118" s="139">
        <v>13.52</v>
      </c>
      <c r="L118" s="140">
        <v>81.1</v>
      </c>
      <c r="M118" s="141">
        <v>61</v>
      </c>
      <c r="N118" s="136"/>
      <c r="O118" s="128">
        <f aca="true" t="shared" si="15" ref="O118:O124">+N118+M118</f>
        <v>61</v>
      </c>
      <c r="P118" s="127">
        <f aca="true" t="shared" si="16" ref="P118:P124">+M118*0.5</f>
        <v>30.5</v>
      </c>
      <c r="Q118" s="127"/>
      <c r="R118" s="128">
        <f aca="true" t="shared" si="17" ref="R118:R124">+Q118+P118</f>
        <v>30.5</v>
      </c>
      <c r="S118" s="131"/>
      <c r="T118" s="132"/>
    </row>
    <row r="119" spans="1:20" ht="31.5">
      <c r="A119" s="75" t="s">
        <v>78</v>
      </c>
      <c r="B119" s="76"/>
      <c r="C119" s="77" t="s">
        <v>121</v>
      </c>
      <c r="D119" s="77" t="s">
        <v>123</v>
      </c>
      <c r="E119" s="77" t="s">
        <v>124</v>
      </c>
      <c r="F119" s="123" t="s">
        <v>131</v>
      </c>
      <c r="G119" s="95">
        <v>38709</v>
      </c>
      <c r="H119" s="95">
        <v>39037</v>
      </c>
      <c r="I119" s="95" t="s">
        <v>125</v>
      </c>
      <c r="J119" s="139">
        <v>131.12</v>
      </c>
      <c r="K119" s="139">
        <v>26.22</v>
      </c>
      <c r="L119" s="140">
        <v>157.34</v>
      </c>
      <c r="M119" s="141">
        <v>77</v>
      </c>
      <c r="N119" s="136"/>
      <c r="O119" s="128">
        <f t="shared" si="15"/>
        <v>77</v>
      </c>
      <c r="P119" s="127">
        <f t="shared" si="16"/>
        <v>38.5</v>
      </c>
      <c r="Q119" s="127"/>
      <c r="R119" s="128">
        <f t="shared" si="17"/>
        <v>38.5</v>
      </c>
      <c r="S119" s="131"/>
      <c r="T119" s="132"/>
    </row>
    <row r="120" spans="1:20" ht="31.5">
      <c r="A120" s="75" t="s">
        <v>78</v>
      </c>
      <c r="B120" s="76"/>
      <c r="C120" s="77" t="s">
        <v>121</v>
      </c>
      <c r="D120" s="77" t="s">
        <v>123</v>
      </c>
      <c r="E120" s="77" t="s">
        <v>124</v>
      </c>
      <c r="F120" s="123" t="s">
        <v>132</v>
      </c>
      <c r="G120" s="95">
        <v>38743</v>
      </c>
      <c r="H120" s="95">
        <v>38763</v>
      </c>
      <c r="I120" s="95" t="s">
        <v>125</v>
      </c>
      <c r="J120" s="139">
        <v>135.56</v>
      </c>
      <c r="K120" s="139">
        <v>27.11</v>
      </c>
      <c r="L120" s="140">
        <v>162.67</v>
      </c>
      <c r="M120" s="141">
        <v>85</v>
      </c>
      <c r="N120" s="136"/>
      <c r="O120" s="128">
        <f t="shared" si="15"/>
        <v>85</v>
      </c>
      <c r="P120" s="127">
        <f t="shared" si="16"/>
        <v>42.5</v>
      </c>
      <c r="Q120" s="127"/>
      <c r="R120" s="128">
        <f t="shared" si="17"/>
        <v>42.5</v>
      </c>
      <c r="S120" s="201"/>
      <c r="T120" s="202"/>
    </row>
    <row r="121" spans="1:20" ht="21">
      <c r="A121" s="75" t="s">
        <v>78</v>
      </c>
      <c r="B121" s="76"/>
      <c r="C121" s="77" t="s">
        <v>121</v>
      </c>
      <c r="D121" s="77" t="s">
        <v>126</v>
      </c>
      <c r="E121" s="77" t="s">
        <v>127</v>
      </c>
      <c r="F121" s="123">
        <v>557</v>
      </c>
      <c r="G121" s="95">
        <v>38716</v>
      </c>
      <c r="H121" s="95">
        <v>38747</v>
      </c>
      <c r="I121" s="95" t="s">
        <v>109</v>
      </c>
      <c r="J121" s="139">
        <v>108.25</v>
      </c>
      <c r="K121" s="139">
        <v>21.65</v>
      </c>
      <c r="L121" s="140">
        <v>129.9</v>
      </c>
      <c r="M121" s="141">
        <v>110</v>
      </c>
      <c r="N121" s="136"/>
      <c r="O121" s="128">
        <f t="shared" si="15"/>
        <v>110</v>
      </c>
      <c r="P121" s="127">
        <f t="shared" si="16"/>
        <v>55</v>
      </c>
      <c r="Q121" s="127"/>
      <c r="R121" s="128">
        <f t="shared" si="17"/>
        <v>55</v>
      </c>
      <c r="S121" s="131"/>
      <c r="T121" s="132"/>
    </row>
    <row r="122" spans="1:20" ht="21">
      <c r="A122" s="75" t="s">
        <v>78</v>
      </c>
      <c r="B122" s="76"/>
      <c r="C122" s="77" t="s">
        <v>121</v>
      </c>
      <c r="D122" s="77" t="s">
        <v>126</v>
      </c>
      <c r="E122" s="77" t="s">
        <v>127</v>
      </c>
      <c r="F122" s="123">
        <v>4</v>
      </c>
      <c r="G122" s="95">
        <v>38720</v>
      </c>
      <c r="H122" s="95">
        <v>38747</v>
      </c>
      <c r="I122" s="95" t="s">
        <v>109</v>
      </c>
      <c r="J122" s="139">
        <v>107.5</v>
      </c>
      <c r="K122" s="139">
        <v>21.5</v>
      </c>
      <c r="L122" s="140">
        <v>129</v>
      </c>
      <c r="M122" s="141">
        <v>65</v>
      </c>
      <c r="N122" s="136"/>
      <c r="O122" s="128">
        <f t="shared" si="15"/>
        <v>65</v>
      </c>
      <c r="P122" s="127">
        <f t="shared" si="16"/>
        <v>32.5</v>
      </c>
      <c r="Q122" s="127"/>
      <c r="R122" s="128">
        <f t="shared" si="17"/>
        <v>32.5</v>
      </c>
      <c r="S122" s="131"/>
      <c r="T122" s="132"/>
    </row>
    <row r="123" spans="1:20" ht="31.5">
      <c r="A123" s="75" t="s">
        <v>78</v>
      </c>
      <c r="B123" s="76"/>
      <c r="C123" s="77" t="s">
        <v>121</v>
      </c>
      <c r="D123" s="77" t="s">
        <v>110</v>
      </c>
      <c r="E123" s="77" t="s">
        <v>128</v>
      </c>
      <c r="F123" s="123" t="s">
        <v>129</v>
      </c>
      <c r="G123" s="95">
        <v>38631</v>
      </c>
      <c r="H123" s="95">
        <v>38670</v>
      </c>
      <c r="I123" s="95" t="s">
        <v>125</v>
      </c>
      <c r="J123" s="139">
        <v>244.94</v>
      </c>
      <c r="K123" s="139">
        <v>48.99</v>
      </c>
      <c r="L123" s="140">
        <v>294</v>
      </c>
      <c r="M123" s="141">
        <v>102</v>
      </c>
      <c r="N123" s="136"/>
      <c r="O123" s="128">
        <f t="shared" si="15"/>
        <v>102</v>
      </c>
      <c r="P123" s="127">
        <f t="shared" si="16"/>
        <v>51</v>
      </c>
      <c r="Q123" s="127"/>
      <c r="R123" s="128">
        <f t="shared" si="17"/>
        <v>51</v>
      </c>
      <c r="S123" s="131"/>
      <c r="T123" s="132"/>
    </row>
    <row r="124" spans="1:20" ht="31.5">
      <c r="A124" s="75" t="s">
        <v>78</v>
      </c>
      <c r="B124" s="118"/>
      <c r="C124" s="77" t="s">
        <v>53</v>
      </c>
      <c r="D124" s="78" t="s">
        <v>58</v>
      </c>
      <c r="E124" s="78" t="s">
        <v>59</v>
      </c>
      <c r="F124" s="123" t="s">
        <v>134</v>
      </c>
      <c r="G124" s="79">
        <v>38665</v>
      </c>
      <c r="H124" s="80">
        <v>38699</v>
      </c>
      <c r="I124" s="95" t="s">
        <v>160</v>
      </c>
      <c r="J124" s="124">
        <v>48.41</v>
      </c>
      <c r="K124" s="124">
        <v>9.59</v>
      </c>
      <c r="L124" s="125">
        <v>58</v>
      </c>
      <c r="M124" s="136">
        <v>48.41</v>
      </c>
      <c r="N124" s="136"/>
      <c r="O124" s="128">
        <f t="shared" si="15"/>
        <v>48.41</v>
      </c>
      <c r="P124" s="127">
        <f t="shared" si="16"/>
        <v>24.205</v>
      </c>
      <c r="Q124" s="127"/>
      <c r="R124" s="128">
        <f t="shared" si="17"/>
        <v>24.205</v>
      </c>
      <c r="S124" s="201" t="s">
        <v>206</v>
      </c>
      <c r="T124" s="202"/>
    </row>
    <row r="125" spans="1:20" ht="31.5">
      <c r="A125" s="75" t="s">
        <v>78</v>
      </c>
      <c r="B125" s="118"/>
      <c r="C125" s="77" t="s">
        <v>53</v>
      </c>
      <c r="D125" s="77" t="s">
        <v>135</v>
      </c>
      <c r="E125" s="77" t="s">
        <v>72</v>
      </c>
      <c r="F125" s="123">
        <v>349</v>
      </c>
      <c r="G125" s="79">
        <v>111715</v>
      </c>
      <c r="H125" s="80">
        <v>111715</v>
      </c>
      <c r="I125" s="95" t="s">
        <v>73</v>
      </c>
      <c r="J125" s="124">
        <v>393.22</v>
      </c>
      <c r="K125" s="124">
        <v>0</v>
      </c>
      <c r="L125" s="125">
        <v>393.22</v>
      </c>
      <c r="M125" s="136"/>
      <c r="N125" s="136"/>
      <c r="O125" s="128"/>
      <c r="P125" s="127"/>
      <c r="Q125" s="127"/>
      <c r="R125" s="128"/>
      <c r="S125" s="201" t="s">
        <v>208</v>
      </c>
      <c r="T125" s="202"/>
    </row>
    <row r="126" spans="1:20" ht="31.5">
      <c r="A126" s="75" t="s">
        <v>78</v>
      </c>
      <c r="B126" s="118"/>
      <c r="C126" s="77" t="s">
        <v>53</v>
      </c>
      <c r="D126" s="78" t="s">
        <v>65</v>
      </c>
      <c r="E126" s="78" t="s">
        <v>66</v>
      </c>
      <c r="F126" s="123" t="s">
        <v>159</v>
      </c>
      <c r="G126" s="79">
        <v>38681</v>
      </c>
      <c r="H126" s="80">
        <v>38701</v>
      </c>
      <c r="I126" s="95" t="s">
        <v>160</v>
      </c>
      <c r="J126" s="124">
        <v>85.88</v>
      </c>
      <c r="K126" s="124">
        <v>17.18</v>
      </c>
      <c r="L126" s="125">
        <v>103.06</v>
      </c>
      <c r="M126" s="136">
        <v>85.88</v>
      </c>
      <c r="N126" s="136"/>
      <c r="O126" s="128">
        <f aca="true" t="shared" si="18" ref="O126:O142">+N126+M126</f>
        <v>85.88</v>
      </c>
      <c r="P126" s="127">
        <f aca="true" t="shared" si="19" ref="P126:P142">+M126*0.5</f>
        <v>42.94</v>
      </c>
      <c r="Q126" s="127"/>
      <c r="R126" s="128">
        <f aca="true" t="shared" si="20" ref="R126:R142">+Q126+P126</f>
        <v>42.94</v>
      </c>
      <c r="S126" s="201" t="s">
        <v>206</v>
      </c>
      <c r="T126" s="202"/>
    </row>
    <row r="127" spans="1:20" ht="33" customHeight="1">
      <c r="A127" s="75" t="s">
        <v>78</v>
      </c>
      <c r="B127" s="118"/>
      <c r="C127" s="77" t="s">
        <v>53</v>
      </c>
      <c r="D127" s="78" t="s">
        <v>136</v>
      </c>
      <c r="E127" s="78" t="s">
        <v>62</v>
      </c>
      <c r="F127" s="123">
        <v>36</v>
      </c>
      <c r="G127" s="79">
        <v>38686</v>
      </c>
      <c r="H127" s="80">
        <v>38670</v>
      </c>
      <c r="I127" s="95" t="s">
        <v>137</v>
      </c>
      <c r="J127" s="124">
        <v>600</v>
      </c>
      <c r="K127" s="124">
        <v>0</v>
      </c>
      <c r="L127" s="125">
        <v>600</v>
      </c>
      <c r="M127" s="136">
        <v>600</v>
      </c>
      <c r="N127" s="136"/>
      <c r="O127" s="128">
        <f t="shared" si="18"/>
        <v>600</v>
      </c>
      <c r="P127" s="127">
        <f t="shared" si="19"/>
        <v>300</v>
      </c>
      <c r="Q127" s="127"/>
      <c r="R127" s="128">
        <f t="shared" si="20"/>
        <v>300</v>
      </c>
      <c r="S127" s="201" t="s">
        <v>207</v>
      </c>
      <c r="T127" s="202"/>
    </row>
    <row r="128" spans="1:20" ht="47.25" customHeight="1">
      <c r="A128" s="75" t="s">
        <v>78</v>
      </c>
      <c r="B128" s="118"/>
      <c r="C128" s="77" t="s">
        <v>53</v>
      </c>
      <c r="D128" s="78" t="s">
        <v>138</v>
      </c>
      <c r="E128" s="78" t="s">
        <v>139</v>
      </c>
      <c r="F128" s="123">
        <v>800157530</v>
      </c>
      <c r="G128" s="79">
        <v>38686</v>
      </c>
      <c r="H128" s="80">
        <v>38717</v>
      </c>
      <c r="I128" s="95" t="s">
        <v>161</v>
      </c>
      <c r="J128" s="124">
        <v>818.3</v>
      </c>
      <c r="K128" s="124">
        <v>163.66</v>
      </c>
      <c r="L128" s="125">
        <v>981.96</v>
      </c>
      <c r="M128" s="136"/>
      <c r="N128" s="136"/>
      <c r="O128" s="128">
        <f t="shared" si="18"/>
        <v>0</v>
      </c>
      <c r="P128" s="127">
        <f t="shared" si="19"/>
        <v>0</v>
      </c>
      <c r="Q128" s="127"/>
      <c r="R128" s="128">
        <f t="shared" si="20"/>
        <v>0</v>
      </c>
      <c r="S128" s="201" t="s">
        <v>205</v>
      </c>
      <c r="T128" s="202"/>
    </row>
    <row r="129" spans="1:20" ht="35.25" customHeight="1">
      <c r="A129" s="75" t="s">
        <v>78</v>
      </c>
      <c r="B129" s="118"/>
      <c r="C129" s="77" t="s">
        <v>53</v>
      </c>
      <c r="D129" s="78" t="s">
        <v>140</v>
      </c>
      <c r="E129" s="78" t="s">
        <v>62</v>
      </c>
      <c r="F129" s="123">
        <v>41</v>
      </c>
      <c r="G129" s="79">
        <v>38715</v>
      </c>
      <c r="H129" s="80">
        <v>38707</v>
      </c>
      <c r="I129" s="95" t="s">
        <v>137</v>
      </c>
      <c r="J129" s="124">
        <v>600</v>
      </c>
      <c r="K129" s="124">
        <v>0</v>
      </c>
      <c r="L129" s="125">
        <v>600</v>
      </c>
      <c r="M129" s="136">
        <v>600</v>
      </c>
      <c r="N129" s="136"/>
      <c r="O129" s="128">
        <f t="shared" si="18"/>
        <v>600</v>
      </c>
      <c r="P129" s="127">
        <f t="shared" si="19"/>
        <v>300</v>
      </c>
      <c r="Q129" s="127"/>
      <c r="R129" s="128">
        <f t="shared" si="20"/>
        <v>300</v>
      </c>
      <c r="S129" s="201" t="s">
        <v>207</v>
      </c>
      <c r="T129" s="202"/>
    </row>
    <row r="130" spans="1:20" ht="31.5">
      <c r="A130" s="75" t="s">
        <v>78</v>
      </c>
      <c r="B130" s="118"/>
      <c r="C130" s="77" t="s">
        <v>53</v>
      </c>
      <c r="D130" s="78" t="s">
        <v>58</v>
      </c>
      <c r="E130" s="78" t="s">
        <v>59</v>
      </c>
      <c r="F130" s="123" t="s">
        <v>141</v>
      </c>
      <c r="G130" s="79">
        <v>38727</v>
      </c>
      <c r="H130" s="80">
        <v>38761</v>
      </c>
      <c r="I130" s="95" t="s">
        <v>162</v>
      </c>
      <c r="J130" s="124">
        <v>229.97</v>
      </c>
      <c r="K130" s="124">
        <v>46.03</v>
      </c>
      <c r="L130" s="125">
        <v>276</v>
      </c>
      <c r="M130" s="136">
        <v>229.97</v>
      </c>
      <c r="N130" s="136"/>
      <c r="O130" s="128">
        <f t="shared" si="18"/>
        <v>229.97</v>
      </c>
      <c r="P130" s="127">
        <f t="shared" si="19"/>
        <v>114.985</v>
      </c>
      <c r="Q130" s="127"/>
      <c r="R130" s="128">
        <f t="shared" si="20"/>
        <v>114.985</v>
      </c>
      <c r="S130" s="201" t="s">
        <v>206</v>
      </c>
      <c r="T130" s="202"/>
    </row>
    <row r="131" spans="1:20" ht="31.5">
      <c r="A131" s="75" t="s">
        <v>78</v>
      </c>
      <c r="B131" s="118"/>
      <c r="C131" s="77" t="s">
        <v>53</v>
      </c>
      <c r="D131" s="78" t="s">
        <v>58</v>
      </c>
      <c r="E131" s="78" t="s">
        <v>59</v>
      </c>
      <c r="F131" s="123" t="s">
        <v>142</v>
      </c>
      <c r="G131" s="79">
        <v>38727</v>
      </c>
      <c r="H131" s="80">
        <v>38761</v>
      </c>
      <c r="I131" s="95" t="s">
        <v>162</v>
      </c>
      <c r="J131" s="124">
        <v>294.24</v>
      </c>
      <c r="K131" s="124">
        <v>58.24</v>
      </c>
      <c r="L131" s="125">
        <v>353</v>
      </c>
      <c r="M131" s="136">
        <v>294.24</v>
      </c>
      <c r="N131" s="136"/>
      <c r="O131" s="128">
        <f t="shared" si="18"/>
        <v>294.24</v>
      </c>
      <c r="P131" s="127">
        <f t="shared" si="19"/>
        <v>147.12</v>
      </c>
      <c r="Q131" s="127"/>
      <c r="R131" s="128">
        <f t="shared" si="20"/>
        <v>147.12</v>
      </c>
      <c r="S131" s="201" t="s">
        <v>206</v>
      </c>
      <c r="T131" s="202"/>
    </row>
    <row r="132" spans="1:20" ht="31.5">
      <c r="A132" s="75" t="s">
        <v>78</v>
      </c>
      <c r="B132" s="118"/>
      <c r="C132" s="77" t="s">
        <v>53</v>
      </c>
      <c r="D132" s="78" t="s">
        <v>58</v>
      </c>
      <c r="E132" s="78" t="s">
        <v>59</v>
      </c>
      <c r="F132" s="123" t="s">
        <v>143</v>
      </c>
      <c r="G132" s="79">
        <v>38727</v>
      </c>
      <c r="H132" s="80">
        <v>38761</v>
      </c>
      <c r="I132" s="95" t="s">
        <v>162</v>
      </c>
      <c r="J132" s="124">
        <v>50.8</v>
      </c>
      <c r="K132" s="124">
        <v>10.2</v>
      </c>
      <c r="L132" s="125">
        <v>61</v>
      </c>
      <c r="M132" s="136">
        <v>50.8</v>
      </c>
      <c r="N132" s="136"/>
      <c r="O132" s="128">
        <f t="shared" si="18"/>
        <v>50.8</v>
      </c>
      <c r="P132" s="127">
        <f t="shared" si="19"/>
        <v>25.4</v>
      </c>
      <c r="Q132" s="127"/>
      <c r="R132" s="128">
        <f t="shared" si="20"/>
        <v>25.4</v>
      </c>
      <c r="S132" s="201" t="s">
        <v>206</v>
      </c>
      <c r="T132" s="202"/>
    </row>
    <row r="133" spans="1:20" ht="31.5">
      <c r="A133" s="75" t="s">
        <v>78</v>
      </c>
      <c r="B133" s="118"/>
      <c r="C133" s="77" t="s">
        <v>53</v>
      </c>
      <c r="D133" s="78" t="s">
        <v>65</v>
      </c>
      <c r="E133" s="78" t="s">
        <v>66</v>
      </c>
      <c r="F133" s="123" t="s">
        <v>144</v>
      </c>
      <c r="G133" s="79">
        <v>38743</v>
      </c>
      <c r="H133" s="80">
        <v>38763</v>
      </c>
      <c r="I133" s="95" t="s">
        <v>160</v>
      </c>
      <c r="J133" s="124">
        <v>104.24</v>
      </c>
      <c r="K133" s="124">
        <v>20.85</v>
      </c>
      <c r="L133" s="125">
        <v>125.09</v>
      </c>
      <c r="M133" s="136">
        <v>104.24</v>
      </c>
      <c r="N133" s="136"/>
      <c r="O133" s="128">
        <f t="shared" si="18"/>
        <v>104.24</v>
      </c>
      <c r="P133" s="127">
        <f t="shared" si="19"/>
        <v>52.12</v>
      </c>
      <c r="Q133" s="127"/>
      <c r="R133" s="128">
        <f t="shared" si="20"/>
        <v>52.12</v>
      </c>
      <c r="S133" s="201" t="s">
        <v>206</v>
      </c>
      <c r="T133" s="202"/>
    </row>
    <row r="134" spans="1:20" ht="31.5">
      <c r="A134" s="75" t="s">
        <v>78</v>
      </c>
      <c r="B134" s="118"/>
      <c r="C134" s="77" t="s">
        <v>53</v>
      </c>
      <c r="D134" s="78" t="s">
        <v>145</v>
      </c>
      <c r="E134" s="78" t="s">
        <v>146</v>
      </c>
      <c r="F134" s="123" t="s">
        <v>147</v>
      </c>
      <c r="G134" s="79">
        <v>38745</v>
      </c>
      <c r="H134" s="80">
        <v>38766</v>
      </c>
      <c r="I134" s="95" t="s">
        <v>160</v>
      </c>
      <c r="J134" s="124">
        <v>228.16</v>
      </c>
      <c r="K134" s="124">
        <v>45.63</v>
      </c>
      <c r="L134" s="125">
        <v>273.79</v>
      </c>
      <c r="M134" s="136">
        <v>228.16</v>
      </c>
      <c r="N134" s="136"/>
      <c r="O134" s="128">
        <f t="shared" si="18"/>
        <v>228.16</v>
      </c>
      <c r="P134" s="127">
        <f t="shared" si="19"/>
        <v>114.08</v>
      </c>
      <c r="Q134" s="127"/>
      <c r="R134" s="128">
        <f t="shared" si="20"/>
        <v>114.08</v>
      </c>
      <c r="S134" s="201" t="s">
        <v>206</v>
      </c>
      <c r="T134" s="202"/>
    </row>
    <row r="135" spans="1:20" ht="21">
      <c r="A135" s="75" t="s">
        <v>78</v>
      </c>
      <c r="B135" s="118"/>
      <c r="C135" s="77" t="s">
        <v>53</v>
      </c>
      <c r="D135" s="78" t="s">
        <v>148</v>
      </c>
      <c r="E135" s="78" t="s">
        <v>62</v>
      </c>
      <c r="F135" s="123" t="s">
        <v>149</v>
      </c>
      <c r="G135" s="79">
        <v>38748</v>
      </c>
      <c r="H135" s="80">
        <v>38737</v>
      </c>
      <c r="I135" s="95" t="s">
        <v>137</v>
      </c>
      <c r="J135" s="124">
        <v>600</v>
      </c>
      <c r="K135" s="124">
        <v>0</v>
      </c>
      <c r="L135" s="125">
        <v>600</v>
      </c>
      <c r="M135" s="136">
        <v>600</v>
      </c>
      <c r="N135" s="136"/>
      <c r="O135" s="128">
        <f t="shared" si="18"/>
        <v>600</v>
      </c>
      <c r="P135" s="127">
        <f t="shared" si="19"/>
        <v>300</v>
      </c>
      <c r="Q135" s="127"/>
      <c r="R135" s="128">
        <f t="shared" si="20"/>
        <v>300</v>
      </c>
      <c r="S135" s="201" t="s">
        <v>207</v>
      </c>
      <c r="T135" s="202"/>
    </row>
    <row r="136" spans="1:20" ht="21">
      <c r="A136" s="75" t="s">
        <v>78</v>
      </c>
      <c r="B136" s="118"/>
      <c r="C136" s="77" t="s">
        <v>53</v>
      </c>
      <c r="D136" s="78" t="s">
        <v>150</v>
      </c>
      <c r="E136" s="78" t="s">
        <v>72</v>
      </c>
      <c r="F136" s="123">
        <v>362</v>
      </c>
      <c r="G136" s="79">
        <v>38750</v>
      </c>
      <c r="H136" s="80">
        <v>38734</v>
      </c>
      <c r="I136" s="95" t="s">
        <v>137</v>
      </c>
      <c r="J136" s="124">
        <v>171.33</v>
      </c>
      <c r="K136" s="124">
        <v>0</v>
      </c>
      <c r="L136" s="125">
        <v>171.33</v>
      </c>
      <c r="M136" s="136">
        <v>171.33</v>
      </c>
      <c r="N136" s="136"/>
      <c r="O136" s="128">
        <f t="shared" si="18"/>
        <v>171.33</v>
      </c>
      <c r="P136" s="127">
        <f t="shared" si="19"/>
        <v>85.665</v>
      </c>
      <c r="Q136" s="127"/>
      <c r="R136" s="128">
        <f t="shared" si="20"/>
        <v>85.665</v>
      </c>
      <c r="S136" s="131"/>
      <c r="T136" s="132"/>
    </row>
    <row r="137" spans="1:20" ht="21">
      <c r="A137" s="75" t="s">
        <v>78</v>
      </c>
      <c r="B137" s="118"/>
      <c r="C137" s="77" t="s">
        <v>53</v>
      </c>
      <c r="D137" s="78" t="s">
        <v>151</v>
      </c>
      <c r="E137" s="78" t="s">
        <v>72</v>
      </c>
      <c r="F137" s="123">
        <v>361</v>
      </c>
      <c r="G137" s="79">
        <v>38750</v>
      </c>
      <c r="H137" s="80">
        <v>38734</v>
      </c>
      <c r="I137" s="95" t="s">
        <v>137</v>
      </c>
      <c r="J137" s="124">
        <v>31.66</v>
      </c>
      <c r="K137" s="124">
        <v>0</v>
      </c>
      <c r="L137" s="125">
        <v>31.66</v>
      </c>
      <c r="M137" s="136">
        <v>31.66</v>
      </c>
      <c r="N137" s="136"/>
      <c r="O137" s="128">
        <f t="shared" si="18"/>
        <v>31.66</v>
      </c>
      <c r="P137" s="127">
        <f t="shared" si="19"/>
        <v>15.83</v>
      </c>
      <c r="Q137" s="127"/>
      <c r="R137" s="128">
        <f t="shared" si="20"/>
        <v>15.83</v>
      </c>
      <c r="S137" s="131"/>
      <c r="T137" s="132"/>
    </row>
    <row r="138" spans="1:20" ht="21">
      <c r="A138" s="75" t="s">
        <v>78</v>
      </c>
      <c r="B138" s="118"/>
      <c r="C138" s="77" t="s">
        <v>53</v>
      </c>
      <c r="D138" s="78" t="s">
        <v>152</v>
      </c>
      <c r="E138" s="78" t="s">
        <v>62</v>
      </c>
      <c r="F138" s="123" t="s">
        <v>153</v>
      </c>
      <c r="G138" s="79">
        <v>38776</v>
      </c>
      <c r="H138" s="80">
        <v>38768</v>
      </c>
      <c r="I138" s="95" t="s">
        <v>137</v>
      </c>
      <c r="J138" s="124">
        <v>600</v>
      </c>
      <c r="K138" s="124">
        <v>0</v>
      </c>
      <c r="L138" s="125">
        <v>600</v>
      </c>
      <c r="M138" s="136">
        <v>600</v>
      </c>
      <c r="N138" s="136"/>
      <c r="O138" s="128">
        <f t="shared" si="18"/>
        <v>600</v>
      </c>
      <c r="P138" s="127">
        <f t="shared" si="19"/>
        <v>300</v>
      </c>
      <c r="Q138" s="127"/>
      <c r="R138" s="128">
        <f t="shared" si="20"/>
        <v>300</v>
      </c>
      <c r="S138" s="201" t="s">
        <v>207</v>
      </c>
      <c r="T138" s="202"/>
    </row>
    <row r="139" spans="1:20" ht="21">
      <c r="A139" s="75" t="s">
        <v>78</v>
      </c>
      <c r="B139" s="118"/>
      <c r="C139" s="77" t="s">
        <v>53</v>
      </c>
      <c r="D139" s="78" t="s">
        <v>154</v>
      </c>
      <c r="E139" s="78" t="s">
        <v>72</v>
      </c>
      <c r="F139" s="123"/>
      <c r="G139" s="79"/>
      <c r="H139" s="80">
        <v>38793</v>
      </c>
      <c r="I139" s="95" t="s">
        <v>137</v>
      </c>
      <c r="J139" s="124">
        <v>141.75</v>
      </c>
      <c r="K139" s="124">
        <v>0</v>
      </c>
      <c r="L139" s="125">
        <v>141.75</v>
      </c>
      <c r="M139" s="136">
        <v>141.75</v>
      </c>
      <c r="N139" s="136"/>
      <c r="O139" s="128">
        <f t="shared" si="18"/>
        <v>141.75</v>
      </c>
      <c r="P139" s="127">
        <f t="shared" si="19"/>
        <v>70.875</v>
      </c>
      <c r="Q139" s="127"/>
      <c r="R139" s="128">
        <f t="shared" si="20"/>
        <v>70.875</v>
      </c>
      <c r="S139" s="131"/>
      <c r="T139" s="132"/>
    </row>
    <row r="140" spans="1:20" ht="21">
      <c r="A140" s="75" t="s">
        <v>78</v>
      </c>
      <c r="B140" s="118"/>
      <c r="C140" s="77" t="s">
        <v>53</v>
      </c>
      <c r="D140" s="78" t="s">
        <v>155</v>
      </c>
      <c r="E140" s="78" t="s">
        <v>62</v>
      </c>
      <c r="F140" s="123" t="s">
        <v>156</v>
      </c>
      <c r="G140" s="79">
        <v>38807</v>
      </c>
      <c r="H140" s="80">
        <v>38793</v>
      </c>
      <c r="I140" s="95" t="s">
        <v>137</v>
      </c>
      <c r="J140" s="124">
        <v>600</v>
      </c>
      <c r="K140" s="124">
        <v>0</v>
      </c>
      <c r="L140" s="125">
        <v>600</v>
      </c>
      <c r="M140" s="136">
        <v>600</v>
      </c>
      <c r="N140" s="136"/>
      <c r="O140" s="128">
        <f t="shared" si="18"/>
        <v>600</v>
      </c>
      <c r="P140" s="127">
        <f t="shared" si="19"/>
        <v>300</v>
      </c>
      <c r="Q140" s="127"/>
      <c r="R140" s="128">
        <f t="shared" si="20"/>
        <v>300</v>
      </c>
      <c r="S140" s="201" t="s">
        <v>207</v>
      </c>
      <c r="T140" s="202"/>
    </row>
    <row r="141" spans="1:20" ht="31.5">
      <c r="A141" s="75" t="s">
        <v>78</v>
      </c>
      <c r="B141" s="118"/>
      <c r="C141" s="77" t="s">
        <v>53</v>
      </c>
      <c r="D141" s="78" t="s">
        <v>58</v>
      </c>
      <c r="E141" s="78" t="s">
        <v>59</v>
      </c>
      <c r="F141" s="123" t="s">
        <v>157</v>
      </c>
      <c r="G141" s="79">
        <v>38784</v>
      </c>
      <c r="H141" s="80">
        <v>38820</v>
      </c>
      <c r="I141" s="95" t="s">
        <v>160</v>
      </c>
      <c r="J141" s="124">
        <v>48.74</v>
      </c>
      <c r="K141" s="124">
        <v>9.76</v>
      </c>
      <c r="L141" s="125">
        <v>58.5</v>
      </c>
      <c r="M141" s="136">
        <v>48.76</v>
      </c>
      <c r="N141" s="136"/>
      <c r="O141" s="128">
        <f t="shared" si="18"/>
        <v>48.76</v>
      </c>
      <c r="P141" s="127">
        <f t="shared" si="19"/>
        <v>24.38</v>
      </c>
      <c r="Q141" s="127"/>
      <c r="R141" s="128">
        <f t="shared" si="20"/>
        <v>24.38</v>
      </c>
      <c r="S141" s="201" t="s">
        <v>206</v>
      </c>
      <c r="T141" s="202"/>
    </row>
    <row r="142" spans="1:20" ht="31.5">
      <c r="A142" s="75" t="s">
        <v>78</v>
      </c>
      <c r="B142" s="118"/>
      <c r="C142" s="77" t="s">
        <v>53</v>
      </c>
      <c r="D142" s="78" t="s">
        <v>65</v>
      </c>
      <c r="E142" s="78" t="s">
        <v>66</v>
      </c>
      <c r="F142" s="123" t="s">
        <v>158</v>
      </c>
      <c r="G142" s="79">
        <v>38800</v>
      </c>
      <c r="H142" s="80">
        <v>38820</v>
      </c>
      <c r="I142" s="95" t="s">
        <v>160</v>
      </c>
      <c r="J142" s="124">
        <v>101.66</v>
      </c>
      <c r="K142" s="124">
        <v>20.33</v>
      </c>
      <c r="L142" s="125">
        <v>121.99</v>
      </c>
      <c r="M142" s="136">
        <v>101.99</v>
      </c>
      <c r="N142" s="136"/>
      <c r="O142" s="128">
        <f t="shared" si="18"/>
        <v>101.99</v>
      </c>
      <c r="P142" s="127">
        <f t="shared" si="19"/>
        <v>50.995</v>
      </c>
      <c r="Q142" s="127"/>
      <c r="R142" s="128">
        <f t="shared" si="20"/>
        <v>50.995</v>
      </c>
      <c r="S142" s="201" t="s">
        <v>206</v>
      </c>
      <c r="T142" s="202"/>
    </row>
    <row r="143" spans="1:20" ht="21">
      <c r="A143" s="75" t="s">
        <v>78</v>
      </c>
      <c r="B143" s="76"/>
      <c r="C143" s="77" t="s">
        <v>168</v>
      </c>
      <c r="D143" s="78" t="s">
        <v>164</v>
      </c>
      <c r="E143" s="78" t="s">
        <v>165</v>
      </c>
      <c r="F143" s="123">
        <v>38659</v>
      </c>
      <c r="G143" s="79">
        <v>38664</v>
      </c>
      <c r="H143" s="80"/>
      <c r="I143" s="95"/>
      <c r="J143" s="124"/>
      <c r="K143" s="124"/>
      <c r="L143" s="125">
        <v>382</v>
      </c>
      <c r="M143" s="136"/>
      <c r="N143" s="136"/>
      <c r="O143" s="128"/>
      <c r="P143" s="127"/>
      <c r="Q143" s="127"/>
      <c r="R143" s="128"/>
      <c r="S143" s="201" t="s">
        <v>209</v>
      </c>
      <c r="T143" s="202"/>
    </row>
    <row r="144" spans="1:20" ht="21">
      <c r="A144" s="75" t="s">
        <v>78</v>
      </c>
      <c r="B144" s="76"/>
      <c r="C144" s="77" t="s">
        <v>168</v>
      </c>
      <c r="D144" s="78" t="s">
        <v>164</v>
      </c>
      <c r="E144" s="78" t="s">
        <v>166</v>
      </c>
      <c r="F144" s="123">
        <v>38685</v>
      </c>
      <c r="G144" s="79">
        <v>38685</v>
      </c>
      <c r="H144" s="80"/>
      <c r="I144" s="95"/>
      <c r="J144" s="124"/>
      <c r="K144" s="124"/>
      <c r="L144" s="125">
        <v>484</v>
      </c>
      <c r="M144" s="136"/>
      <c r="N144" s="136"/>
      <c r="O144" s="128"/>
      <c r="P144" s="127"/>
      <c r="Q144" s="127"/>
      <c r="R144" s="128"/>
      <c r="S144" s="201" t="s">
        <v>209</v>
      </c>
      <c r="T144" s="202"/>
    </row>
    <row r="145" spans="1:20" ht="21">
      <c r="A145" s="75" t="s">
        <v>78</v>
      </c>
      <c r="B145" s="76"/>
      <c r="C145" s="77" t="s">
        <v>168</v>
      </c>
      <c r="D145" s="78" t="s">
        <v>164</v>
      </c>
      <c r="E145" s="78" t="s">
        <v>167</v>
      </c>
      <c r="F145" s="123">
        <v>38748</v>
      </c>
      <c r="G145" s="79">
        <v>38750</v>
      </c>
      <c r="H145" s="80"/>
      <c r="I145" s="95"/>
      <c r="J145" s="124"/>
      <c r="K145" s="124"/>
      <c r="L145" s="125">
        <v>548</v>
      </c>
      <c r="M145" s="136"/>
      <c r="N145" s="136"/>
      <c r="O145" s="128"/>
      <c r="P145" s="127"/>
      <c r="Q145" s="127"/>
      <c r="R145" s="128"/>
      <c r="S145" s="201" t="s">
        <v>209</v>
      </c>
      <c r="T145" s="202"/>
    </row>
    <row r="146" spans="1:20" ht="21">
      <c r="A146" s="75" t="s">
        <v>78</v>
      </c>
      <c r="B146" s="76"/>
      <c r="C146" s="77" t="s">
        <v>168</v>
      </c>
      <c r="D146" s="78" t="s">
        <v>164</v>
      </c>
      <c r="E146" s="78" t="s">
        <v>165</v>
      </c>
      <c r="F146" s="123">
        <v>38771</v>
      </c>
      <c r="G146" s="79">
        <v>38776</v>
      </c>
      <c r="H146" s="80"/>
      <c r="I146" s="95"/>
      <c r="J146" s="124"/>
      <c r="K146" s="124"/>
      <c r="L146" s="125">
        <v>376</v>
      </c>
      <c r="M146" s="136"/>
      <c r="N146" s="136"/>
      <c r="O146" s="128"/>
      <c r="P146" s="127"/>
      <c r="Q146" s="127"/>
      <c r="R146" s="128"/>
      <c r="S146" s="201" t="s">
        <v>209</v>
      </c>
      <c r="T146" s="202"/>
    </row>
    <row r="147" spans="1:20" ht="21">
      <c r="A147" s="75" t="s">
        <v>78</v>
      </c>
      <c r="B147" s="76"/>
      <c r="C147" s="77" t="s">
        <v>50</v>
      </c>
      <c r="D147" s="78" t="s">
        <v>187</v>
      </c>
      <c r="E147" s="78"/>
      <c r="F147" s="123" t="s">
        <v>186</v>
      </c>
      <c r="G147" s="79"/>
      <c r="H147" s="80">
        <v>38786</v>
      </c>
      <c r="I147" s="95" t="s">
        <v>180</v>
      </c>
      <c r="J147" s="124">
        <v>168.9</v>
      </c>
      <c r="K147" s="124">
        <v>0</v>
      </c>
      <c r="L147" s="125">
        <v>168.9</v>
      </c>
      <c r="M147" s="136"/>
      <c r="N147" s="136"/>
      <c r="O147" s="128"/>
      <c r="P147" s="127"/>
      <c r="Q147" s="127"/>
      <c r="R147" s="128"/>
      <c r="S147" s="201" t="s">
        <v>209</v>
      </c>
      <c r="T147" s="202"/>
    </row>
    <row r="148" spans="1:20" ht="31.5">
      <c r="A148" s="75" t="s">
        <v>212</v>
      </c>
      <c r="B148" s="76"/>
      <c r="C148" s="77" t="s">
        <v>50</v>
      </c>
      <c r="D148" s="78" t="s">
        <v>178</v>
      </c>
      <c r="E148" s="78"/>
      <c r="F148" s="123" t="s">
        <v>179</v>
      </c>
      <c r="G148" s="79"/>
      <c r="H148" s="80">
        <v>38691</v>
      </c>
      <c r="I148" s="95" t="s">
        <v>180</v>
      </c>
      <c r="J148" s="124">
        <f>58.3+264.27+15</f>
        <v>337.57</v>
      </c>
      <c r="K148" s="124"/>
      <c r="L148" s="125">
        <v>337.57</v>
      </c>
      <c r="M148" s="124">
        <f>58.3+264.27+15</f>
        <v>337.57</v>
      </c>
      <c r="N148" s="136"/>
      <c r="O148" s="128">
        <f>+N148+M148</f>
        <v>337.57</v>
      </c>
      <c r="P148" s="127">
        <f>+M148*0.5</f>
        <v>168.785</v>
      </c>
      <c r="Q148" s="127"/>
      <c r="R148" s="128">
        <f>+Q148+P148</f>
        <v>168.785</v>
      </c>
      <c r="S148" s="201"/>
      <c r="T148" s="202"/>
    </row>
    <row r="149" spans="1:20" ht="21" customHeight="1">
      <c r="A149" s="75" t="s">
        <v>212</v>
      </c>
      <c r="B149" s="76"/>
      <c r="C149" s="77" t="s">
        <v>50</v>
      </c>
      <c r="D149" s="78" t="s">
        <v>181</v>
      </c>
      <c r="E149" s="78"/>
      <c r="F149" s="123" t="s">
        <v>182</v>
      </c>
      <c r="G149" s="79"/>
      <c r="H149" s="80">
        <v>38786</v>
      </c>
      <c r="I149" s="95" t="s">
        <v>180</v>
      </c>
      <c r="J149" s="124">
        <f>369.27+54.73</f>
        <v>424</v>
      </c>
      <c r="K149" s="124"/>
      <c r="L149" s="125">
        <v>424</v>
      </c>
      <c r="M149" s="136">
        <v>424</v>
      </c>
      <c r="N149" s="136"/>
      <c r="O149" s="128">
        <f>+N149+M149</f>
        <v>424</v>
      </c>
      <c r="P149" s="127">
        <f>+M149*0.5</f>
        <v>212</v>
      </c>
      <c r="Q149" s="127"/>
      <c r="R149" s="128">
        <f>+Q149+P149</f>
        <v>212</v>
      </c>
      <c r="S149" s="201"/>
      <c r="T149" s="202"/>
    </row>
    <row r="150" spans="1:20" ht="21" customHeight="1">
      <c r="A150" s="75" t="s">
        <v>212</v>
      </c>
      <c r="B150" s="76"/>
      <c r="C150" s="77" t="s">
        <v>50</v>
      </c>
      <c r="D150" s="78" t="s">
        <v>183</v>
      </c>
      <c r="E150" s="78"/>
      <c r="F150" s="123" t="s">
        <v>184</v>
      </c>
      <c r="G150" s="79"/>
      <c r="H150" s="80">
        <v>38786</v>
      </c>
      <c r="I150" s="95" t="s">
        <v>180</v>
      </c>
      <c r="J150" s="124">
        <v>122.44</v>
      </c>
      <c r="K150" s="124">
        <v>0</v>
      </c>
      <c r="L150" s="125">
        <v>122.44</v>
      </c>
      <c r="M150" s="136">
        <v>122.44</v>
      </c>
      <c r="N150" s="136"/>
      <c r="O150" s="128">
        <f>+N150+M150</f>
        <v>122.44</v>
      </c>
      <c r="P150" s="127">
        <f>+M150*0.5</f>
        <v>61.22</v>
      </c>
      <c r="Q150" s="127"/>
      <c r="R150" s="128">
        <f>+Q150+P150</f>
        <v>61.22</v>
      </c>
      <c r="S150" s="201"/>
      <c r="T150" s="202"/>
    </row>
    <row r="151" spans="1:20" ht="21" customHeight="1">
      <c r="A151" s="75" t="s">
        <v>212</v>
      </c>
      <c r="B151" s="76"/>
      <c r="C151" s="77" t="s">
        <v>50</v>
      </c>
      <c r="D151" s="78" t="s">
        <v>185</v>
      </c>
      <c r="E151" s="78"/>
      <c r="F151" s="123" t="s">
        <v>186</v>
      </c>
      <c r="G151" s="79"/>
      <c r="H151" s="80">
        <v>38786</v>
      </c>
      <c r="I151" s="95" t="s">
        <v>180</v>
      </c>
      <c r="J151" s="124">
        <v>1022.81</v>
      </c>
      <c r="K151" s="124">
        <v>0</v>
      </c>
      <c r="L151" s="125">
        <v>1022.81</v>
      </c>
      <c r="M151" s="136">
        <v>1022.81</v>
      </c>
      <c r="N151" s="136"/>
      <c r="O151" s="128">
        <f>+N151+M151</f>
        <v>1022.81</v>
      </c>
      <c r="P151" s="127">
        <f>+M151*0.5</f>
        <v>511.405</v>
      </c>
      <c r="Q151" s="127"/>
      <c r="R151" s="128">
        <f>+Q151+P151</f>
        <v>511.405</v>
      </c>
      <c r="S151" s="201"/>
      <c r="T151" s="202"/>
    </row>
    <row r="152" spans="1:20" ht="21">
      <c r="A152" s="75" t="s">
        <v>212</v>
      </c>
      <c r="B152" s="76"/>
      <c r="C152" s="77" t="s">
        <v>50</v>
      </c>
      <c r="D152" s="78" t="s">
        <v>188</v>
      </c>
      <c r="E152" s="78"/>
      <c r="F152" s="123" t="s">
        <v>189</v>
      </c>
      <c r="G152" s="79"/>
      <c r="H152" s="80">
        <v>38805</v>
      </c>
      <c r="I152" s="95" t="s">
        <v>180</v>
      </c>
      <c r="J152" s="124">
        <v>298.24</v>
      </c>
      <c r="K152" s="124"/>
      <c r="L152" s="125">
        <v>298.24</v>
      </c>
      <c r="M152" s="136">
        <v>298.24</v>
      </c>
      <c r="N152" s="136"/>
      <c r="O152" s="128">
        <f>+N152+M152</f>
        <v>298.24</v>
      </c>
      <c r="P152" s="127">
        <f>+M152*0.5</f>
        <v>149.12</v>
      </c>
      <c r="Q152" s="127"/>
      <c r="R152" s="128">
        <f>+Q152+P152</f>
        <v>149.12</v>
      </c>
      <c r="S152" s="201"/>
      <c r="T152" s="202"/>
    </row>
    <row r="153" spans="1:20" ht="53.25" customHeight="1">
      <c r="A153" s="75" t="s">
        <v>212</v>
      </c>
      <c r="B153" s="76"/>
      <c r="C153" s="77" t="s">
        <v>54</v>
      </c>
      <c r="D153" s="78" t="s">
        <v>96</v>
      </c>
      <c r="E153" s="78" t="s">
        <v>97</v>
      </c>
      <c r="F153" s="123" t="s">
        <v>98</v>
      </c>
      <c r="G153" s="79">
        <v>38686</v>
      </c>
      <c r="H153" s="80">
        <v>38699</v>
      </c>
      <c r="I153" s="95" t="s">
        <v>99</v>
      </c>
      <c r="J153" s="124">
        <v>38.36</v>
      </c>
      <c r="K153" s="124">
        <v>7.672000000000001</v>
      </c>
      <c r="L153" s="125">
        <v>46.032</v>
      </c>
      <c r="M153" s="136"/>
      <c r="N153" s="136"/>
      <c r="O153" s="128"/>
      <c r="P153" s="127"/>
      <c r="Q153" s="127"/>
      <c r="R153" s="128"/>
      <c r="S153" s="201" t="s">
        <v>300</v>
      </c>
      <c r="T153" s="202"/>
    </row>
    <row r="154" spans="1:20" ht="46.5" customHeight="1">
      <c r="A154" s="75" t="s">
        <v>212</v>
      </c>
      <c r="B154" s="76"/>
      <c r="C154" s="77" t="s">
        <v>54</v>
      </c>
      <c r="D154" s="78" t="s">
        <v>96</v>
      </c>
      <c r="E154" s="78" t="s">
        <v>97</v>
      </c>
      <c r="F154" s="123" t="s">
        <v>100</v>
      </c>
      <c r="G154" s="79">
        <v>38716</v>
      </c>
      <c r="H154" s="80">
        <v>38716</v>
      </c>
      <c r="I154" s="95" t="s">
        <v>99</v>
      </c>
      <c r="J154" s="124">
        <v>38.36</v>
      </c>
      <c r="K154" s="124">
        <v>7.672000000000001</v>
      </c>
      <c r="L154" s="125">
        <v>46.032</v>
      </c>
      <c r="M154" s="136"/>
      <c r="N154" s="136"/>
      <c r="O154" s="128"/>
      <c r="P154" s="127"/>
      <c r="Q154" s="127"/>
      <c r="R154" s="128"/>
      <c r="S154" s="201" t="s">
        <v>300</v>
      </c>
      <c r="T154" s="202"/>
    </row>
    <row r="155" spans="1:20" ht="10.5" customHeight="1">
      <c r="A155" s="75" t="s">
        <v>212</v>
      </c>
      <c r="B155" s="76"/>
      <c r="C155" s="77" t="s">
        <v>54</v>
      </c>
      <c r="D155" s="78" t="s">
        <v>101</v>
      </c>
      <c r="E155" s="78" t="s">
        <v>102</v>
      </c>
      <c r="F155" s="123" t="s">
        <v>103</v>
      </c>
      <c r="G155" s="79">
        <v>38717</v>
      </c>
      <c r="H155" s="80">
        <v>38717</v>
      </c>
      <c r="I155" s="95" t="s">
        <v>104</v>
      </c>
      <c r="J155" s="124">
        <v>33.99</v>
      </c>
      <c r="K155" s="124">
        <v>6.798000000000001</v>
      </c>
      <c r="L155" s="125">
        <v>40.788000000000004</v>
      </c>
      <c r="M155" s="136"/>
      <c r="N155" s="136"/>
      <c r="O155" s="128"/>
      <c r="P155" s="127"/>
      <c r="Q155" s="127"/>
      <c r="R155" s="128"/>
      <c r="S155" s="201" t="s">
        <v>299</v>
      </c>
      <c r="T155" s="202"/>
    </row>
    <row r="156" spans="1:20" ht="10.5" customHeight="1">
      <c r="A156" s="75" t="s">
        <v>212</v>
      </c>
      <c r="B156" s="76"/>
      <c r="C156" s="77" t="s">
        <v>54</v>
      </c>
      <c r="D156" s="78" t="s">
        <v>101</v>
      </c>
      <c r="E156" s="78" t="s">
        <v>102</v>
      </c>
      <c r="F156" s="123" t="s">
        <v>105</v>
      </c>
      <c r="G156" s="79">
        <v>38718</v>
      </c>
      <c r="H156" s="80">
        <v>38717</v>
      </c>
      <c r="I156" s="95" t="s">
        <v>104</v>
      </c>
      <c r="J156" s="124">
        <v>101.94</v>
      </c>
      <c r="K156" s="124">
        <v>20.388</v>
      </c>
      <c r="L156" s="125">
        <v>122.328</v>
      </c>
      <c r="M156" s="136"/>
      <c r="N156" s="136"/>
      <c r="O156" s="128"/>
      <c r="P156" s="127"/>
      <c r="Q156" s="127"/>
      <c r="R156" s="128"/>
      <c r="S156" s="201" t="s">
        <v>299</v>
      </c>
      <c r="T156" s="202"/>
    </row>
    <row r="157" spans="1:20" ht="21" customHeight="1">
      <c r="A157" s="75" t="s">
        <v>212</v>
      </c>
      <c r="B157" s="76"/>
      <c r="C157" s="77" t="s">
        <v>54</v>
      </c>
      <c r="D157" s="78" t="s">
        <v>106</v>
      </c>
      <c r="E157" s="78" t="s">
        <v>107</v>
      </c>
      <c r="F157" s="123" t="s">
        <v>108</v>
      </c>
      <c r="G157" s="79">
        <v>38730</v>
      </c>
      <c r="H157" s="80">
        <v>38748</v>
      </c>
      <c r="I157" s="95" t="s">
        <v>109</v>
      </c>
      <c r="J157" s="124">
        <v>3418.76</v>
      </c>
      <c r="K157" s="124">
        <v>683.7520000000001</v>
      </c>
      <c r="L157" s="125">
        <v>4102.512000000001</v>
      </c>
      <c r="M157" s="136">
        <v>683.75</v>
      </c>
      <c r="N157" s="136"/>
      <c r="O157" s="128">
        <f>+N157+M157</f>
        <v>683.75</v>
      </c>
      <c r="P157" s="127">
        <f>+M157*0.5</f>
        <v>341.875</v>
      </c>
      <c r="Q157" s="127"/>
      <c r="R157" s="128">
        <f>+Q157+P157</f>
        <v>341.875</v>
      </c>
      <c r="S157" s="201" t="s">
        <v>206</v>
      </c>
      <c r="T157" s="202"/>
    </row>
    <row r="158" spans="1:20" ht="21" customHeight="1">
      <c r="A158" s="75" t="s">
        <v>212</v>
      </c>
      <c r="B158" s="76"/>
      <c r="C158" s="77" t="s">
        <v>54</v>
      </c>
      <c r="D158" s="78" t="s">
        <v>110</v>
      </c>
      <c r="E158" s="78" t="s">
        <v>111</v>
      </c>
      <c r="F158" s="123" t="s">
        <v>112</v>
      </c>
      <c r="G158" s="79">
        <v>38734</v>
      </c>
      <c r="H158" s="80">
        <v>38764</v>
      </c>
      <c r="I158" s="95" t="s">
        <v>109</v>
      </c>
      <c r="J158" s="124">
        <v>1974.65</v>
      </c>
      <c r="K158" s="124">
        <v>394.93</v>
      </c>
      <c r="L158" s="125">
        <v>2369.58</v>
      </c>
      <c r="M158" s="136">
        <v>236.96</v>
      </c>
      <c r="N158" s="136"/>
      <c r="O158" s="128">
        <f>+N158+M158</f>
        <v>236.96</v>
      </c>
      <c r="P158" s="127">
        <f>+M158*0.5</f>
        <v>118.48</v>
      </c>
      <c r="Q158" s="127"/>
      <c r="R158" s="128">
        <f>+Q158+P158</f>
        <v>118.48</v>
      </c>
      <c r="S158" s="201" t="s">
        <v>206</v>
      </c>
      <c r="T158" s="202"/>
    </row>
    <row r="159" spans="1:20" ht="21" customHeight="1">
      <c r="A159" s="75" t="s">
        <v>212</v>
      </c>
      <c r="B159" s="76"/>
      <c r="C159" s="77" t="s">
        <v>54</v>
      </c>
      <c r="D159" s="78" t="s">
        <v>113</v>
      </c>
      <c r="E159" s="78" t="s">
        <v>107</v>
      </c>
      <c r="F159" s="123" t="s">
        <v>114</v>
      </c>
      <c r="G159" s="79">
        <v>38765</v>
      </c>
      <c r="H159" s="80">
        <v>38779</v>
      </c>
      <c r="I159" s="95" t="s">
        <v>109</v>
      </c>
      <c r="J159" s="124">
        <v>3951.43</v>
      </c>
      <c r="K159" s="124">
        <v>790.2860000000001</v>
      </c>
      <c r="L159" s="125">
        <v>4741.716</v>
      </c>
      <c r="M159" s="136">
        <v>790.29</v>
      </c>
      <c r="N159" s="136"/>
      <c r="O159" s="128">
        <f>+N159+M159</f>
        <v>790.29</v>
      </c>
      <c r="P159" s="127">
        <f>+M159*0.5</f>
        <v>395.145</v>
      </c>
      <c r="Q159" s="127"/>
      <c r="R159" s="128">
        <f>+Q159+P159</f>
        <v>395.145</v>
      </c>
      <c r="S159" s="201" t="s">
        <v>206</v>
      </c>
      <c r="T159" s="202"/>
    </row>
    <row r="160" spans="1:20" ht="21" customHeight="1">
      <c r="A160" s="75" t="s">
        <v>212</v>
      </c>
      <c r="B160" s="76"/>
      <c r="C160" s="77" t="s">
        <v>54</v>
      </c>
      <c r="D160" s="78" t="s">
        <v>115</v>
      </c>
      <c r="E160" s="78" t="s">
        <v>107</v>
      </c>
      <c r="F160" s="123" t="s">
        <v>116</v>
      </c>
      <c r="G160" s="79">
        <v>38792</v>
      </c>
      <c r="H160" s="80">
        <v>38807</v>
      </c>
      <c r="I160" s="95" t="s">
        <v>109</v>
      </c>
      <c r="J160" s="124">
        <v>4628.61</v>
      </c>
      <c r="K160" s="124">
        <v>925.722</v>
      </c>
      <c r="L160" s="125">
        <v>5554.331999999999</v>
      </c>
      <c r="M160" s="136">
        <v>925.72</v>
      </c>
      <c r="N160" s="136"/>
      <c r="O160" s="128">
        <f>+N160+M160</f>
        <v>925.72</v>
      </c>
      <c r="P160" s="127">
        <f>+M160*0.5</f>
        <v>462.86</v>
      </c>
      <c r="Q160" s="127"/>
      <c r="R160" s="128">
        <f>+Q160+P160</f>
        <v>462.86</v>
      </c>
      <c r="S160" s="201" t="s">
        <v>206</v>
      </c>
      <c r="T160" s="202"/>
    </row>
    <row r="161" spans="1:20" ht="10.5" customHeight="1">
      <c r="A161" s="75" t="s">
        <v>212</v>
      </c>
      <c r="B161" s="76"/>
      <c r="C161" s="77" t="s">
        <v>54</v>
      </c>
      <c r="D161" s="78" t="s">
        <v>101</v>
      </c>
      <c r="E161" s="78" t="s">
        <v>102</v>
      </c>
      <c r="F161" s="123" t="s">
        <v>117</v>
      </c>
      <c r="G161" s="79">
        <v>38749</v>
      </c>
      <c r="H161" s="80">
        <v>38756</v>
      </c>
      <c r="I161" s="95" t="s">
        <v>104</v>
      </c>
      <c r="J161" s="124">
        <v>34.67</v>
      </c>
      <c r="K161" s="124">
        <v>6.934000000000001</v>
      </c>
      <c r="L161" s="125">
        <v>41.604</v>
      </c>
      <c r="M161" s="136"/>
      <c r="N161" s="136"/>
      <c r="O161" s="128"/>
      <c r="P161" s="127"/>
      <c r="Q161" s="127"/>
      <c r="R161" s="128"/>
      <c r="S161" s="201" t="s">
        <v>299</v>
      </c>
      <c r="T161" s="202"/>
    </row>
    <row r="162" spans="1:20" ht="10.5" customHeight="1">
      <c r="A162" s="75" t="s">
        <v>212</v>
      </c>
      <c r="B162" s="76"/>
      <c r="C162" s="77" t="s">
        <v>54</v>
      </c>
      <c r="D162" s="78" t="s">
        <v>101</v>
      </c>
      <c r="E162" s="78" t="s">
        <v>102</v>
      </c>
      <c r="F162" s="123" t="s">
        <v>118</v>
      </c>
      <c r="G162" s="79">
        <v>38749</v>
      </c>
      <c r="H162" s="80">
        <v>38756</v>
      </c>
      <c r="I162" s="95" t="s">
        <v>104</v>
      </c>
      <c r="J162" s="124">
        <v>103.98</v>
      </c>
      <c r="K162" s="124">
        <v>20.796000000000003</v>
      </c>
      <c r="L162" s="125">
        <v>124.77600000000001</v>
      </c>
      <c r="M162" s="136"/>
      <c r="N162" s="136"/>
      <c r="O162" s="128"/>
      <c r="P162" s="127"/>
      <c r="Q162" s="127"/>
      <c r="R162" s="128"/>
      <c r="S162" s="201" t="s">
        <v>299</v>
      </c>
      <c r="T162" s="202"/>
    </row>
    <row r="163" spans="1:20" ht="10.5" customHeight="1">
      <c r="A163" s="75" t="s">
        <v>212</v>
      </c>
      <c r="B163" s="76"/>
      <c r="C163" s="77" t="s">
        <v>54</v>
      </c>
      <c r="D163" s="78" t="s">
        <v>101</v>
      </c>
      <c r="E163" s="78" t="s">
        <v>102</v>
      </c>
      <c r="F163" s="123" t="s">
        <v>119</v>
      </c>
      <c r="G163" s="79">
        <v>38777</v>
      </c>
      <c r="H163" s="80">
        <v>38789</v>
      </c>
      <c r="I163" s="95" t="s">
        <v>104</v>
      </c>
      <c r="J163" s="124">
        <v>34.67</v>
      </c>
      <c r="K163" s="124">
        <v>6.934000000000001</v>
      </c>
      <c r="L163" s="125">
        <v>41.604</v>
      </c>
      <c r="M163" s="136"/>
      <c r="N163" s="136"/>
      <c r="O163" s="128"/>
      <c r="P163" s="127"/>
      <c r="Q163" s="127"/>
      <c r="R163" s="128"/>
      <c r="S163" s="201" t="s">
        <v>299</v>
      </c>
      <c r="T163" s="202"/>
    </row>
    <row r="164" spans="1:20" ht="10.5" customHeight="1">
      <c r="A164" s="75" t="s">
        <v>212</v>
      </c>
      <c r="B164" s="76"/>
      <c r="C164" s="77" t="s">
        <v>54</v>
      </c>
      <c r="D164" s="78" t="s">
        <v>101</v>
      </c>
      <c r="E164" s="78" t="s">
        <v>102</v>
      </c>
      <c r="F164" s="123" t="s">
        <v>120</v>
      </c>
      <c r="G164" s="79">
        <v>38777</v>
      </c>
      <c r="H164" s="80">
        <v>38789</v>
      </c>
      <c r="I164" s="95" t="s">
        <v>104</v>
      </c>
      <c r="J164" s="124">
        <v>103.98</v>
      </c>
      <c r="K164" s="124">
        <v>20.796000000000003</v>
      </c>
      <c r="L164" s="125">
        <v>124.77600000000001</v>
      </c>
      <c r="M164" s="136"/>
      <c r="N164" s="136"/>
      <c r="O164" s="128"/>
      <c r="P164" s="127"/>
      <c r="Q164" s="127"/>
      <c r="R164" s="128"/>
      <c r="S164" s="201" t="s">
        <v>299</v>
      </c>
      <c r="T164" s="202"/>
    </row>
    <row r="165" spans="1:20" ht="21" customHeight="1">
      <c r="A165" s="75" t="s">
        <v>212</v>
      </c>
      <c r="B165" s="76"/>
      <c r="C165" s="77" t="s">
        <v>54</v>
      </c>
      <c r="D165" s="78" t="s">
        <v>110</v>
      </c>
      <c r="E165" s="78" t="s">
        <v>128</v>
      </c>
      <c r="F165" s="123" t="s">
        <v>244</v>
      </c>
      <c r="G165" s="79">
        <v>38908</v>
      </c>
      <c r="H165" s="80">
        <v>38929</v>
      </c>
      <c r="I165" s="95" t="s">
        <v>104</v>
      </c>
      <c r="J165" s="124">
        <v>441.78</v>
      </c>
      <c r="K165" s="124">
        <v>88.36</v>
      </c>
      <c r="L165" s="125">
        <v>530</v>
      </c>
      <c r="M165" s="136">
        <v>88.356</v>
      </c>
      <c r="N165" s="136"/>
      <c r="O165" s="128">
        <f aca="true" t="shared" si="21" ref="O165:O170">+N165+M165</f>
        <v>88.356</v>
      </c>
      <c r="P165" s="127">
        <f aca="true" t="shared" si="22" ref="P165:P170">+M165*0.5</f>
        <v>44.178</v>
      </c>
      <c r="Q165" s="127"/>
      <c r="R165" s="128">
        <f aca="true" t="shared" si="23" ref="R165:R170">+Q165+P165</f>
        <v>44.178</v>
      </c>
      <c r="S165" s="201" t="s">
        <v>206</v>
      </c>
      <c r="T165" s="202"/>
    </row>
    <row r="166" spans="1:20" ht="21">
      <c r="A166" s="75" t="s">
        <v>212</v>
      </c>
      <c r="B166" s="76"/>
      <c r="C166" s="77" t="s">
        <v>54</v>
      </c>
      <c r="D166" s="78" t="s">
        <v>110</v>
      </c>
      <c r="E166" s="78" t="s">
        <v>128</v>
      </c>
      <c r="F166" s="123" t="s">
        <v>245</v>
      </c>
      <c r="G166" s="79">
        <v>38846</v>
      </c>
      <c r="H166" s="80">
        <v>38880</v>
      </c>
      <c r="I166" s="95" t="s">
        <v>104</v>
      </c>
      <c r="J166" s="124">
        <v>461.27</v>
      </c>
      <c r="K166" s="124">
        <v>92.23</v>
      </c>
      <c r="L166" s="125">
        <v>553.5</v>
      </c>
      <c r="M166" s="136">
        <v>92.254</v>
      </c>
      <c r="N166" s="136"/>
      <c r="O166" s="128">
        <f t="shared" si="21"/>
        <v>92.254</v>
      </c>
      <c r="P166" s="127">
        <f t="shared" si="22"/>
        <v>46.127</v>
      </c>
      <c r="Q166" s="127"/>
      <c r="R166" s="128">
        <f t="shared" si="23"/>
        <v>46.127</v>
      </c>
      <c r="S166" s="201" t="s">
        <v>206</v>
      </c>
      <c r="T166" s="202"/>
    </row>
    <row r="167" spans="1:20" ht="21">
      <c r="A167" s="75" t="s">
        <v>212</v>
      </c>
      <c r="B167" s="76"/>
      <c r="C167" s="77" t="s">
        <v>54</v>
      </c>
      <c r="D167" s="78" t="s">
        <v>110</v>
      </c>
      <c r="E167" s="78" t="s">
        <v>111</v>
      </c>
      <c r="F167" s="123" t="s">
        <v>214</v>
      </c>
      <c r="G167" s="79">
        <v>38878</v>
      </c>
      <c r="H167" s="80">
        <v>38908</v>
      </c>
      <c r="I167" s="95" t="s">
        <v>109</v>
      </c>
      <c r="J167" s="124">
        <v>2606.31</v>
      </c>
      <c r="K167" s="124">
        <v>496.13</v>
      </c>
      <c r="L167" s="125">
        <v>3102.44</v>
      </c>
      <c r="M167" s="136">
        <v>521.2620000000001</v>
      </c>
      <c r="N167" s="136"/>
      <c r="O167" s="128">
        <f t="shared" si="21"/>
        <v>521.2620000000001</v>
      </c>
      <c r="P167" s="127">
        <f t="shared" si="22"/>
        <v>260.63100000000003</v>
      </c>
      <c r="Q167" s="127"/>
      <c r="R167" s="128">
        <f t="shared" si="23"/>
        <v>260.63100000000003</v>
      </c>
      <c r="S167" s="201" t="s">
        <v>206</v>
      </c>
      <c r="T167" s="202"/>
    </row>
    <row r="168" spans="1:20" ht="21">
      <c r="A168" s="75" t="s">
        <v>212</v>
      </c>
      <c r="B168" s="76"/>
      <c r="C168" s="77" t="s">
        <v>54</v>
      </c>
      <c r="D168" s="78" t="s">
        <v>110</v>
      </c>
      <c r="E168" s="78" t="s">
        <v>111</v>
      </c>
      <c r="F168" s="123" t="s">
        <v>215</v>
      </c>
      <c r="G168" s="79">
        <v>38878</v>
      </c>
      <c r="H168" s="80">
        <v>38938</v>
      </c>
      <c r="I168" s="95" t="s">
        <v>109</v>
      </c>
      <c r="J168" s="124">
        <v>3003.45</v>
      </c>
      <c r="K168" s="124">
        <v>501.16</v>
      </c>
      <c r="L168" s="125">
        <v>3504.61</v>
      </c>
      <c r="M168" s="136">
        <v>600.69</v>
      </c>
      <c r="N168" s="136"/>
      <c r="O168" s="128">
        <f t="shared" si="21"/>
        <v>600.69</v>
      </c>
      <c r="P168" s="127">
        <f t="shared" si="22"/>
        <v>300.345</v>
      </c>
      <c r="Q168" s="127"/>
      <c r="R168" s="128">
        <f t="shared" si="23"/>
        <v>300.345</v>
      </c>
      <c r="S168" s="201" t="s">
        <v>206</v>
      </c>
      <c r="T168" s="202"/>
    </row>
    <row r="169" spans="1:20" ht="21">
      <c r="A169" s="75" t="s">
        <v>212</v>
      </c>
      <c r="B169" s="76"/>
      <c r="C169" s="77" t="s">
        <v>54</v>
      </c>
      <c r="D169" s="78" t="s">
        <v>110</v>
      </c>
      <c r="E169" s="78" t="s">
        <v>111</v>
      </c>
      <c r="F169" s="123" t="s">
        <v>216</v>
      </c>
      <c r="G169" s="79">
        <v>38915</v>
      </c>
      <c r="H169" s="80">
        <v>38945</v>
      </c>
      <c r="I169" s="95" t="s">
        <v>109</v>
      </c>
      <c r="J169" s="124">
        <v>3115.06</v>
      </c>
      <c r="K169" s="124">
        <v>560.68</v>
      </c>
      <c r="L169" s="125">
        <v>3675.74</v>
      </c>
      <c r="M169" s="136">
        <v>623.0120000000001</v>
      </c>
      <c r="N169" s="136"/>
      <c r="O169" s="128">
        <f t="shared" si="21"/>
        <v>623.0120000000001</v>
      </c>
      <c r="P169" s="127">
        <f t="shared" si="22"/>
        <v>311.50600000000003</v>
      </c>
      <c r="Q169" s="127"/>
      <c r="R169" s="128">
        <f t="shared" si="23"/>
        <v>311.50600000000003</v>
      </c>
      <c r="S169" s="201" t="s">
        <v>206</v>
      </c>
      <c r="T169" s="202"/>
    </row>
    <row r="170" spans="1:20" ht="21">
      <c r="A170" s="75" t="s">
        <v>212</v>
      </c>
      <c r="B170" s="76"/>
      <c r="C170" s="77" t="s">
        <v>54</v>
      </c>
      <c r="D170" s="78" t="s">
        <v>217</v>
      </c>
      <c r="E170" s="78" t="s">
        <v>107</v>
      </c>
      <c r="F170" s="123" t="s">
        <v>218</v>
      </c>
      <c r="G170" s="79">
        <v>38915</v>
      </c>
      <c r="H170" s="80">
        <v>38930</v>
      </c>
      <c r="I170" s="95" t="s">
        <v>109</v>
      </c>
      <c r="J170" s="124">
        <v>6266.05</v>
      </c>
      <c r="K170" s="124">
        <v>1253.21</v>
      </c>
      <c r="L170" s="125">
        <v>7519.26</v>
      </c>
      <c r="M170" s="136">
        <v>1253.21</v>
      </c>
      <c r="N170" s="136"/>
      <c r="O170" s="128">
        <f t="shared" si="21"/>
        <v>1253.21</v>
      </c>
      <c r="P170" s="127">
        <f t="shared" si="22"/>
        <v>626.605</v>
      </c>
      <c r="Q170" s="127"/>
      <c r="R170" s="128">
        <f t="shared" si="23"/>
        <v>626.605</v>
      </c>
      <c r="S170" s="201" t="s">
        <v>206</v>
      </c>
      <c r="T170" s="202"/>
    </row>
    <row r="171" spans="1:20" ht="21">
      <c r="A171" s="75" t="s">
        <v>212</v>
      </c>
      <c r="B171" s="76"/>
      <c r="C171" s="77" t="s">
        <v>54</v>
      </c>
      <c r="D171" s="78" t="s">
        <v>219</v>
      </c>
      <c r="E171" s="78" t="s">
        <v>107</v>
      </c>
      <c r="F171" s="123" t="s">
        <v>220</v>
      </c>
      <c r="G171" s="79">
        <v>38882</v>
      </c>
      <c r="H171" s="80">
        <v>38903</v>
      </c>
      <c r="I171" s="95" t="s">
        <v>109</v>
      </c>
      <c r="J171" s="124">
        <v>4180.05</v>
      </c>
      <c r="K171" s="124">
        <v>836.01</v>
      </c>
      <c r="L171" s="125">
        <v>5016.06</v>
      </c>
      <c r="M171" s="136">
        <v>836.01</v>
      </c>
      <c r="N171" s="136"/>
      <c r="O171" s="128">
        <f>+N171+M171</f>
        <v>836.01</v>
      </c>
      <c r="P171" s="127">
        <f>+M171*0.5</f>
        <v>418.005</v>
      </c>
      <c r="Q171" s="127"/>
      <c r="R171" s="128">
        <f>+Q171+P171</f>
        <v>418.005</v>
      </c>
      <c r="S171" s="201" t="s">
        <v>206</v>
      </c>
      <c r="T171" s="202"/>
    </row>
    <row r="172" spans="1:20" ht="10.5">
      <c r="A172" s="75" t="s">
        <v>212</v>
      </c>
      <c r="B172" s="76"/>
      <c r="C172" s="77" t="s">
        <v>54</v>
      </c>
      <c r="D172" s="78" t="s">
        <v>101</v>
      </c>
      <c r="E172" s="78" t="s">
        <v>102</v>
      </c>
      <c r="F172" s="123" t="s">
        <v>221</v>
      </c>
      <c r="G172" s="79">
        <v>38808</v>
      </c>
      <c r="H172" s="80">
        <v>38842</v>
      </c>
      <c r="I172" s="95" t="s">
        <v>104</v>
      </c>
      <c r="J172" s="124">
        <v>103.98</v>
      </c>
      <c r="K172" s="124">
        <v>20.796000000000003</v>
      </c>
      <c r="L172" s="125">
        <v>124.78</v>
      </c>
      <c r="M172" s="136"/>
      <c r="N172" s="136"/>
      <c r="O172" s="128"/>
      <c r="P172" s="127"/>
      <c r="Q172" s="127"/>
      <c r="R172" s="128"/>
      <c r="S172" s="199" t="s">
        <v>299</v>
      </c>
      <c r="T172" s="200"/>
    </row>
    <row r="173" spans="1:20" ht="10.5">
      <c r="A173" s="75" t="s">
        <v>212</v>
      </c>
      <c r="B173" s="76"/>
      <c r="C173" s="77" t="s">
        <v>54</v>
      </c>
      <c r="D173" s="78" t="s">
        <v>101</v>
      </c>
      <c r="E173" s="78" t="s">
        <v>102</v>
      </c>
      <c r="F173" s="123" t="s">
        <v>222</v>
      </c>
      <c r="G173" s="79">
        <v>38808</v>
      </c>
      <c r="H173" s="80">
        <v>38842</v>
      </c>
      <c r="I173" s="95" t="s">
        <v>104</v>
      </c>
      <c r="J173" s="124">
        <v>34.67</v>
      </c>
      <c r="K173" s="124">
        <v>6.93</v>
      </c>
      <c r="L173" s="125">
        <v>41.6</v>
      </c>
      <c r="M173" s="136"/>
      <c r="N173" s="136"/>
      <c r="O173" s="128"/>
      <c r="P173" s="127"/>
      <c r="Q173" s="127"/>
      <c r="R173" s="128"/>
      <c r="S173" s="199" t="s">
        <v>299</v>
      </c>
      <c r="T173" s="200"/>
    </row>
    <row r="174" spans="1:20" ht="10.5">
      <c r="A174" s="75" t="s">
        <v>212</v>
      </c>
      <c r="B174" s="76"/>
      <c r="C174" s="77" t="s">
        <v>54</v>
      </c>
      <c r="D174" s="78" t="s">
        <v>101</v>
      </c>
      <c r="E174" s="78" t="s">
        <v>102</v>
      </c>
      <c r="F174" s="123" t="s">
        <v>223</v>
      </c>
      <c r="G174" s="79">
        <v>38839</v>
      </c>
      <c r="H174" s="80">
        <v>38876</v>
      </c>
      <c r="I174" s="95" t="s">
        <v>104</v>
      </c>
      <c r="J174" s="124">
        <v>34.67</v>
      </c>
      <c r="K174" s="124">
        <v>6.93</v>
      </c>
      <c r="L174" s="125">
        <v>41.6</v>
      </c>
      <c r="M174" s="136"/>
      <c r="N174" s="136"/>
      <c r="O174" s="128"/>
      <c r="P174" s="127"/>
      <c r="Q174" s="127"/>
      <c r="R174" s="128"/>
      <c r="S174" s="199" t="s">
        <v>299</v>
      </c>
      <c r="T174" s="200"/>
    </row>
    <row r="175" spans="1:20" ht="10.5">
      <c r="A175" s="75" t="s">
        <v>212</v>
      </c>
      <c r="B175" s="76"/>
      <c r="C175" s="77" t="s">
        <v>54</v>
      </c>
      <c r="D175" s="78" t="s">
        <v>101</v>
      </c>
      <c r="E175" s="78" t="s">
        <v>102</v>
      </c>
      <c r="F175" s="123" t="s">
        <v>224</v>
      </c>
      <c r="G175" s="79">
        <v>38839</v>
      </c>
      <c r="H175" s="80">
        <v>38876</v>
      </c>
      <c r="I175" s="95" t="s">
        <v>104</v>
      </c>
      <c r="J175" s="124">
        <v>103.98</v>
      </c>
      <c r="K175" s="124">
        <v>20.8</v>
      </c>
      <c r="L175" s="125">
        <v>124.78</v>
      </c>
      <c r="M175" s="136"/>
      <c r="N175" s="136"/>
      <c r="O175" s="128"/>
      <c r="P175" s="127"/>
      <c r="Q175" s="127"/>
      <c r="R175" s="128"/>
      <c r="S175" s="199" t="s">
        <v>299</v>
      </c>
      <c r="T175" s="200"/>
    </row>
    <row r="176" spans="1:20" ht="10.5">
      <c r="A176" s="75" t="s">
        <v>212</v>
      </c>
      <c r="B176" s="76"/>
      <c r="C176" s="77" t="s">
        <v>54</v>
      </c>
      <c r="D176" s="78" t="s">
        <v>101</v>
      </c>
      <c r="E176" s="78" t="s">
        <v>102</v>
      </c>
      <c r="F176" s="123" t="s">
        <v>225</v>
      </c>
      <c r="G176" s="79">
        <v>38899</v>
      </c>
      <c r="H176" s="80">
        <v>38903</v>
      </c>
      <c r="I176" s="95" t="s">
        <v>104</v>
      </c>
      <c r="J176" s="124">
        <v>34.67</v>
      </c>
      <c r="K176" s="124">
        <v>6.93</v>
      </c>
      <c r="L176" s="125">
        <v>41.6</v>
      </c>
      <c r="M176" s="136"/>
      <c r="N176" s="136"/>
      <c r="O176" s="128"/>
      <c r="P176" s="127"/>
      <c r="Q176" s="127"/>
      <c r="R176" s="128"/>
      <c r="S176" s="199" t="s">
        <v>299</v>
      </c>
      <c r="T176" s="200"/>
    </row>
    <row r="177" spans="1:20" ht="10.5">
      <c r="A177" s="75" t="s">
        <v>212</v>
      </c>
      <c r="B177" s="76"/>
      <c r="C177" s="77" t="s">
        <v>54</v>
      </c>
      <c r="D177" s="78" t="s">
        <v>101</v>
      </c>
      <c r="E177" s="78" t="s">
        <v>102</v>
      </c>
      <c r="F177" s="123" t="s">
        <v>226</v>
      </c>
      <c r="G177" s="79">
        <v>38899</v>
      </c>
      <c r="H177" s="80">
        <v>38903</v>
      </c>
      <c r="I177" s="95" t="s">
        <v>104</v>
      </c>
      <c r="J177" s="124">
        <v>103.98</v>
      </c>
      <c r="K177" s="124">
        <v>20.8</v>
      </c>
      <c r="L177" s="125">
        <v>124.78</v>
      </c>
      <c r="M177" s="136"/>
      <c r="N177" s="136"/>
      <c r="O177" s="128"/>
      <c r="P177" s="127"/>
      <c r="Q177" s="127"/>
      <c r="R177" s="128"/>
      <c r="S177" s="199" t="s">
        <v>299</v>
      </c>
      <c r="T177" s="200"/>
    </row>
    <row r="178" spans="1:20" ht="10.5">
      <c r="A178" s="75" t="s">
        <v>212</v>
      </c>
      <c r="B178" s="76"/>
      <c r="C178" s="77" t="s">
        <v>54</v>
      </c>
      <c r="D178" s="78" t="s">
        <v>101</v>
      </c>
      <c r="E178" s="78" t="s">
        <v>102</v>
      </c>
      <c r="F178" s="123" t="s">
        <v>227</v>
      </c>
      <c r="G178" s="79">
        <v>38869</v>
      </c>
      <c r="H178" s="80">
        <v>38903</v>
      </c>
      <c r="I178" s="95" t="s">
        <v>104</v>
      </c>
      <c r="J178" s="124">
        <v>34.67</v>
      </c>
      <c r="K178" s="124">
        <v>6.93</v>
      </c>
      <c r="L178" s="125">
        <v>41.6</v>
      </c>
      <c r="M178" s="136"/>
      <c r="N178" s="136"/>
      <c r="O178" s="128"/>
      <c r="P178" s="127"/>
      <c r="Q178" s="127"/>
      <c r="R178" s="128"/>
      <c r="S178" s="199" t="s">
        <v>299</v>
      </c>
      <c r="T178" s="200"/>
    </row>
    <row r="179" spans="1:20" ht="10.5">
      <c r="A179" s="75" t="s">
        <v>212</v>
      </c>
      <c r="B179" s="76"/>
      <c r="C179" s="77" t="s">
        <v>54</v>
      </c>
      <c r="D179" s="78" t="s">
        <v>101</v>
      </c>
      <c r="E179" s="78" t="s">
        <v>102</v>
      </c>
      <c r="F179" s="123" t="s">
        <v>228</v>
      </c>
      <c r="G179" s="79">
        <v>38869</v>
      </c>
      <c r="H179" s="80">
        <v>38903</v>
      </c>
      <c r="I179" s="95" t="s">
        <v>104</v>
      </c>
      <c r="J179" s="124">
        <v>103.98</v>
      </c>
      <c r="K179" s="124">
        <v>20.8</v>
      </c>
      <c r="L179" s="125">
        <v>124.78</v>
      </c>
      <c r="M179" s="136"/>
      <c r="N179" s="136"/>
      <c r="O179" s="128"/>
      <c r="P179" s="127"/>
      <c r="Q179" s="127"/>
      <c r="R179" s="128"/>
      <c r="S179" s="199" t="s">
        <v>299</v>
      </c>
      <c r="T179" s="200"/>
    </row>
    <row r="180" spans="1:20" ht="10.5">
      <c r="A180" s="75" t="s">
        <v>212</v>
      </c>
      <c r="B180" s="76"/>
      <c r="C180" s="77" t="s">
        <v>54</v>
      </c>
      <c r="D180" s="78" t="s">
        <v>229</v>
      </c>
      <c r="E180" s="78" t="s">
        <v>230</v>
      </c>
      <c r="F180" s="123" t="s">
        <v>231</v>
      </c>
      <c r="G180" s="79">
        <v>38912</v>
      </c>
      <c r="H180" s="80">
        <v>38913</v>
      </c>
      <c r="I180" s="95" t="s">
        <v>104</v>
      </c>
      <c r="J180" s="124">
        <v>110.83</v>
      </c>
      <c r="K180" s="124">
        <v>22.17</v>
      </c>
      <c r="L180" s="125">
        <v>133</v>
      </c>
      <c r="M180" s="136"/>
      <c r="N180" s="136"/>
      <c r="O180" s="128"/>
      <c r="P180" s="127"/>
      <c r="Q180" s="127"/>
      <c r="R180" s="128"/>
      <c r="S180" s="199" t="s">
        <v>299</v>
      </c>
      <c r="T180" s="200"/>
    </row>
    <row r="181" spans="1:20" ht="10.5">
      <c r="A181" s="75" t="s">
        <v>212</v>
      </c>
      <c r="B181" s="76"/>
      <c r="C181" s="77" t="s">
        <v>54</v>
      </c>
      <c r="D181" s="78" t="s">
        <v>229</v>
      </c>
      <c r="E181" s="78" t="s">
        <v>230</v>
      </c>
      <c r="F181" s="123" t="s">
        <v>232</v>
      </c>
      <c r="G181" s="79">
        <v>38831</v>
      </c>
      <c r="H181" s="80">
        <v>38834</v>
      </c>
      <c r="I181" s="95" t="s">
        <v>104</v>
      </c>
      <c r="J181" s="124">
        <v>412.39</v>
      </c>
      <c r="K181" s="124">
        <v>82.48</v>
      </c>
      <c r="L181" s="125">
        <v>494.87</v>
      </c>
      <c r="M181" s="136"/>
      <c r="N181" s="136"/>
      <c r="O181" s="128"/>
      <c r="P181" s="127"/>
      <c r="Q181" s="127"/>
      <c r="R181" s="128"/>
      <c r="S181" s="199" t="s">
        <v>299</v>
      </c>
      <c r="T181" s="200"/>
    </row>
    <row r="182" spans="1:20" ht="10.5">
      <c r="A182" s="75" t="s">
        <v>212</v>
      </c>
      <c r="B182" s="76"/>
      <c r="C182" s="77" t="s">
        <v>54</v>
      </c>
      <c r="D182" s="78" t="s">
        <v>229</v>
      </c>
      <c r="E182" s="78" t="s">
        <v>230</v>
      </c>
      <c r="F182" s="123" t="s">
        <v>233</v>
      </c>
      <c r="G182" s="79">
        <v>38828</v>
      </c>
      <c r="H182" s="80">
        <v>38834</v>
      </c>
      <c r="I182" s="95" t="s">
        <v>104</v>
      </c>
      <c r="J182" s="124">
        <v>20</v>
      </c>
      <c r="K182" s="124">
        <v>4</v>
      </c>
      <c r="L182" s="125">
        <v>24</v>
      </c>
      <c r="M182" s="136"/>
      <c r="N182" s="136"/>
      <c r="O182" s="128"/>
      <c r="P182" s="127"/>
      <c r="Q182" s="127"/>
      <c r="R182" s="128"/>
      <c r="S182" s="199" t="s">
        <v>299</v>
      </c>
      <c r="T182" s="200"/>
    </row>
    <row r="183" spans="1:20" ht="10.5">
      <c r="A183" s="75" t="s">
        <v>212</v>
      </c>
      <c r="B183" s="76"/>
      <c r="C183" s="77" t="s">
        <v>54</v>
      </c>
      <c r="D183" s="78" t="s">
        <v>229</v>
      </c>
      <c r="E183" s="78" t="s">
        <v>230</v>
      </c>
      <c r="F183" s="123" t="s">
        <v>234</v>
      </c>
      <c r="G183" s="79">
        <v>38898</v>
      </c>
      <c r="H183" s="80">
        <v>38899</v>
      </c>
      <c r="I183" s="95" t="s">
        <v>104</v>
      </c>
      <c r="J183" s="124">
        <v>65.83</v>
      </c>
      <c r="K183" s="124">
        <v>13.17</v>
      </c>
      <c r="L183" s="125">
        <v>79</v>
      </c>
      <c r="M183" s="136"/>
      <c r="N183" s="136"/>
      <c r="O183" s="128"/>
      <c r="P183" s="127"/>
      <c r="Q183" s="127"/>
      <c r="R183" s="128"/>
      <c r="S183" s="199" t="s">
        <v>299</v>
      </c>
      <c r="T183" s="200"/>
    </row>
    <row r="184" spans="1:20" ht="10.5">
      <c r="A184" s="75" t="s">
        <v>212</v>
      </c>
      <c r="B184" s="76"/>
      <c r="C184" s="77" t="s">
        <v>54</v>
      </c>
      <c r="D184" s="78" t="s">
        <v>229</v>
      </c>
      <c r="E184" s="78" t="s">
        <v>230</v>
      </c>
      <c r="F184" s="123" t="s">
        <v>235</v>
      </c>
      <c r="G184" s="79">
        <v>38826</v>
      </c>
      <c r="H184" s="80">
        <v>38834</v>
      </c>
      <c r="I184" s="95" t="s">
        <v>104</v>
      </c>
      <c r="J184" s="124">
        <v>15.42</v>
      </c>
      <c r="K184" s="124">
        <v>3.08</v>
      </c>
      <c r="L184" s="125">
        <v>18.5</v>
      </c>
      <c r="M184" s="136"/>
      <c r="N184" s="136"/>
      <c r="O184" s="128"/>
      <c r="P184" s="127"/>
      <c r="Q184" s="127"/>
      <c r="R184" s="128"/>
      <c r="S184" s="199" t="s">
        <v>299</v>
      </c>
      <c r="T184" s="200"/>
    </row>
    <row r="185" spans="1:20" ht="10.5">
      <c r="A185" s="75" t="s">
        <v>212</v>
      </c>
      <c r="B185" s="76"/>
      <c r="C185" s="77" t="s">
        <v>54</v>
      </c>
      <c r="D185" s="78" t="s">
        <v>229</v>
      </c>
      <c r="E185" s="78" t="s">
        <v>230</v>
      </c>
      <c r="F185" s="123" t="s">
        <v>236</v>
      </c>
      <c r="G185" s="79">
        <v>38833</v>
      </c>
      <c r="H185" s="80">
        <v>38834</v>
      </c>
      <c r="I185" s="95" t="s">
        <v>104</v>
      </c>
      <c r="J185" s="124">
        <v>45.83</v>
      </c>
      <c r="K185" s="124">
        <v>9.17</v>
      </c>
      <c r="L185" s="125">
        <v>55</v>
      </c>
      <c r="M185" s="136"/>
      <c r="N185" s="136"/>
      <c r="O185" s="128"/>
      <c r="P185" s="127"/>
      <c r="Q185" s="127"/>
      <c r="R185" s="128"/>
      <c r="S185" s="199" t="s">
        <v>299</v>
      </c>
      <c r="T185" s="200"/>
    </row>
    <row r="186" spans="1:20" ht="10.5">
      <c r="A186" s="75" t="s">
        <v>212</v>
      </c>
      <c r="B186" s="76"/>
      <c r="C186" s="77" t="s">
        <v>54</v>
      </c>
      <c r="D186" s="78" t="s">
        <v>237</v>
      </c>
      <c r="E186" s="78" t="s">
        <v>238</v>
      </c>
      <c r="F186" s="123">
        <v>311</v>
      </c>
      <c r="G186" s="79">
        <v>38922</v>
      </c>
      <c r="H186" s="80">
        <v>38924</v>
      </c>
      <c r="I186" s="95" t="s">
        <v>104</v>
      </c>
      <c r="J186" s="124">
        <v>535</v>
      </c>
      <c r="K186" s="124">
        <v>107</v>
      </c>
      <c r="L186" s="125">
        <v>642</v>
      </c>
      <c r="M186" s="136"/>
      <c r="N186" s="136"/>
      <c r="O186" s="128"/>
      <c r="P186" s="127"/>
      <c r="Q186" s="127"/>
      <c r="R186" s="128"/>
      <c r="S186" s="199" t="s">
        <v>299</v>
      </c>
      <c r="T186" s="200"/>
    </row>
    <row r="187" spans="1:20" ht="10.5">
      <c r="A187" s="75" t="s">
        <v>212</v>
      </c>
      <c r="B187" s="76"/>
      <c r="C187" s="77" t="s">
        <v>54</v>
      </c>
      <c r="D187" s="78" t="s">
        <v>237</v>
      </c>
      <c r="E187" s="78" t="s">
        <v>238</v>
      </c>
      <c r="F187" s="123">
        <v>281</v>
      </c>
      <c r="G187" s="79">
        <v>38897</v>
      </c>
      <c r="H187" s="80">
        <v>38919</v>
      </c>
      <c r="I187" s="95" t="s">
        <v>104</v>
      </c>
      <c r="J187" s="124">
        <v>182</v>
      </c>
      <c r="K187" s="124">
        <v>36.4</v>
      </c>
      <c r="L187" s="125">
        <v>218.4</v>
      </c>
      <c r="M187" s="136"/>
      <c r="N187" s="136"/>
      <c r="O187" s="128"/>
      <c r="P187" s="127"/>
      <c r="Q187" s="127"/>
      <c r="R187" s="128"/>
      <c r="S187" s="199" t="s">
        <v>299</v>
      </c>
      <c r="T187" s="200"/>
    </row>
    <row r="188" spans="1:20" ht="10.5">
      <c r="A188" s="75" t="s">
        <v>212</v>
      </c>
      <c r="B188" s="76"/>
      <c r="C188" s="77" t="s">
        <v>54</v>
      </c>
      <c r="D188" s="78" t="s">
        <v>237</v>
      </c>
      <c r="E188" s="78" t="s">
        <v>238</v>
      </c>
      <c r="F188" s="123">
        <v>169</v>
      </c>
      <c r="G188" s="79">
        <v>38826</v>
      </c>
      <c r="H188" s="80">
        <v>38826</v>
      </c>
      <c r="I188" s="95" t="s">
        <v>104</v>
      </c>
      <c r="J188" s="124">
        <v>97.5</v>
      </c>
      <c r="K188" s="124">
        <v>19.5</v>
      </c>
      <c r="L188" s="125">
        <v>117</v>
      </c>
      <c r="M188" s="136"/>
      <c r="N188" s="136"/>
      <c r="O188" s="128"/>
      <c r="P188" s="127"/>
      <c r="Q188" s="127"/>
      <c r="R188" s="128"/>
      <c r="S188" s="199" t="s">
        <v>299</v>
      </c>
      <c r="T188" s="200"/>
    </row>
    <row r="189" spans="1:20" ht="10.5">
      <c r="A189" s="75" t="s">
        <v>212</v>
      </c>
      <c r="B189" s="76"/>
      <c r="C189" s="77" t="s">
        <v>54</v>
      </c>
      <c r="D189" s="78" t="s">
        <v>239</v>
      </c>
      <c r="E189" s="78" t="s">
        <v>240</v>
      </c>
      <c r="F189" s="123">
        <v>3708</v>
      </c>
      <c r="G189" s="79">
        <v>38843</v>
      </c>
      <c r="H189" s="80">
        <v>38843</v>
      </c>
      <c r="I189" s="95" t="s">
        <v>104</v>
      </c>
      <c r="J189" s="124">
        <v>52</v>
      </c>
      <c r="K189" s="124">
        <v>6.6</v>
      </c>
      <c r="L189" s="125">
        <v>58.6</v>
      </c>
      <c r="M189" s="136"/>
      <c r="N189" s="136"/>
      <c r="O189" s="128"/>
      <c r="P189" s="127"/>
      <c r="Q189" s="127"/>
      <c r="R189" s="128"/>
      <c r="S189" s="199" t="s">
        <v>299</v>
      </c>
      <c r="T189" s="200"/>
    </row>
    <row r="190" spans="1:20" ht="10.5">
      <c r="A190" s="75" t="s">
        <v>212</v>
      </c>
      <c r="B190" s="76"/>
      <c r="C190" s="77" t="s">
        <v>54</v>
      </c>
      <c r="D190" s="78" t="s">
        <v>126</v>
      </c>
      <c r="E190" s="78" t="s">
        <v>241</v>
      </c>
      <c r="F190" s="123">
        <v>108</v>
      </c>
      <c r="G190" s="79">
        <v>38910</v>
      </c>
      <c r="H190" s="80">
        <v>38912</v>
      </c>
      <c r="I190" s="95" t="s">
        <v>104</v>
      </c>
      <c r="J190" s="124">
        <v>137.5</v>
      </c>
      <c r="K190" s="124">
        <v>27.5</v>
      </c>
      <c r="L190" s="125">
        <v>165</v>
      </c>
      <c r="M190" s="136"/>
      <c r="N190" s="136"/>
      <c r="O190" s="128"/>
      <c r="P190" s="127"/>
      <c r="Q190" s="127"/>
      <c r="R190" s="128"/>
      <c r="S190" s="199" t="s">
        <v>299</v>
      </c>
      <c r="T190" s="200"/>
    </row>
    <row r="191" spans="1:20" ht="10.5">
      <c r="A191" s="75" t="s">
        <v>212</v>
      </c>
      <c r="B191" s="76"/>
      <c r="C191" s="77" t="s">
        <v>54</v>
      </c>
      <c r="D191" s="78" t="s">
        <v>242</v>
      </c>
      <c r="E191" s="78" t="s">
        <v>243</v>
      </c>
      <c r="F191" s="123">
        <v>505</v>
      </c>
      <c r="G191" s="79">
        <v>38901</v>
      </c>
      <c r="H191" s="80">
        <v>38909</v>
      </c>
      <c r="I191" s="95" t="s">
        <v>104</v>
      </c>
      <c r="J191" s="124">
        <v>335.7</v>
      </c>
      <c r="K191" s="124">
        <v>67.14</v>
      </c>
      <c r="L191" s="125">
        <v>402.84</v>
      </c>
      <c r="M191" s="136"/>
      <c r="N191" s="136"/>
      <c r="O191" s="128"/>
      <c r="P191" s="127"/>
      <c r="Q191" s="127"/>
      <c r="R191" s="128"/>
      <c r="S191" s="199" t="s">
        <v>299</v>
      </c>
      <c r="T191" s="200"/>
    </row>
    <row r="192" spans="1:20" ht="21">
      <c r="A192" s="75" t="s">
        <v>212</v>
      </c>
      <c r="B192" s="76"/>
      <c r="C192" s="77" t="s">
        <v>53</v>
      </c>
      <c r="D192" s="78" t="s">
        <v>246</v>
      </c>
      <c r="E192" s="78" t="s">
        <v>247</v>
      </c>
      <c r="F192" s="123">
        <v>372</v>
      </c>
      <c r="G192" s="79">
        <v>38825</v>
      </c>
      <c r="H192" s="80">
        <v>38812</v>
      </c>
      <c r="I192" s="95" t="s">
        <v>137</v>
      </c>
      <c r="J192" s="124">
        <v>173.81</v>
      </c>
      <c r="K192" s="124">
        <v>0</v>
      </c>
      <c r="L192" s="125">
        <v>173.81</v>
      </c>
      <c r="M192" s="136">
        <v>173.81</v>
      </c>
      <c r="N192" s="136"/>
      <c r="O192" s="128">
        <f>+N192+M192</f>
        <v>173.81</v>
      </c>
      <c r="P192" s="127">
        <f>+M192*0.5</f>
        <v>86.905</v>
      </c>
      <c r="Q192" s="127"/>
      <c r="R192" s="128">
        <f>+Q192+P192</f>
        <v>86.905</v>
      </c>
      <c r="S192" s="201" t="s">
        <v>206</v>
      </c>
      <c r="T192" s="202"/>
    </row>
    <row r="193" spans="1:20" ht="21">
      <c r="A193" s="75" t="s">
        <v>212</v>
      </c>
      <c r="B193" s="76"/>
      <c r="C193" s="77" t="s">
        <v>53</v>
      </c>
      <c r="D193" s="78" t="s">
        <v>248</v>
      </c>
      <c r="E193" s="78" t="s">
        <v>62</v>
      </c>
      <c r="F193" s="123">
        <v>12</v>
      </c>
      <c r="G193" s="79">
        <v>38835</v>
      </c>
      <c r="H193" s="80">
        <v>38826</v>
      </c>
      <c r="I193" s="95" t="s">
        <v>137</v>
      </c>
      <c r="J193" s="124">
        <v>600</v>
      </c>
      <c r="K193" s="124">
        <v>0</v>
      </c>
      <c r="L193" s="125">
        <v>600</v>
      </c>
      <c r="M193" s="136">
        <v>600</v>
      </c>
      <c r="N193" s="136"/>
      <c r="O193" s="128">
        <f aca="true" t="shared" si="24" ref="O193:O206">+N193+M193</f>
        <v>600</v>
      </c>
      <c r="P193" s="127">
        <f aca="true" t="shared" si="25" ref="P193:P206">+M193*0.5</f>
        <v>300</v>
      </c>
      <c r="Q193" s="127"/>
      <c r="R193" s="128">
        <f aca="true" t="shared" si="26" ref="R193:R206">+Q193+P193</f>
        <v>300</v>
      </c>
      <c r="S193" s="201" t="s">
        <v>206</v>
      </c>
      <c r="T193" s="202"/>
    </row>
    <row r="194" spans="1:20" ht="42">
      <c r="A194" s="75" t="s">
        <v>212</v>
      </c>
      <c r="B194" s="76"/>
      <c r="C194" s="77" t="s">
        <v>53</v>
      </c>
      <c r="D194" s="78" t="s">
        <v>249</v>
      </c>
      <c r="E194" s="78" t="s">
        <v>146</v>
      </c>
      <c r="F194" s="123" t="s">
        <v>266</v>
      </c>
      <c r="G194" s="79">
        <v>38835</v>
      </c>
      <c r="H194" s="80">
        <v>38859</v>
      </c>
      <c r="I194" s="95" t="s">
        <v>250</v>
      </c>
      <c r="J194" s="124">
        <v>39.04</v>
      </c>
      <c r="K194" s="124">
        <v>7.81</v>
      </c>
      <c r="L194" s="125">
        <v>46.85</v>
      </c>
      <c r="M194" s="136">
        <v>39.04</v>
      </c>
      <c r="N194" s="136"/>
      <c r="O194" s="128">
        <f t="shared" si="24"/>
        <v>39.04</v>
      </c>
      <c r="P194" s="127">
        <f t="shared" si="25"/>
        <v>19.52</v>
      </c>
      <c r="Q194" s="127"/>
      <c r="R194" s="128">
        <f t="shared" si="26"/>
        <v>19.52</v>
      </c>
      <c r="S194" s="201" t="s">
        <v>206</v>
      </c>
      <c r="T194" s="202"/>
    </row>
    <row r="195" spans="1:20" ht="42">
      <c r="A195" s="75" t="s">
        <v>212</v>
      </c>
      <c r="B195" s="76"/>
      <c r="C195" s="77" t="s">
        <v>53</v>
      </c>
      <c r="D195" s="78" t="s">
        <v>58</v>
      </c>
      <c r="E195" s="78" t="s">
        <v>59</v>
      </c>
      <c r="F195" s="123" t="s">
        <v>251</v>
      </c>
      <c r="G195" s="79">
        <v>38846</v>
      </c>
      <c r="H195" s="80">
        <v>38881</v>
      </c>
      <c r="I195" s="95" t="s">
        <v>250</v>
      </c>
      <c r="J195" s="124">
        <v>183.72</v>
      </c>
      <c r="K195" s="124">
        <v>36.78</v>
      </c>
      <c r="L195" s="125">
        <v>220.5</v>
      </c>
      <c r="M195" s="136">
        <v>110.22</v>
      </c>
      <c r="N195" s="136"/>
      <c r="O195" s="128">
        <f t="shared" si="24"/>
        <v>110.22</v>
      </c>
      <c r="P195" s="127">
        <f t="shared" si="25"/>
        <v>55.11</v>
      </c>
      <c r="Q195" s="127"/>
      <c r="R195" s="128">
        <f t="shared" si="26"/>
        <v>55.11</v>
      </c>
      <c r="S195" s="201" t="s">
        <v>206</v>
      </c>
      <c r="T195" s="202"/>
    </row>
    <row r="196" spans="1:20" ht="42">
      <c r="A196" s="75" t="s">
        <v>212</v>
      </c>
      <c r="B196" s="76"/>
      <c r="C196" s="77" t="s">
        <v>53</v>
      </c>
      <c r="D196" s="78" t="s">
        <v>58</v>
      </c>
      <c r="E196" s="78" t="s">
        <v>59</v>
      </c>
      <c r="F196" s="123" t="s">
        <v>252</v>
      </c>
      <c r="G196" s="79">
        <v>38846</v>
      </c>
      <c r="H196" s="80">
        <v>38881</v>
      </c>
      <c r="I196" s="95" t="s">
        <v>250</v>
      </c>
      <c r="J196" s="124">
        <v>48.37</v>
      </c>
      <c r="K196" s="124">
        <v>9.63</v>
      </c>
      <c r="L196" s="125">
        <v>58</v>
      </c>
      <c r="M196" s="136">
        <v>32.37</v>
      </c>
      <c r="N196" s="136"/>
      <c r="O196" s="128">
        <f t="shared" si="24"/>
        <v>32.37</v>
      </c>
      <c r="P196" s="127">
        <f t="shared" si="25"/>
        <v>16.185</v>
      </c>
      <c r="Q196" s="127"/>
      <c r="R196" s="128">
        <f t="shared" si="26"/>
        <v>16.185</v>
      </c>
      <c r="S196" s="201" t="s">
        <v>206</v>
      </c>
      <c r="T196" s="202"/>
    </row>
    <row r="197" spans="1:20" ht="42">
      <c r="A197" s="75" t="s">
        <v>212</v>
      </c>
      <c r="B197" s="76"/>
      <c r="C197" s="77" t="s">
        <v>53</v>
      </c>
      <c r="D197" s="78" t="s">
        <v>65</v>
      </c>
      <c r="E197" s="78" t="s">
        <v>66</v>
      </c>
      <c r="F197" s="123" t="s">
        <v>253</v>
      </c>
      <c r="G197" s="79">
        <v>38862</v>
      </c>
      <c r="H197" s="80">
        <v>38882</v>
      </c>
      <c r="I197" s="95" t="s">
        <v>250</v>
      </c>
      <c r="J197" s="124">
        <v>90.63</v>
      </c>
      <c r="K197" s="124">
        <v>18.13</v>
      </c>
      <c r="L197" s="125">
        <v>108.76</v>
      </c>
      <c r="M197" s="136">
        <v>60.63</v>
      </c>
      <c r="N197" s="136"/>
      <c r="O197" s="128">
        <f t="shared" si="24"/>
        <v>60.63</v>
      </c>
      <c r="P197" s="127">
        <f t="shared" si="25"/>
        <v>30.315</v>
      </c>
      <c r="Q197" s="127"/>
      <c r="R197" s="128">
        <f t="shared" si="26"/>
        <v>30.315</v>
      </c>
      <c r="S197" s="201" t="s">
        <v>206</v>
      </c>
      <c r="T197" s="202"/>
    </row>
    <row r="198" spans="1:20" ht="21">
      <c r="A198" s="75" t="s">
        <v>212</v>
      </c>
      <c r="B198" s="76"/>
      <c r="C198" s="77" t="s">
        <v>53</v>
      </c>
      <c r="D198" s="78" t="s">
        <v>254</v>
      </c>
      <c r="E198" s="78" t="s">
        <v>62</v>
      </c>
      <c r="F198" s="123">
        <v>13</v>
      </c>
      <c r="G198" s="79">
        <v>38868</v>
      </c>
      <c r="H198" s="80">
        <v>38853</v>
      </c>
      <c r="I198" s="95" t="s">
        <v>137</v>
      </c>
      <c r="J198" s="124">
        <v>600</v>
      </c>
      <c r="K198" s="124">
        <v>0</v>
      </c>
      <c r="L198" s="125">
        <v>600</v>
      </c>
      <c r="M198" s="136">
        <v>600</v>
      </c>
      <c r="N198" s="136"/>
      <c r="O198" s="128">
        <f t="shared" si="24"/>
        <v>600</v>
      </c>
      <c r="P198" s="127">
        <f t="shared" si="25"/>
        <v>300</v>
      </c>
      <c r="Q198" s="127"/>
      <c r="R198" s="128">
        <f t="shared" si="26"/>
        <v>300</v>
      </c>
      <c r="S198" s="201" t="s">
        <v>206</v>
      </c>
      <c r="T198" s="202"/>
    </row>
    <row r="199" spans="1:20" ht="21">
      <c r="A199" s="75" t="s">
        <v>212</v>
      </c>
      <c r="B199" s="76"/>
      <c r="C199" s="77" t="s">
        <v>53</v>
      </c>
      <c r="D199" s="78" t="s">
        <v>255</v>
      </c>
      <c r="E199" s="78" t="s">
        <v>62</v>
      </c>
      <c r="F199" s="123" t="s">
        <v>256</v>
      </c>
      <c r="G199" s="79">
        <v>38898</v>
      </c>
      <c r="H199" s="80">
        <v>38890</v>
      </c>
      <c r="I199" s="95" t="s">
        <v>137</v>
      </c>
      <c r="J199" s="124">
        <v>600</v>
      </c>
      <c r="K199" s="124">
        <v>0</v>
      </c>
      <c r="L199" s="125">
        <v>600</v>
      </c>
      <c r="M199" s="136">
        <v>600</v>
      </c>
      <c r="N199" s="136"/>
      <c r="O199" s="128">
        <f t="shared" si="24"/>
        <v>600</v>
      </c>
      <c r="P199" s="127">
        <f t="shared" si="25"/>
        <v>300</v>
      </c>
      <c r="Q199" s="127"/>
      <c r="R199" s="128">
        <f t="shared" si="26"/>
        <v>300</v>
      </c>
      <c r="S199" s="201" t="s">
        <v>206</v>
      </c>
      <c r="T199" s="202"/>
    </row>
    <row r="200" spans="1:20" ht="21">
      <c r="A200" s="75" t="s">
        <v>212</v>
      </c>
      <c r="B200" s="76"/>
      <c r="C200" s="77" t="s">
        <v>53</v>
      </c>
      <c r="D200" s="78" t="s">
        <v>257</v>
      </c>
      <c r="E200" s="78" t="s">
        <v>247</v>
      </c>
      <c r="F200" s="123">
        <v>380</v>
      </c>
      <c r="G200" s="79">
        <v>38881</v>
      </c>
      <c r="H200" s="80">
        <v>38867</v>
      </c>
      <c r="I200" s="95" t="s">
        <v>137</v>
      </c>
      <c r="J200" s="124">
        <v>27.4</v>
      </c>
      <c r="K200" s="124">
        <v>0</v>
      </c>
      <c r="L200" s="125">
        <v>27.4</v>
      </c>
      <c r="M200" s="136">
        <v>27.4</v>
      </c>
      <c r="N200" s="136"/>
      <c r="O200" s="128">
        <f t="shared" si="24"/>
        <v>27.4</v>
      </c>
      <c r="P200" s="127">
        <f t="shared" si="25"/>
        <v>13.7</v>
      </c>
      <c r="Q200" s="127"/>
      <c r="R200" s="128">
        <f t="shared" si="26"/>
        <v>13.7</v>
      </c>
      <c r="S200" s="201" t="s">
        <v>206</v>
      </c>
      <c r="T200" s="202"/>
    </row>
    <row r="201" spans="1:20" ht="21">
      <c r="A201" s="75" t="s">
        <v>212</v>
      </c>
      <c r="B201" s="76"/>
      <c r="C201" s="77" t="s">
        <v>53</v>
      </c>
      <c r="D201" s="78" t="s">
        <v>258</v>
      </c>
      <c r="E201" s="78" t="s">
        <v>247</v>
      </c>
      <c r="F201" s="123" t="s">
        <v>259</v>
      </c>
      <c r="G201" s="79">
        <v>38930</v>
      </c>
      <c r="H201" s="80">
        <v>38915</v>
      </c>
      <c r="I201" s="95" t="s">
        <v>137</v>
      </c>
      <c r="J201" s="124">
        <v>173.81</v>
      </c>
      <c r="K201" s="124">
        <v>0</v>
      </c>
      <c r="L201" s="125">
        <v>173.81</v>
      </c>
      <c r="M201" s="136">
        <v>173.81</v>
      </c>
      <c r="N201" s="136"/>
      <c r="O201" s="128">
        <f t="shared" si="24"/>
        <v>173.81</v>
      </c>
      <c r="P201" s="127">
        <f t="shared" si="25"/>
        <v>86.905</v>
      </c>
      <c r="Q201" s="127"/>
      <c r="R201" s="128">
        <f t="shared" si="26"/>
        <v>86.905</v>
      </c>
      <c r="S201" s="201" t="s">
        <v>206</v>
      </c>
      <c r="T201" s="202"/>
    </row>
    <row r="202" spans="1:20" ht="42">
      <c r="A202" s="75" t="s">
        <v>212</v>
      </c>
      <c r="B202" s="76"/>
      <c r="C202" s="77" t="s">
        <v>53</v>
      </c>
      <c r="D202" s="78" t="s">
        <v>58</v>
      </c>
      <c r="E202" s="78" t="s">
        <v>59</v>
      </c>
      <c r="F202" s="123" t="s">
        <v>260</v>
      </c>
      <c r="G202" s="79">
        <v>38908</v>
      </c>
      <c r="H202" s="80">
        <v>38943</v>
      </c>
      <c r="I202" s="95" t="s">
        <v>250</v>
      </c>
      <c r="J202" s="124">
        <v>241.66</v>
      </c>
      <c r="K202" s="124">
        <v>48.34</v>
      </c>
      <c r="L202" s="125">
        <v>290</v>
      </c>
      <c r="M202" s="136">
        <v>241.66</v>
      </c>
      <c r="N202" s="136"/>
      <c r="O202" s="128">
        <f t="shared" si="24"/>
        <v>241.66</v>
      </c>
      <c r="P202" s="127">
        <f t="shared" si="25"/>
        <v>120.83</v>
      </c>
      <c r="Q202" s="127"/>
      <c r="R202" s="128">
        <f t="shared" si="26"/>
        <v>120.83</v>
      </c>
      <c r="S202" s="201" t="s">
        <v>206</v>
      </c>
      <c r="T202" s="202"/>
    </row>
    <row r="203" spans="1:20" ht="42">
      <c r="A203" s="75" t="s">
        <v>212</v>
      </c>
      <c r="B203" s="76"/>
      <c r="C203" s="77" t="s">
        <v>53</v>
      </c>
      <c r="D203" s="78" t="s">
        <v>58</v>
      </c>
      <c r="E203" s="78" t="s">
        <v>59</v>
      </c>
      <c r="F203" s="123" t="s">
        <v>261</v>
      </c>
      <c r="G203" s="79">
        <v>38908</v>
      </c>
      <c r="H203" s="80">
        <v>38943</v>
      </c>
      <c r="I203" s="95" t="s">
        <v>250</v>
      </c>
      <c r="J203" s="124">
        <v>293.74</v>
      </c>
      <c r="K203" s="124">
        <v>58.76</v>
      </c>
      <c r="L203" s="125">
        <v>352.5</v>
      </c>
      <c r="M203" s="136">
        <v>293.74</v>
      </c>
      <c r="N203" s="136"/>
      <c r="O203" s="128">
        <f t="shared" si="24"/>
        <v>293.74</v>
      </c>
      <c r="P203" s="127">
        <f t="shared" si="25"/>
        <v>146.87</v>
      </c>
      <c r="Q203" s="127"/>
      <c r="R203" s="128">
        <f t="shared" si="26"/>
        <v>146.87</v>
      </c>
      <c r="S203" s="201" t="s">
        <v>206</v>
      </c>
      <c r="T203" s="202"/>
    </row>
    <row r="204" spans="1:20" ht="42">
      <c r="A204" s="75" t="s">
        <v>212</v>
      </c>
      <c r="B204" s="76"/>
      <c r="C204" s="77" t="s">
        <v>53</v>
      </c>
      <c r="D204" s="78" t="s">
        <v>58</v>
      </c>
      <c r="E204" s="78" t="s">
        <v>59</v>
      </c>
      <c r="F204" s="123" t="s">
        <v>262</v>
      </c>
      <c r="G204" s="79">
        <v>38908</v>
      </c>
      <c r="H204" s="80">
        <v>38943</v>
      </c>
      <c r="I204" s="95" t="s">
        <v>250</v>
      </c>
      <c r="J204" s="124">
        <v>45.35</v>
      </c>
      <c r="K204" s="124">
        <v>9.15</v>
      </c>
      <c r="L204" s="125">
        <v>54.5</v>
      </c>
      <c r="M204" s="136">
        <v>45.35</v>
      </c>
      <c r="N204" s="136"/>
      <c r="O204" s="128">
        <f t="shared" si="24"/>
        <v>45.35</v>
      </c>
      <c r="P204" s="127">
        <f t="shared" si="25"/>
        <v>22.675</v>
      </c>
      <c r="Q204" s="127"/>
      <c r="R204" s="128">
        <f t="shared" si="26"/>
        <v>22.675</v>
      </c>
      <c r="S204" s="201" t="s">
        <v>206</v>
      </c>
      <c r="T204" s="202"/>
    </row>
    <row r="205" spans="1:20" ht="42">
      <c r="A205" s="75" t="s">
        <v>212</v>
      </c>
      <c r="B205" s="76"/>
      <c r="C205" s="77" t="s">
        <v>53</v>
      </c>
      <c r="D205" s="78" t="s">
        <v>263</v>
      </c>
      <c r="E205" s="78" t="s">
        <v>146</v>
      </c>
      <c r="F205" s="123" t="s">
        <v>264</v>
      </c>
      <c r="G205" s="79">
        <v>38916</v>
      </c>
      <c r="H205" s="80">
        <v>38938</v>
      </c>
      <c r="I205" s="95" t="s">
        <v>250</v>
      </c>
      <c r="J205" s="124">
        <v>43.87</v>
      </c>
      <c r="K205" s="124">
        <v>8.77</v>
      </c>
      <c r="L205" s="125">
        <v>52.64</v>
      </c>
      <c r="M205" s="136">
        <v>43.87</v>
      </c>
      <c r="N205" s="136"/>
      <c r="O205" s="128">
        <f t="shared" si="24"/>
        <v>43.87</v>
      </c>
      <c r="P205" s="127">
        <f t="shared" si="25"/>
        <v>21.935</v>
      </c>
      <c r="Q205" s="127"/>
      <c r="R205" s="128">
        <f t="shared" si="26"/>
        <v>21.935</v>
      </c>
      <c r="S205" s="201" t="s">
        <v>206</v>
      </c>
      <c r="T205" s="202"/>
    </row>
    <row r="206" spans="1:20" ht="21">
      <c r="A206" s="75" t="s">
        <v>212</v>
      </c>
      <c r="B206" s="76"/>
      <c r="C206" s="77" t="s">
        <v>53</v>
      </c>
      <c r="D206" s="78" t="s">
        <v>265</v>
      </c>
      <c r="E206" s="78" t="s">
        <v>62</v>
      </c>
      <c r="F206" s="123">
        <v>18</v>
      </c>
      <c r="G206" s="79">
        <v>38929</v>
      </c>
      <c r="H206" s="80">
        <v>38915</v>
      </c>
      <c r="I206" s="95" t="s">
        <v>137</v>
      </c>
      <c r="J206" s="124">
        <v>600</v>
      </c>
      <c r="K206" s="124">
        <v>0</v>
      </c>
      <c r="L206" s="125">
        <v>600</v>
      </c>
      <c r="M206" s="136">
        <v>600</v>
      </c>
      <c r="N206" s="136"/>
      <c r="O206" s="128">
        <f t="shared" si="24"/>
        <v>600</v>
      </c>
      <c r="P206" s="127">
        <f t="shared" si="25"/>
        <v>300</v>
      </c>
      <c r="Q206" s="127"/>
      <c r="R206" s="128">
        <f t="shared" si="26"/>
        <v>300</v>
      </c>
      <c r="S206" s="201" t="s">
        <v>206</v>
      </c>
      <c r="T206" s="202"/>
    </row>
    <row r="207" spans="1:20" ht="21">
      <c r="A207" s="75" t="s">
        <v>212</v>
      </c>
      <c r="B207" s="76"/>
      <c r="C207" s="77" t="s">
        <v>50</v>
      </c>
      <c r="D207" s="78" t="s">
        <v>278</v>
      </c>
      <c r="E207" s="78" t="s">
        <v>279</v>
      </c>
      <c r="F207" s="123" t="s">
        <v>280</v>
      </c>
      <c r="G207" s="79"/>
      <c r="H207" s="80">
        <v>38875</v>
      </c>
      <c r="I207" s="95" t="s">
        <v>180</v>
      </c>
      <c r="J207" s="124"/>
      <c r="K207" s="124"/>
      <c r="L207" s="125">
        <v>1003.36</v>
      </c>
      <c r="M207" s="136"/>
      <c r="N207" s="136"/>
      <c r="O207" s="128"/>
      <c r="P207" s="127"/>
      <c r="Q207" s="127"/>
      <c r="R207" s="128"/>
      <c r="S207" s="199" t="s">
        <v>303</v>
      </c>
      <c r="T207" s="200"/>
    </row>
    <row r="208" spans="1:20" ht="21">
      <c r="A208" s="75" t="s">
        <v>212</v>
      </c>
      <c r="B208" s="76"/>
      <c r="C208" s="77" t="s">
        <v>50</v>
      </c>
      <c r="D208" s="78" t="s">
        <v>278</v>
      </c>
      <c r="E208" s="78" t="s">
        <v>281</v>
      </c>
      <c r="F208" s="123" t="s">
        <v>280</v>
      </c>
      <c r="G208" s="79"/>
      <c r="H208" s="80">
        <v>38875</v>
      </c>
      <c r="I208" s="95" t="s">
        <v>180</v>
      </c>
      <c r="J208" s="124"/>
      <c r="K208" s="124"/>
      <c r="L208" s="125">
        <v>1003.36</v>
      </c>
      <c r="M208" s="136"/>
      <c r="N208" s="136"/>
      <c r="O208" s="128"/>
      <c r="P208" s="127"/>
      <c r="Q208" s="127"/>
      <c r="R208" s="128"/>
      <c r="S208" s="199" t="s">
        <v>303</v>
      </c>
      <c r="T208" s="200"/>
    </row>
    <row r="209" spans="1:20" ht="21">
      <c r="A209" s="75" t="s">
        <v>212</v>
      </c>
      <c r="B209" s="76"/>
      <c r="C209" s="77" t="s">
        <v>50</v>
      </c>
      <c r="D209" s="78" t="s">
        <v>282</v>
      </c>
      <c r="E209" s="78" t="s">
        <v>279</v>
      </c>
      <c r="F209" s="123" t="s">
        <v>283</v>
      </c>
      <c r="G209" s="79"/>
      <c r="H209" s="80">
        <v>38877</v>
      </c>
      <c r="I209" s="95" t="s">
        <v>180</v>
      </c>
      <c r="J209" s="124"/>
      <c r="K209" s="124"/>
      <c r="L209" s="125">
        <v>1350</v>
      </c>
      <c r="M209" s="136"/>
      <c r="N209" s="136"/>
      <c r="O209" s="128"/>
      <c r="P209" s="127"/>
      <c r="Q209" s="127"/>
      <c r="R209" s="128"/>
      <c r="S209" s="199" t="s">
        <v>303</v>
      </c>
      <c r="T209" s="200"/>
    </row>
    <row r="210" spans="1:20" ht="21">
      <c r="A210" s="75" t="s">
        <v>212</v>
      </c>
      <c r="B210" s="76"/>
      <c r="C210" s="77" t="s">
        <v>50</v>
      </c>
      <c r="D210" s="78" t="s">
        <v>284</v>
      </c>
      <c r="E210" s="78" t="s">
        <v>285</v>
      </c>
      <c r="F210" s="123" t="s">
        <v>286</v>
      </c>
      <c r="G210" s="79"/>
      <c r="H210" s="80">
        <v>38863</v>
      </c>
      <c r="I210" s="95" t="s">
        <v>172</v>
      </c>
      <c r="J210" s="124"/>
      <c r="K210" s="124"/>
      <c r="L210" s="125">
        <v>278.27</v>
      </c>
      <c r="M210" s="136"/>
      <c r="N210" s="136"/>
      <c r="O210" s="128"/>
      <c r="P210" s="127"/>
      <c r="Q210" s="127"/>
      <c r="R210" s="128"/>
      <c r="S210" s="199" t="s">
        <v>303</v>
      </c>
      <c r="T210" s="200"/>
    </row>
    <row r="211" spans="1:20" ht="21">
      <c r="A211" s="75" t="s">
        <v>212</v>
      </c>
      <c r="B211" s="76"/>
      <c r="C211" s="77" t="s">
        <v>50</v>
      </c>
      <c r="D211" s="78" t="s">
        <v>287</v>
      </c>
      <c r="E211" s="78" t="s">
        <v>285</v>
      </c>
      <c r="F211" s="123" t="s">
        <v>288</v>
      </c>
      <c r="G211" s="79"/>
      <c r="H211" s="80">
        <v>38863</v>
      </c>
      <c r="I211" s="95" t="s">
        <v>172</v>
      </c>
      <c r="J211" s="124"/>
      <c r="K211" s="124"/>
      <c r="L211" s="125">
        <v>650.8</v>
      </c>
      <c r="M211" s="136"/>
      <c r="N211" s="136"/>
      <c r="O211" s="128"/>
      <c r="P211" s="127"/>
      <c r="Q211" s="127"/>
      <c r="R211" s="128"/>
      <c r="S211" s="199" t="s">
        <v>303</v>
      </c>
      <c r="T211" s="200"/>
    </row>
    <row r="212" spans="1:20" ht="21">
      <c r="A212" s="75" t="s">
        <v>212</v>
      </c>
      <c r="B212" s="76"/>
      <c r="C212" s="77" t="s">
        <v>50</v>
      </c>
      <c r="D212" s="78" t="s">
        <v>289</v>
      </c>
      <c r="E212" s="78" t="s">
        <v>290</v>
      </c>
      <c r="F212" s="123" t="s">
        <v>291</v>
      </c>
      <c r="G212" s="79"/>
      <c r="H212" s="80">
        <v>38922</v>
      </c>
      <c r="I212" s="95" t="s">
        <v>172</v>
      </c>
      <c r="J212" s="124"/>
      <c r="K212" s="124"/>
      <c r="L212" s="125">
        <v>589.45</v>
      </c>
      <c r="M212" s="136"/>
      <c r="N212" s="136"/>
      <c r="O212" s="128"/>
      <c r="P212" s="127"/>
      <c r="Q212" s="127"/>
      <c r="R212" s="128"/>
      <c r="S212" s="199" t="s">
        <v>303</v>
      </c>
      <c r="T212" s="200"/>
    </row>
    <row r="213" spans="1:20" ht="21">
      <c r="A213" s="75" t="s">
        <v>212</v>
      </c>
      <c r="B213" s="76"/>
      <c r="C213" s="77" t="s">
        <v>50</v>
      </c>
      <c r="D213" s="78" t="s">
        <v>292</v>
      </c>
      <c r="E213" s="78" t="s">
        <v>290</v>
      </c>
      <c r="F213" s="123" t="s">
        <v>293</v>
      </c>
      <c r="G213" s="79"/>
      <c r="H213" s="80">
        <v>38922</v>
      </c>
      <c r="I213" s="95" t="s">
        <v>172</v>
      </c>
      <c r="J213" s="124"/>
      <c r="K213" s="124"/>
      <c r="L213" s="125">
        <v>286.45</v>
      </c>
      <c r="M213" s="136"/>
      <c r="N213" s="136"/>
      <c r="O213" s="128"/>
      <c r="P213" s="127"/>
      <c r="Q213" s="127"/>
      <c r="R213" s="128"/>
      <c r="S213" s="199" t="s">
        <v>303</v>
      </c>
      <c r="T213" s="200"/>
    </row>
    <row r="214" spans="1:20" ht="21">
      <c r="A214" s="75" t="s">
        <v>212</v>
      </c>
      <c r="B214" s="76"/>
      <c r="C214" s="77" t="s">
        <v>50</v>
      </c>
      <c r="D214" s="78" t="s">
        <v>294</v>
      </c>
      <c r="E214" s="78" t="s">
        <v>290</v>
      </c>
      <c r="F214" s="123" t="s">
        <v>295</v>
      </c>
      <c r="G214" s="79"/>
      <c r="H214" s="80">
        <v>38922</v>
      </c>
      <c r="I214" s="95" t="s">
        <v>172</v>
      </c>
      <c r="J214" s="124"/>
      <c r="K214" s="124"/>
      <c r="L214" s="125">
        <v>402.09</v>
      </c>
      <c r="M214" s="136"/>
      <c r="N214" s="136"/>
      <c r="O214" s="128"/>
      <c r="P214" s="127"/>
      <c r="Q214" s="127"/>
      <c r="R214" s="128"/>
      <c r="S214" s="199" t="s">
        <v>303</v>
      </c>
      <c r="T214" s="200"/>
    </row>
    <row r="215" spans="1:20" ht="10.5">
      <c r="A215" s="75"/>
      <c r="B215" s="76"/>
      <c r="C215" s="77"/>
      <c r="D215" s="78"/>
      <c r="E215" s="78"/>
      <c r="F215" s="123"/>
      <c r="G215" s="79"/>
      <c r="H215" s="80"/>
      <c r="I215" s="95"/>
      <c r="J215" s="124"/>
      <c r="K215" s="124"/>
      <c r="L215" s="125"/>
      <c r="M215" s="136"/>
      <c r="N215" s="136"/>
      <c r="O215" s="128"/>
      <c r="P215" s="127"/>
      <c r="Q215" s="127"/>
      <c r="R215" s="128"/>
      <c r="S215" s="201"/>
      <c r="T215" s="202"/>
    </row>
  </sheetData>
  <sheetProtection/>
  <mergeCells count="164">
    <mergeCell ref="S211:T211"/>
    <mergeCell ref="S24:T24"/>
    <mergeCell ref="S25:T25"/>
    <mergeCell ref="S143:T143"/>
    <mergeCell ref="S138:T138"/>
    <mergeCell ref="S140:T140"/>
    <mergeCell ref="S141:T141"/>
    <mergeCell ref="S144:T144"/>
    <mergeCell ref="S145:T145"/>
    <mergeCell ref="S146:T146"/>
    <mergeCell ref="S152:T152"/>
    <mergeCell ref="S21:T21"/>
    <mergeCell ref="S209:T209"/>
    <mergeCell ref="S210:T210"/>
    <mergeCell ref="S120:T120"/>
    <mergeCell ref="S142:T142"/>
    <mergeCell ref="S132:T132"/>
    <mergeCell ref="S133:T133"/>
    <mergeCell ref="S134:T134"/>
    <mergeCell ref="S135:T135"/>
    <mergeCell ref="S125:T125"/>
    <mergeCell ref="S130:T130"/>
    <mergeCell ref="S131:T131"/>
    <mergeCell ref="S22:T22"/>
    <mergeCell ref="S129:T129"/>
    <mergeCell ref="S148:T148"/>
    <mergeCell ref="S149:T149"/>
    <mergeCell ref="S150:T150"/>
    <mergeCell ref="S151:T151"/>
    <mergeCell ref="S23:T23"/>
    <mergeCell ref="S124:T124"/>
    <mergeCell ref="S126:T126"/>
    <mergeCell ref="S128:T128"/>
    <mergeCell ref="S127:T127"/>
    <mergeCell ref="S42:T42"/>
    <mergeCell ref="S43:T43"/>
    <mergeCell ref="S61:T61"/>
    <mergeCell ref="S111:T111"/>
    <mergeCell ref="S96:T96"/>
    <mergeCell ref="S71:T71"/>
    <mergeCell ref="S112:T112"/>
    <mergeCell ref="S117:T117"/>
    <mergeCell ref="S116:T116"/>
    <mergeCell ref="S86:T86"/>
    <mergeCell ref="S110:T110"/>
    <mergeCell ref="S85:T85"/>
    <mergeCell ref="S84:T84"/>
    <mergeCell ref="A33:L33"/>
    <mergeCell ref="S108:T108"/>
    <mergeCell ref="S97:T97"/>
    <mergeCell ref="S48:T48"/>
    <mergeCell ref="S58:T58"/>
    <mergeCell ref="S59:T59"/>
    <mergeCell ref="A76:L76"/>
    <mergeCell ref="A64:B70"/>
    <mergeCell ref="A100:L100"/>
    <mergeCell ref="A77:B83"/>
    <mergeCell ref="C57:K57"/>
    <mergeCell ref="A89:B95"/>
    <mergeCell ref="C89:K89"/>
    <mergeCell ref="C95:K95"/>
    <mergeCell ref="C64:K64"/>
    <mergeCell ref="C70:K70"/>
    <mergeCell ref="A1:T1"/>
    <mergeCell ref="A9:B15"/>
    <mergeCell ref="S16:T16"/>
    <mergeCell ref="E2:F2"/>
    <mergeCell ref="E3:F3"/>
    <mergeCell ref="E4:F4"/>
    <mergeCell ref="E5:F5"/>
    <mergeCell ref="C8:L8"/>
    <mergeCell ref="S113:T113"/>
    <mergeCell ref="S114:T114"/>
    <mergeCell ref="S115:T115"/>
    <mergeCell ref="A34:B40"/>
    <mergeCell ref="C34:K34"/>
    <mergeCell ref="C40:K40"/>
    <mergeCell ref="S74:T74"/>
    <mergeCell ref="S72:T72"/>
    <mergeCell ref="A50:L50"/>
    <mergeCell ref="A63:L63"/>
    <mergeCell ref="S31:T31"/>
    <mergeCell ref="S41:T41"/>
    <mergeCell ref="A101:B107"/>
    <mergeCell ref="C101:K101"/>
    <mergeCell ref="C107:K107"/>
    <mergeCell ref="A51:B57"/>
    <mergeCell ref="C51:K51"/>
    <mergeCell ref="S44:T44"/>
    <mergeCell ref="C77:K77"/>
    <mergeCell ref="A88:L88"/>
    <mergeCell ref="S18:T18"/>
    <mergeCell ref="S19:T19"/>
    <mergeCell ref="S20:T20"/>
    <mergeCell ref="S17:T17"/>
    <mergeCell ref="S98:T98"/>
    <mergeCell ref="S215:T215"/>
    <mergeCell ref="S26:T26"/>
    <mergeCell ref="S27:T27"/>
    <mergeCell ref="S28:T28"/>
    <mergeCell ref="S29:T29"/>
    <mergeCell ref="S30:T30"/>
    <mergeCell ref="S192:T192"/>
    <mergeCell ref="S193:T193"/>
    <mergeCell ref="S174:T174"/>
    <mergeCell ref="S204:T204"/>
    <mergeCell ref="S205:T205"/>
    <mergeCell ref="S194:T194"/>
    <mergeCell ref="S195:T195"/>
    <mergeCell ref="S196:T196"/>
    <mergeCell ref="S197:T197"/>
    <mergeCell ref="S198:T198"/>
    <mergeCell ref="S199:T199"/>
    <mergeCell ref="S200:T200"/>
    <mergeCell ref="S201:T201"/>
    <mergeCell ref="S202:T202"/>
    <mergeCell ref="S203:T203"/>
    <mergeCell ref="S206:T206"/>
    <mergeCell ref="S171:T171"/>
    <mergeCell ref="S165:T165"/>
    <mergeCell ref="S166:T166"/>
    <mergeCell ref="S167:T167"/>
    <mergeCell ref="S168:T168"/>
    <mergeCell ref="S169:T169"/>
    <mergeCell ref="S170:T170"/>
    <mergeCell ref="S172:T172"/>
    <mergeCell ref="S173:T173"/>
    <mergeCell ref="S184:T184"/>
    <mergeCell ref="S185:T185"/>
    <mergeCell ref="S186:T186"/>
    <mergeCell ref="S175:T175"/>
    <mergeCell ref="S176:T176"/>
    <mergeCell ref="S177:T177"/>
    <mergeCell ref="S178:T178"/>
    <mergeCell ref="S179:T179"/>
    <mergeCell ref="S180:T180"/>
    <mergeCell ref="S157:T157"/>
    <mergeCell ref="S181:T181"/>
    <mergeCell ref="S182:T182"/>
    <mergeCell ref="S183:T183"/>
    <mergeCell ref="S153:T153"/>
    <mergeCell ref="S154:T154"/>
    <mergeCell ref="S155:T155"/>
    <mergeCell ref="S156:T156"/>
    <mergeCell ref="S147:T147"/>
    <mergeCell ref="S45:T45"/>
    <mergeCell ref="S46:T46"/>
    <mergeCell ref="S207:T207"/>
    <mergeCell ref="S158:T158"/>
    <mergeCell ref="S159:T159"/>
    <mergeCell ref="S160:T160"/>
    <mergeCell ref="S161:T161"/>
    <mergeCell ref="S162:T162"/>
    <mergeCell ref="S163:T163"/>
    <mergeCell ref="S212:T212"/>
    <mergeCell ref="S213:T213"/>
    <mergeCell ref="S214:T214"/>
    <mergeCell ref="S164:T164"/>
    <mergeCell ref="S208:T208"/>
    <mergeCell ref="S187:T187"/>
    <mergeCell ref="S188:T188"/>
    <mergeCell ref="S189:T189"/>
    <mergeCell ref="S190:T190"/>
    <mergeCell ref="S191:T191"/>
  </mergeCells>
  <printOptions horizontalCentered="1"/>
  <pageMargins left="0.1968503937007874" right="0.15748031496062992" top="0.23" bottom="0.22" header="0.17" footer="0.15748031496062992"/>
  <pageSetup horizontalDpi="300" verticalDpi="3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2006-09-14T08:13:13Z</cp:lastPrinted>
  <dcterms:created xsi:type="dcterms:W3CDTF">2005-04-28T08:10:49Z</dcterms:created>
  <dcterms:modified xsi:type="dcterms:W3CDTF">2007-02-26T08:33:05Z</dcterms:modified>
  <cp:category/>
  <cp:version/>
  <cp:contentType/>
  <cp:contentStatus/>
</cp:coreProperties>
</file>