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900" windowWidth="12000" windowHeight="6270" activeTab="0"/>
  </bookViews>
  <sheets>
    <sheet name="Foglio1" sheetId="1" r:id="rId1"/>
    <sheet name="Complessivo" sheetId="2" r:id="rId2"/>
  </sheets>
  <definedNames>
    <definedName name="_xlnm._FilterDatabase" localSheetId="1" hidden="1">'Complessivo'!$A$13:$U$661</definedName>
    <definedName name="_xlnm.Print_Area" localSheetId="1">'Complessivo'!$A$1:$T$474</definedName>
    <definedName name="_xlnm.Print_Titles" localSheetId="1">'Complessivo'!$1:$8</definedName>
  </definedNames>
  <calcPr fullCalcOnLoad="1"/>
</workbook>
</file>

<file path=xl/sharedStrings.xml><?xml version="1.0" encoding="utf-8"?>
<sst xmlns="http://schemas.openxmlformats.org/spreadsheetml/2006/main" count="3541" uniqueCount="849">
  <si>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</si>
  <si>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</si>
  <si>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</si>
  <si>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</si>
  <si>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</si>
  <si>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</si>
  <si>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</si>
  <si>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</si>
  <si>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</si>
  <si>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</si>
  <si>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</si>
  <si>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</si>
  <si>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</si>
  <si>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</si>
  <si>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</si>
  <si>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</si>
  <si>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</si>
  <si>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</si>
  <si>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</si>
  <si>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</si>
  <si>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</si>
  <si>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</si>
  <si>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</si>
  <si>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</si>
  <si>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</si>
  <si>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</si>
  <si>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</si>
  <si>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</si>
  <si>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</si>
  <si>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</si>
  <si>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</si>
  <si>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</si>
  <si>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</si>
  <si>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</si>
  <si>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 IVA=</t>
  </si>
  <si>
    <t>TOT CONTRIBUTO=</t>
  </si>
  <si>
    <t>IVA=</t>
  </si>
  <si>
    <t>Res IVA=</t>
  </si>
  <si>
    <t>AQP</t>
  </si>
  <si>
    <t>Iva ammessa</t>
  </si>
  <si>
    <t>Contributo iva</t>
  </si>
  <si>
    <t>TOT CONTR</t>
  </si>
  <si>
    <t>ToT costi ammessi</t>
  </si>
  <si>
    <t xml:space="preserve"> </t>
  </si>
  <si>
    <t>Spesa ammessa</t>
  </si>
  <si>
    <t>TOT ammes</t>
  </si>
  <si>
    <t>Contrib. Costi</t>
  </si>
  <si>
    <t>Contrib. Iva</t>
  </si>
  <si>
    <t>FEDERAZIONE REGIONALE INGEGNERI  44 - RIEPILOGO SPESE</t>
  </si>
  <si>
    <t>44 eVCN</t>
  </si>
  <si>
    <t>II</t>
  </si>
  <si>
    <t>Federazione Regionale Ingegneri</t>
  </si>
  <si>
    <t>Partecipazione a Gruppo di Coordinamento Progetto</t>
  </si>
  <si>
    <t>Partecipazione a Comitato di Indirizzo</t>
  </si>
  <si>
    <t>Stefanelli Paolo</t>
  </si>
  <si>
    <t>11/05</t>
  </si>
  <si>
    <t>07/2005</t>
  </si>
  <si>
    <t>Flores Giuseppe</t>
  </si>
  <si>
    <t>Di Bari Francesco Saverio</t>
  </si>
  <si>
    <t>Perrini Domenico Angelo</t>
  </si>
  <si>
    <t>20/05</t>
  </si>
  <si>
    <t>Fonseca Cosimo</t>
  </si>
  <si>
    <t>02/05</t>
  </si>
  <si>
    <t>Elia Erminio</t>
  </si>
  <si>
    <t>Attività svolta dall'Ing. Lombari in riferimento ai punti 2.1 e 2.2 del contratto</t>
  </si>
  <si>
    <t>Attività di analisi, documentazione e supporto alla progettazione e sviluppo di applicazioni sw relative al protocollo informatico, alla sicurezza e alla privacy nel campo della gestione documentale</t>
  </si>
  <si>
    <t>collaborazione all'attività di specifica e di analisi dei requisiti e progettazione concettuale nell'ambito del progetto e-VCN</t>
  </si>
  <si>
    <t xml:space="preserve">acconto per progettazione grafica portale da realizzare nel progetto </t>
  </si>
  <si>
    <t>Reho Umberto</t>
  </si>
  <si>
    <t>bonifico BPP</t>
  </si>
  <si>
    <t>bonifico Carige</t>
  </si>
  <si>
    <t>bonifico BBP</t>
  </si>
  <si>
    <t>Chirenti Angela</t>
  </si>
  <si>
    <t>Rizzo Marco</t>
  </si>
  <si>
    <t>Distante Damiano</t>
  </si>
  <si>
    <t>Macromedia studio MX 2004 Win/Mac Ita</t>
  </si>
  <si>
    <t>Eclipse UML Studio Ed. Mobile</t>
  </si>
  <si>
    <t>Enterprise XML suite 2005</t>
  </si>
  <si>
    <t>Italsel</t>
  </si>
  <si>
    <t>Banco Napoli 2121377917</t>
  </si>
  <si>
    <t>Omondo</t>
  </si>
  <si>
    <t>carta credito aziendale</t>
  </si>
  <si>
    <t>Altova</t>
  </si>
  <si>
    <t>1 Leserjet HP 1015, 1 fax, 3 terminator A7VT AMD, 3 CPU AMD Sempron 2600, 3 HD Maxtor 40 GB, 6 Mod. RAM 256 MB, 1 PC acer, 1 Mod. Ram, 1 lettore DVD Samsung, 4 Monitor.</t>
  </si>
  <si>
    <t>Esprinet spa</t>
  </si>
  <si>
    <t>2/28178</t>
  </si>
  <si>
    <t>addebito automatico BPP</t>
  </si>
  <si>
    <t>1 Stampante HP, 2 PC Acer</t>
  </si>
  <si>
    <t>2/41382</t>
  </si>
  <si>
    <t>Servizi telefonici e fonia dati</t>
  </si>
  <si>
    <t>TELECOM ITALIA</t>
  </si>
  <si>
    <t>4222205800020404</t>
  </si>
  <si>
    <t>bollettino c/c</t>
  </si>
  <si>
    <t>222205800023318</t>
  </si>
  <si>
    <t>8S00060723</t>
  </si>
  <si>
    <t>bonifico BNL</t>
  </si>
  <si>
    <t>8S00066863</t>
  </si>
  <si>
    <t>8S00059220</t>
  </si>
  <si>
    <t>8S00059197</t>
  </si>
  <si>
    <t>registrazione dominio</t>
  </si>
  <si>
    <t>Register.it</t>
  </si>
  <si>
    <t>carta si</t>
  </si>
  <si>
    <t>4222205800055542</t>
  </si>
  <si>
    <t>8S00229063</t>
  </si>
  <si>
    <t>4222205800057136</t>
  </si>
  <si>
    <t>Fornitura energia elettrica</t>
  </si>
  <si>
    <t>ENEL SPA</t>
  </si>
  <si>
    <t>750084061920217</t>
  </si>
  <si>
    <t>bollettino c/c postale</t>
  </si>
  <si>
    <t>750084061920218</t>
  </si>
  <si>
    <t>750084061920219</t>
  </si>
  <si>
    <t>750084061920211</t>
  </si>
  <si>
    <t>750100351918861</t>
  </si>
  <si>
    <t>Fornitura gas</t>
  </si>
  <si>
    <t>ENEL GAS SPA</t>
  </si>
  <si>
    <t>Fornitura servizi idrici - fognanti</t>
  </si>
  <si>
    <t>Servizi di vigilanza</t>
  </si>
  <si>
    <t>Istituto di Vigilanza srl</t>
  </si>
  <si>
    <t>A/1452</t>
  </si>
  <si>
    <t>AB 28493287 BPP</t>
  </si>
  <si>
    <t>Servizi di pulizia locali</t>
  </si>
  <si>
    <t>Eco-Salento srl</t>
  </si>
  <si>
    <t>AB 2081424231 BNL</t>
  </si>
  <si>
    <t>affitto locali 15/12/2004 - 14/01/2005</t>
  </si>
  <si>
    <t>Sig.ra M. Domenica Campanelli</t>
  </si>
  <si>
    <t>ricevuta</t>
  </si>
  <si>
    <t>Bonifico Carige</t>
  </si>
  <si>
    <t>affitto locali 15/01/2005 - 14/02/2005</t>
  </si>
  <si>
    <t>affitto locali 15/02/2005 - 28/02/2005</t>
  </si>
  <si>
    <t>Manca liberatoria</t>
  </si>
  <si>
    <t>Consulenza informatica in materia di raccolta documentale relativa alla normativa ed alla giurisprudenza con conseguente catalogazione e classificazione</t>
  </si>
  <si>
    <t>11/2004</t>
  </si>
  <si>
    <t>12/2004</t>
  </si>
  <si>
    <t>1/2005</t>
  </si>
  <si>
    <t>2/2005</t>
  </si>
  <si>
    <t>Parcella</t>
  </si>
  <si>
    <t>A.B n° 31428273 06</t>
  </si>
  <si>
    <t>AB n° 21910/52</t>
  </si>
  <si>
    <t>10/2005</t>
  </si>
  <si>
    <t>AB n° 31428272 05</t>
  </si>
  <si>
    <t>05/2005</t>
  </si>
  <si>
    <t>AB n° 31428274 07</t>
  </si>
  <si>
    <t>AB n° 31428275 08</t>
  </si>
  <si>
    <t>AB n° 31428276 09</t>
  </si>
  <si>
    <t>AB n° 31428271 04</t>
  </si>
  <si>
    <t>Partecipazione a Comitato di Indirizzo e riunione monit tecnopolis</t>
  </si>
  <si>
    <t>28 persone</t>
  </si>
  <si>
    <t>Fogli presenze in fotocopia. Fornire i copia dei contratti co.co.pro di Pettinati, Leo, Mazzeo, Congedi.</t>
  </si>
  <si>
    <t>SAL 2 - 01/11/04 - 28/02/05</t>
  </si>
  <si>
    <t>SAL 1 - 01/03/04 - 31/10/04</t>
  </si>
  <si>
    <t>I</t>
  </si>
  <si>
    <t>EDINFORM</t>
  </si>
  <si>
    <t>Ammessi 21 giorni a 180 Euro/g Manca relazione attività fatte. Manca firma su fattura</t>
  </si>
  <si>
    <t>Ammessi 22 giorni a 180 Euro/g Manca relazione attività fatte. Manca firma su fattura</t>
  </si>
  <si>
    <t>Ammessi 20 giorni a 180 Euro/g Manca relazione attività fatte. Manca firma su fattura</t>
  </si>
  <si>
    <t xml:space="preserve"> MTL Sistemi e servizi srl ing. Tommaso Lombari</t>
  </si>
  <si>
    <t xml:space="preserve">Manca relazione attività fatte. Manca curriculum per individuare la fascia di compenso. Non ammessi 15 giorni a 300 €/g </t>
  </si>
  <si>
    <t>Manca relazione attività svolte.</t>
  </si>
  <si>
    <t>Rendiconta attività periodo precedente. Manca relazione attività fatte.</t>
  </si>
  <si>
    <t>Orione srl dott. Luigi Orione Amato</t>
  </si>
  <si>
    <t>Spostata da consulenza in software</t>
  </si>
  <si>
    <t>Consulenza informatica relativa alla progettazione del sistema di Information retrivial knowledge-based</t>
  </si>
  <si>
    <t>Bonifico BNL</t>
  </si>
  <si>
    <t>A.B. San paolo Napoli n. 2121377125</t>
  </si>
  <si>
    <t>Tolte spese contributive</t>
  </si>
  <si>
    <t>Together Control Center 6.1 named user lic.</t>
  </si>
  <si>
    <t>ITWAY Spa</t>
  </si>
  <si>
    <t>02/09/2004     30/09/2004</t>
  </si>
  <si>
    <t>Ricevuta Bancaria</t>
  </si>
  <si>
    <t>Tolte Spese varie</t>
  </si>
  <si>
    <t>Notebook ASUS W1762NUP</t>
  </si>
  <si>
    <t>Chiocciolina di Quarta Davide</t>
  </si>
  <si>
    <t>A.B. Carige n. 240370213</t>
  </si>
  <si>
    <t>Monitor Samsung 17 753S</t>
  </si>
  <si>
    <t>Computer Facile Distribuzione informatica</t>
  </si>
  <si>
    <t>001757/LE</t>
  </si>
  <si>
    <t>A.B. BPP n. 27341946-08</t>
  </si>
  <si>
    <t>n. 2 PC EVY FT 1987</t>
  </si>
  <si>
    <t>Edera sistemi Srl</t>
  </si>
  <si>
    <t>A.B. Sanpaolo 2102554226</t>
  </si>
  <si>
    <t>n. 3 PC EVY FT 1987</t>
  </si>
  <si>
    <t>A.B.Carige 237248267</t>
  </si>
  <si>
    <t>Lavori di stonacatura e ripristino murature a faccia vista e relativo trattamento con idrorepellente al piano interrato nei locali di V.le Otranto</t>
  </si>
  <si>
    <t>Ingrosso Costruzioni</t>
  </si>
  <si>
    <t>A.B. San Paolo Napoli n.2121377126 e A.B. BNL n.2081402872-03</t>
  </si>
  <si>
    <t>Tolte spese ventoline trasporto e assicurazione</t>
  </si>
  <si>
    <t>Toloto trasporto e assicurazione</t>
  </si>
  <si>
    <t>NON ammesse opere murarie</t>
  </si>
  <si>
    <t>Redazione parere legale partnership tra Edinform, Ordine degli Ingegneri di Puglia ed Assoc. Ing. Di Puglia</t>
  </si>
  <si>
    <t>Avv. Francesco Baldassarre</t>
  </si>
  <si>
    <t>A.B. BNL</t>
  </si>
  <si>
    <t>8S00405523</t>
  </si>
  <si>
    <t>8S00406003</t>
  </si>
  <si>
    <t>8S00405477</t>
  </si>
  <si>
    <t>Bonifico CARIGE</t>
  </si>
  <si>
    <t>8S00603149</t>
  </si>
  <si>
    <t>Bonifico BPP</t>
  </si>
  <si>
    <t>8S00603663</t>
  </si>
  <si>
    <t>8S00603180</t>
  </si>
  <si>
    <t>8S00815251</t>
  </si>
  <si>
    <t>cassa contante</t>
  </si>
  <si>
    <t>A/36624</t>
  </si>
  <si>
    <t>ASS B. napoli</t>
  </si>
  <si>
    <t>ASS BNL n. 2081386551-10</t>
  </si>
  <si>
    <t>31/04/2004</t>
  </si>
  <si>
    <t>ASS BNL n. 2081394887</t>
  </si>
  <si>
    <t>A.B. Carige n. 244095934-04</t>
  </si>
  <si>
    <t>Oneri fidejussione</t>
  </si>
  <si>
    <t>Aurora Assicurazioni</t>
  </si>
  <si>
    <t>Pol. n. 60346462</t>
  </si>
  <si>
    <t>ASS. CARIGE N. 240371829-09</t>
  </si>
  <si>
    <t>pratica affidamento per atto fidejussione</t>
  </si>
  <si>
    <t>Studio Pennetta</t>
  </si>
  <si>
    <t>ASS. CARIGE 240371828-08</t>
  </si>
  <si>
    <t>Spese trasferta - Bari</t>
  </si>
  <si>
    <t>Mirco Manciulli</t>
  </si>
  <si>
    <t>nota spese</t>
  </si>
  <si>
    <t>cassa</t>
  </si>
  <si>
    <t>inserito in consulenze viene spostato a spese generali</t>
  </si>
  <si>
    <t>Assegno ad altro intestatario per soli 18K€. C'è solo liberatoria.Manca dichiarazione incasso assegno</t>
  </si>
  <si>
    <t>Non sono ammesse altre spese oltre l'importo della fideiussione</t>
  </si>
  <si>
    <t>Non ammessi pag contanti</t>
  </si>
  <si>
    <t>E' necessario produrre il progetto architetturale del Centro servizi  D.5.1 da cui evincere i componenti che lo costituiscono e da ammettere alla spesa. Sono ammissibili le spese per l'acquisto di stazioni di sviluppo e di infrastrutture telematiche, mentre non sono ammissibili singoli componenti hardware. Manca la liberatoria. Manca la docuemtnazione relativa alle procedure di assegnazione dell'ordine. Gli immobili dove è collocata la strumentazione agevolata devono essere in regola dal punto di vista urbanistico e della disponibilità. Manca copia del titolo di pagamento: assegno o bonifico.</t>
  </si>
  <si>
    <t>Affittato ad hoc per il progetto. Perizia su regolarità urbanistica e destinazione d'uso. OK per la disponibilità</t>
  </si>
  <si>
    <t>CONTRIBUTO COSTI=</t>
  </si>
  <si>
    <t>2012200401</t>
  </si>
  <si>
    <t>III</t>
  </si>
  <si>
    <t>Consulenza su progetto</t>
  </si>
  <si>
    <t>06/05</t>
  </si>
  <si>
    <t>AB n° 3172616301</t>
  </si>
  <si>
    <t>Il titolare del contratto di consulenza e il legale rappresentante della Federazione sono la stessa persona</t>
  </si>
  <si>
    <t>Partecipazione a Gruppo di Coordinamento Progetto (Comitato Tecnico)</t>
  </si>
  <si>
    <t>22/05</t>
  </si>
  <si>
    <t>AB n° 3142827912</t>
  </si>
  <si>
    <t>33/05</t>
  </si>
  <si>
    <t>bonifico BancaApulia</t>
  </si>
  <si>
    <t>Studio Associato Fuzio</t>
  </si>
  <si>
    <t>Di Donna Giuseppe</t>
  </si>
  <si>
    <t>AB n° 3142827811</t>
  </si>
  <si>
    <t>AB n° 3142827710</t>
  </si>
  <si>
    <t>AB n° 3142828000</t>
  </si>
  <si>
    <t>AB n° 3172616200</t>
  </si>
  <si>
    <t>25 persone</t>
  </si>
  <si>
    <t>SAL 3 - 01/03/05 - 30/06/05</t>
  </si>
  <si>
    <t>bonifico Banca P.P.</t>
  </si>
  <si>
    <t>Supporto tecnico all'interfaccia unico di progetto</t>
  </si>
  <si>
    <t>Orazio Manni</t>
  </si>
  <si>
    <t>Progettazione ed implementazione grafica portale</t>
  </si>
  <si>
    <t xml:space="preserve">Orione srl  </t>
  </si>
  <si>
    <t>bonifico B.P.P.</t>
  </si>
  <si>
    <t>Universita' degli studi di Lecce - Centro Cultura Innovativa d'Impresa</t>
  </si>
  <si>
    <t>Progettazione e realizazione di un motore di ricerca semantico e strutturazione della knowledge base del portale degli ingegneri</t>
  </si>
  <si>
    <t>8s00470522</t>
  </si>
  <si>
    <t>8s00475570</t>
  </si>
  <si>
    <t>8s00471022</t>
  </si>
  <si>
    <t>8s00468093</t>
  </si>
  <si>
    <t>ab bnl 2081426786</t>
  </si>
  <si>
    <t>ab carige 246453520</t>
  </si>
  <si>
    <t>ab bnl 208125355</t>
  </si>
  <si>
    <t>Rullo servizi</t>
  </si>
  <si>
    <t>ab bpp 0029371682</t>
  </si>
  <si>
    <t>affitto locali 15/02/05-14/03/05</t>
  </si>
  <si>
    <t>affitto locali 15/03/05-14/04/05</t>
  </si>
  <si>
    <t>affitto locali 15/04/05-14/05/05</t>
  </si>
  <si>
    <t>affitto locali 15/05/05-14/06/05</t>
  </si>
  <si>
    <t>affitto locali 15/06/05-14/07/05</t>
  </si>
  <si>
    <t>SAL 3</t>
  </si>
  <si>
    <t>TOT SAL 3</t>
  </si>
  <si>
    <t xml:space="preserve">assegno banca Apulia n° </t>
  </si>
  <si>
    <t>Fuzio Giovanni</t>
  </si>
  <si>
    <t>Progettazione integrazioni con Progetti UE ECOLEAD e DBE</t>
  </si>
  <si>
    <t>IV</t>
  </si>
  <si>
    <t>Verificare contratto, statuto presidente federazione</t>
  </si>
  <si>
    <t>Progettazione grafica brochure di progetto</t>
  </si>
  <si>
    <t>Orione Srl</t>
  </si>
  <si>
    <t>Bonifico bancario</t>
  </si>
  <si>
    <t>Partecipazione a 50° Congresso Nazionale Ingegneri</t>
  </si>
  <si>
    <t>Cinquantesimo Congresso Ordini Ingegneri Srl</t>
  </si>
  <si>
    <t>Bonifici bancari</t>
  </si>
  <si>
    <t>Stampa Brochures di progetto</t>
  </si>
  <si>
    <t>Minigraph di Pezzuto</t>
  </si>
  <si>
    <t>Realizzazione pannelli progetto</t>
  </si>
  <si>
    <t>De Lorenzis New Line Srl</t>
  </si>
  <si>
    <t>12/09(2005</t>
  </si>
  <si>
    <t>Assegno Banca Apulia</t>
  </si>
  <si>
    <t>Rimborso spese Trasferta Dott. Manciulli</t>
  </si>
  <si>
    <t>Dott. Mirco Manciulli</t>
  </si>
  <si>
    <t>Nota spese n° 1</t>
  </si>
  <si>
    <t>Nota spese n° 2</t>
  </si>
  <si>
    <t>Nota spese n° 3</t>
  </si>
  <si>
    <t>Nota spese n° 4</t>
  </si>
  <si>
    <t>02/11/2005
14/07/2005</t>
  </si>
  <si>
    <t>Spese di trasferta ammesse solo per personale e non per consulenti</t>
  </si>
  <si>
    <t>30 persone</t>
  </si>
  <si>
    <t>Consulenza informatica in materia di raccolta documentale relativa alla normativa, giurisprudenza e relativa catalogazione e classificazione</t>
  </si>
  <si>
    <t xml:space="preserve">Collaborazione all'attività di costruzione delle ontologie </t>
  </si>
  <si>
    <t>Davide S. Storelli</t>
  </si>
  <si>
    <t>PLO</t>
  </si>
  <si>
    <t>Ing. Orazio Manni</t>
  </si>
  <si>
    <t>06/2005</t>
  </si>
  <si>
    <t>08/2005</t>
  </si>
  <si>
    <t>Ass. B</t>
  </si>
  <si>
    <t>09/2005</t>
  </si>
  <si>
    <t>5/05</t>
  </si>
  <si>
    <t>Consegnare tabella di impegno consulenza con firma giornaliera e in originale al prossimo SAL</t>
  </si>
  <si>
    <t>8S00671228</t>
  </si>
  <si>
    <t>8S006770770</t>
  </si>
  <si>
    <t>8S00666678</t>
  </si>
  <si>
    <t>8S00668254</t>
  </si>
  <si>
    <t>8S00875810</t>
  </si>
  <si>
    <t>8S00875791</t>
  </si>
  <si>
    <t>8S00878353</t>
  </si>
  <si>
    <t>8S00877606</t>
  </si>
  <si>
    <t>8S00880521</t>
  </si>
  <si>
    <t>AB CARIGE 251247827</t>
  </si>
  <si>
    <t>Rollo servizi</t>
  </si>
  <si>
    <t>AB BPP 29377777</t>
  </si>
  <si>
    <t>AB BPP 29381302</t>
  </si>
  <si>
    <t>AB BPP 29386030</t>
  </si>
  <si>
    <t>AB CARIGE 251250031</t>
  </si>
  <si>
    <t>Stampa bollettini username e pwd</t>
  </si>
  <si>
    <t>Minigraf</t>
  </si>
  <si>
    <t>Spese trasferta Oristano</t>
  </si>
  <si>
    <t>Carta di credito aziendale</t>
  </si>
  <si>
    <t>Spese trasferta Milano</t>
  </si>
  <si>
    <t>affitto locali 15/06/2005 - 14/07/2005</t>
  </si>
  <si>
    <t>affitto locali 15/07/2005 - 14/10/2005</t>
  </si>
  <si>
    <t>SAL 4 - 01/07/05 - 31/10/05</t>
  </si>
  <si>
    <t>TOT SAL 4</t>
  </si>
  <si>
    <t>SAL 4</t>
  </si>
  <si>
    <t>documentazione integrata da II sal</t>
  </si>
  <si>
    <t>Pagata fattura del II sal</t>
  </si>
  <si>
    <t>pagamento fattura II sal per integrazione documenti</t>
  </si>
  <si>
    <t>Importi in fattura errati rispetto ai giorni di consulenza prestati</t>
  </si>
  <si>
    <t>Fogli presenze in fotocopia. Fornire i copia dei contratti co.co.pro di Leo, Mazzeo.</t>
  </si>
  <si>
    <t>Manca dimostrazione di pagamento</t>
  </si>
  <si>
    <t>24/05</t>
  </si>
  <si>
    <t>assegno banca Apulia</t>
  </si>
  <si>
    <t>12/05</t>
  </si>
  <si>
    <t>17/05</t>
  </si>
  <si>
    <t>13/05</t>
  </si>
  <si>
    <t>41/05</t>
  </si>
  <si>
    <t>8/05</t>
  </si>
  <si>
    <t>Spostato da Licenze in quanto trattasi di consulenza. Mancano: riepilogo impegno nominativi, curricula, ecc, relazione attività svolta (1 pg).</t>
  </si>
  <si>
    <t>Manca fattura e dimostrazione della spesa,…</t>
  </si>
  <si>
    <t>9/05</t>
  </si>
  <si>
    <t>27/102005</t>
  </si>
  <si>
    <t>Indicare i cocopro e fornire una sola volta copia del relativo contratto</t>
  </si>
  <si>
    <t>promoz</t>
  </si>
  <si>
    <t>spesa non inerente le attività di progetto e non ammissibile. Manca liberatoria</t>
  </si>
  <si>
    <t>Erogato</t>
  </si>
  <si>
    <t>TOT SAL 5</t>
  </si>
  <si>
    <t>SAL 5</t>
  </si>
  <si>
    <t>SAL 5 - 01/11/05 - 28/02/06</t>
  </si>
  <si>
    <t>V</t>
  </si>
  <si>
    <t>33 persone</t>
  </si>
  <si>
    <t>Gruppo di coordinamento tecnico</t>
  </si>
  <si>
    <t>22/12/05 e 02/02/06</t>
  </si>
  <si>
    <t>Assegni BancApulia n° 31726160 11 e 31848084 08</t>
  </si>
  <si>
    <t>Elia Erimio</t>
  </si>
  <si>
    <t>Assegni BancApulia n° 31726158 06 e 31848081 05</t>
  </si>
  <si>
    <t>Assegno BancApulia n° 31848082 06</t>
  </si>
  <si>
    <t>Assegni BancApulia n° 31726158 09 e 31848083 07</t>
  </si>
  <si>
    <t>Assegni BancApulia n° 31726157 08 e 31848087 11</t>
  </si>
  <si>
    <t>Gorgoglione Giuseppe</t>
  </si>
  <si>
    <t>Assegni BancApulia n° 31726159 10 e 31848085 09</t>
  </si>
  <si>
    <t>Progettazione integrazioni Evcn- ECOLEAD</t>
  </si>
  <si>
    <t>Manciulli Mirco</t>
  </si>
  <si>
    <t>Assegni BancApulia n° 31726156 07 e 31848086 10</t>
  </si>
  <si>
    <t>Estratto Conto ELSIO TOURS per spese viaggio HELSINKI</t>
  </si>
  <si>
    <t>ELIOS TOURS</t>
  </si>
  <si>
    <t>Bonifico BancApulia</t>
  </si>
  <si>
    <t>Rete GSM Evcn Federazione</t>
  </si>
  <si>
    <t>WIND SPA</t>
  </si>
  <si>
    <t>2006T000126321</t>
  </si>
  <si>
    <t>Analisi e  supporto alla progettazione e modellazione delle tassonomie e delle classificazioni ontologiche per la creazione di una ontologia relativa alla procedura di concessione edilizia;  referenziazione della stessa alla normativa vigente.</t>
  </si>
  <si>
    <t>Nicola La Tegola</t>
  </si>
  <si>
    <t>Gruppo di Coorinamenti tecnico – analisi e validazione servizi</t>
  </si>
  <si>
    <t>Cosimo Fonseca</t>
  </si>
  <si>
    <t>Assegno BPP n. 29410280-03</t>
  </si>
  <si>
    <t>Analisi di alcune procedure e procedimenti tipici dell’attività ingegneristica nel campo dell’edilizia privata (concessione edilizia, gestione cantiere). Supporto alla progettazione e  modellazione di tali procedimenti nell’ambiente “gestione workflow” realizzato nell’ambito del Progetto eVCN.</t>
  </si>
  <si>
    <t>Donato Giannuzzi</t>
  </si>
  <si>
    <t>Assegno BPP n.29410279-02</t>
  </si>
  <si>
    <r>
      <t xml:space="preserve">Consulenza informatica relativa alla progettazione del sistema di </t>
    </r>
    <r>
      <rPr>
        <i/>
        <sz val="8"/>
        <rFont val="Arial"/>
        <family val="2"/>
      </rPr>
      <t>Information retrivial knoledge-based</t>
    </r>
  </si>
  <si>
    <r>
      <t xml:space="preserve">Consulenza informatica relativa alla progettazione del sistema d </t>
    </r>
    <r>
      <rPr>
        <i/>
        <sz val="8"/>
        <rFont val="Arial"/>
        <family val="2"/>
      </rPr>
      <t>Information retrivial knoledge-based</t>
    </r>
  </si>
  <si>
    <t>Esprinet</t>
  </si>
  <si>
    <t>1/175113</t>
  </si>
  <si>
    <t>Addebito automatico BPP</t>
  </si>
  <si>
    <t>nr. 1 Win XP Pro</t>
  </si>
  <si>
    <t>2/462917</t>
  </si>
  <si>
    <t>Office XP Pro OEM</t>
  </si>
  <si>
    <t>Computer Facile</t>
  </si>
  <si>
    <t>004793/LE</t>
  </si>
  <si>
    <t>Carta sì</t>
  </si>
  <si>
    <t xml:space="preserve"> nr. 3 Win serv. Std, nr. 10 CAL server, nr. 10 CAL exchange</t>
  </si>
  <si>
    <t>n. 4 PC assembl. PIV con licenza Win XPP OEM</t>
  </si>
  <si>
    <t xml:space="preserve">Tyan </t>
  </si>
  <si>
    <t>Assegno BPP n. 0029394630-05</t>
  </si>
  <si>
    <t xml:space="preserve">n. 3 Server HP 2GB ram 500GB HD </t>
  </si>
  <si>
    <t>2/478592</t>
  </si>
  <si>
    <t>n. 1 PC HP PIV 1GB Win XPP</t>
  </si>
  <si>
    <t>2/478542</t>
  </si>
  <si>
    <t>nr. 2 monitor Samsung 17''</t>
  </si>
  <si>
    <t>nr. 1 stampante ad aghi OKI, nr. 1 HD per server, nr. 5 cassette back-up</t>
  </si>
  <si>
    <t>PC assemblato PIV</t>
  </si>
  <si>
    <t xml:space="preserve">Assegno BNL n. 2101854796-02 </t>
  </si>
  <si>
    <t>Adeguamento impianto elettrico e trasmissione dati</t>
  </si>
  <si>
    <t>SEI SpA</t>
  </si>
  <si>
    <t>Abbonamento E-Company Basic</t>
  </si>
  <si>
    <t>Telecom Italia</t>
  </si>
  <si>
    <t>4222205800257294</t>
  </si>
  <si>
    <t>Bollettino c/c</t>
  </si>
  <si>
    <t>Abbonamento E-Company Basic, consumo Full Service, abbonamento TIR CISCO</t>
  </si>
  <si>
    <t>4222205800255802</t>
  </si>
  <si>
    <t>Abbonamento Multigroup-Mega 1,2 MBPS BMG di 64 K, Router 1120 Telindus</t>
  </si>
  <si>
    <t>8S00013335</t>
  </si>
  <si>
    <t>Canone per connettività HDSL 2Mb server eVCN</t>
  </si>
  <si>
    <t>Wind</t>
  </si>
  <si>
    <t>2005T001098377</t>
  </si>
  <si>
    <t>8S01088911</t>
  </si>
  <si>
    <t>8S01087320</t>
  </si>
  <si>
    <t>8S10188246</t>
  </si>
  <si>
    <t>8S00472142</t>
  </si>
  <si>
    <t>8S00666542</t>
  </si>
  <si>
    <t>8S01088246</t>
  </si>
  <si>
    <t>8S01085531</t>
  </si>
  <si>
    <t>8S01088312</t>
  </si>
  <si>
    <t>8S00010718</t>
  </si>
  <si>
    <t>8S00009259</t>
  </si>
  <si>
    <t>8S00012519</t>
  </si>
  <si>
    <t>8S00013138</t>
  </si>
  <si>
    <t xml:space="preserve">Servizi di vigilanza </t>
  </si>
  <si>
    <t>A/972</t>
  </si>
  <si>
    <t>AB BNL 2101844126</t>
  </si>
  <si>
    <t>AB BPP 29394624</t>
  </si>
  <si>
    <t>AB Carige 251253370 04</t>
  </si>
  <si>
    <t>AB Carige 251254905 05</t>
  </si>
  <si>
    <t>AB Carige 253501812 05</t>
  </si>
  <si>
    <t>Beni di cancelleria</t>
  </si>
  <si>
    <t xml:space="preserve">Kratos Italia </t>
  </si>
  <si>
    <t>48318/V</t>
  </si>
  <si>
    <t>RIBA BPP</t>
  </si>
  <si>
    <t>40546/V</t>
  </si>
  <si>
    <t>Spese trasferta Brindisi (carb)</t>
  </si>
  <si>
    <t>Spese trasferta Roma</t>
  </si>
  <si>
    <t>Jolly Hotels L. da Vinci</t>
  </si>
  <si>
    <t>RLF06918</t>
  </si>
  <si>
    <t>AB BPP 29403619</t>
  </si>
  <si>
    <t>Spese trasferta Cambridge</t>
  </si>
  <si>
    <t>Spese trasferta Brindisi</t>
  </si>
  <si>
    <t>Spese trasferta Helsinkyi</t>
  </si>
  <si>
    <t>affitto locali 15/10/2005 – 14/02/2006</t>
  </si>
  <si>
    <t>Manca Curriculum</t>
  </si>
  <si>
    <t>42222068 0005471</t>
  </si>
  <si>
    <t>01</t>
  </si>
  <si>
    <t>RO.DI.?</t>
  </si>
  <si>
    <t>Spesa inferiore a 516euro</t>
  </si>
  <si>
    <t>spesa non direttamente riconducibile al progetto</t>
  </si>
  <si>
    <t>inizio</t>
  </si>
  <si>
    <t>fine</t>
  </si>
  <si>
    <t>CONTRIBUTO=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</si>
  <si>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</si>
  <si>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</si>
  <si>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</si>
  <si>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</si>
  <si>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</si>
  <si>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</si>
  <si>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</si>
  <si>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STATO DELLA DOCUMENTAZIONE ALLEGATA ALLA RICHIESTA DI EROGAZIONE ULTIMO SAL</t>
  </si>
  <si>
    <t>DOMANDA DI AGEVOLAZIONE</t>
  </si>
  <si>
    <t>ok</t>
  </si>
  <si>
    <t>COMPLETEZZA DELLA DOCUMENTAZIONE DI RENDICONTAZIONE</t>
  </si>
  <si>
    <t>IVA ESPOSTA</t>
  </si>
  <si>
    <t>DICHIARAZIONE DI ESENZIONE DALLA RITENUTA D’ACCONTO DEL 4% PREVISTA DALL’ART. 28, SECONDO COMMA, DPR 600/73</t>
  </si>
  <si>
    <t xml:space="preserve">ESENTE </t>
  </si>
  <si>
    <t>NOTE</t>
  </si>
  <si>
    <t>DATE</t>
  </si>
  <si>
    <t>ISTRUTTORI</t>
  </si>
  <si>
    <t>FIRME</t>
  </si>
  <si>
    <t>VI</t>
  </si>
  <si>
    <t>Analisi e validazione servizi SUEP ed analisi siti Ordini Provinciali Ingegneri</t>
  </si>
  <si>
    <t>04/2006</t>
  </si>
  <si>
    <t>Bonifico Bancapulia</t>
  </si>
  <si>
    <t>Servizi redazionali e produzione di articoli, redazionali, dossier ed altri contenuti informativi</t>
  </si>
  <si>
    <t>IL TASTO SRL</t>
  </si>
  <si>
    <t>61/06</t>
  </si>
  <si>
    <t>Assegni circolari Bancapulia</t>
  </si>
  <si>
    <t>Analisi ambiente CSCW</t>
  </si>
  <si>
    <t>MANCIULLI MIRCO</t>
  </si>
  <si>
    <t>11/06</t>
  </si>
  <si>
    <t>Bonifico Bancario Bancapulia</t>
  </si>
  <si>
    <t>Analisi e progettazione templates organizzitivi e regolamentari per gestione Virtual Teams e IPR</t>
  </si>
  <si>
    <t>12/06</t>
  </si>
  <si>
    <t>Assegno circolare Bancapulia</t>
  </si>
  <si>
    <t>Estratto Conto ELIOS TOURS per missione AMBURGO</t>
  </si>
  <si>
    <t>Bonifici BancApulia</t>
  </si>
  <si>
    <t>Estratto Conto ELIOS TOURS per missioni PISA e MILANO</t>
  </si>
  <si>
    <t>31/03/2006 - 15/04/2006</t>
  </si>
  <si>
    <t>2006T000330416</t>
  </si>
  <si>
    <t>2006T00529732</t>
  </si>
  <si>
    <t>Abbonamento banca dati Infoleges 12 mesi per 2.500 utenze contemporanee</t>
  </si>
  <si>
    <t>Università Roma La Sapienza - Citicord</t>
  </si>
  <si>
    <t>Bonfico Bancapulia</t>
  </si>
  <si>
    <t>35 persone</t>
  </si>
  <si>
    <t>Consulenza informatica relativa alla progettazione del sistema di Information retrivial knoledge-based</t>
  </si>
  <si>
    <t>Bonifico Bpp</t>
  </si>
  <si>
    <t>Consulenza informatica relativa alla progettazione del sistema d Information retrivial knoledge-based</t>
  </si>
  <si>
    <t xml:space="preserve">Bonifico Carige  </t>
  </si>
  <si>
    <t>Consulenzaper realizzazione e pubblicazione di corsi di e-learning sulla normativa antisismica</t>
  </si>
  <si>
    <t>Patrizia Corvaglia</t>
  </si>
  <si>
    <t>AB Bpp n. 002942504-03</t>
  </si>
  <si>
    <t>Definizione schemi di configurazione dei rapporti giuridico contrattuali scaturenti dal progetto e-VCN</t>
  </si>
  <si>
    <t>Alfredo Cacciapaglia</t>
  </si>
  <si>
    <t>AB Bpp n. 0029423873-10</t>
  </si>
  <si>
    <t>Attività svolta dall'Ing. Lombari nel periodo dal 10/10/05 al 30/06/05 in riferimento ai punti 1.1, 1.2, 1.3 e 1.4 del contratto stipulato in data 04/10/2004</t>
  </si>
  <si>
    <t>MTL</t>
  </si>
  <si>
    <t>n. 1 PCAcer PIV 3 Ghz 1GB</t>
  </si>
  <si>
    <t>8S00443959</t>
  </si>
  <si>
    <t>8S00268817</t>
  </si>
  <si>
    <t>Canone annuo di mantenimento per il domino ingpuglia.it dal 01/02/2006 al 31/01/2007</t>
  </si>
  <si>
    <t>2006T000160425</t>
  </si>
  <si>
    <t>2006T000368033</t>
  </si>
  <si>
    <t>2006T000568994</t>
  </si>
  <si>
    <t>8S00271665</t>
  </si>
  <si>
    <t>8S00267996</t>
  </si>
  <si>
    <t>8S00268904</t>
  </si>
  <si>
    <t>8S00270671</t>
  </si>
  <si>
    <t>8S00445093</t>
  </si>
  <si>
    <t>8S00446175</t>
  </si>
  <si>
    <t>A/18417</t>
  </si>
  <si>
    <t>AB Carige n. 253501819-12</t>
  </si>
  <si>
    <t>AB Bpp n. 0029410271-07</t>
  </si>
  <si>
    <t>AB Bpp n. 0029414505-03</t>
  </si>
  <si>
    <t>AB Carige n. 253503254-04</t>
  </si>
  <si>
    <t>AB Bpp  n. 0029426502-01</t>
  </si>
  <si>
    <t>Spese trasferta Amburgo</t>
  </si>
  <si>
    <t>Manciulli-Dervishi</t>
  </si>
  <si>
    <t>Carta sì aziendale</t>
  </si>
  <si>
    <t>Estratto conto Elios Tours trasferta Amburgo-biglietto aereo Dervishi</t>
  </si>
  <si>
    <t>Agenzia Elios Tour</t>
  </si>
  <si>
    <t>E/C 31/03/2006</t>
  </si>
  <si>
    <t>AB Bpp n. 0029414507-05</t>
  </si>
  <si>
    <t>Spese trasferta Bruxelles</t>
  </si>
  <si>
    <t>Manciulli</t>
  </si>
  <si>
    <t>Estratto conto Elios Tours trasferta Bruxelles -biglietto aereo Manciulli</t>
  </si>
  <si>
    <t>200620 31123276</t>
  </si>
  <si>
    <t>384006 093032</t>
  </si>
  <si>
    <t>7500840 61920215</t>
  </si>
  <si>
    <t>7500840 61920216</t>
  </si>
  <si>
    <t>7500840 61920217</t>
  </si>
  <si>
    <t>7500840 61920218</t>
  </si>
  <si>
    <t>7501003 51918869</t>
  </si>
  <si>
    <t>38400 6057779</t>
  </si>
  <si>
    <t>384006 057363</t>
  </si>
  <si>
    <t>SAL 6 - 01/03/06 - 30/06/06</t>
  </si>
  <si>
    <t>TOT SAL 6</t>
  </si>
  <si>
    <t xml:space="preserve"> eVCN</t>
  </si>
  <si>
    <t>PREVISTO</t>
  </si>
  <si>
    <t>RESIDUO</t>
  </si>
  <si>
    <t>CONTRIBUTO</t>
  </si>
  <si>
    <t>ATS</t>
  </si>
  <si>
    <t>ANTIMAFIA</t>
  </si>
  <si>
    <t>Federazione Ordini Ingegneri di Puglia</t>
  </si>
  <si>
    <t>Edinform SpA</t>
  </si>
  <si>
    <t>Manca dimostrazione incasso ass. circolare</t>
  </si>
  <si>
    <t>SAL 6</t>
  </si>
  <si>
    <r>
      <t xml:space="preserve">Assegno senza data. Fornire estr. banca </t>
    </r>
    <r>
      <rPr>
        <b/>
        <sz val="8"/>
        <rFont val="Arial"/>
        <family val="2"/>
      </rPr>
      <t>ok 18,09,06</t>
    </r>
  </si>
  <si>
    <r>
      <t xml:space="preserve">manca documento di appoggio </t>
    </r>
    <r>
      <rPr>
        <b/>
        <sz val="8"/>
        <rFont val="Arial"/>
        <family val="2"/>
      </rPr>
      <t>ok 18,09,06</t>
    </r>
  </si>
  <si>
    <r>
      <t xml:space="preserve">Fattura incompleta e manca dimostrazione di pagamento </t>
    </r>
    <r>
      <rPr>
        <b/>
        <sz val="8"/>
        <rFont val="Arial"/>
        <family val="2"/>
      </rPr>
      <t>ok 18,09,06 riconosciuta in VI sal</t>
    </r>
  </si>
  <si>
    <t>fattura rendicontata nel IV sal</t>
  </si>
  <si>
    <r>
      <t xml:space="preserve">Manca liberatoria </t>
    </r>
    <r>
      <rPr>
        <b/>
        <sz val="8"/>
        <rFont val="Arial"/>
        <family val="2"/>
      </rPr>
      <t>ok al III sal</t>
    </r>
  </si>
  <si>
    <r>
      <t xml:space="preserve">Manca contratto di consulenza, curriculum, relazione sulle attività svolte.
Manca dimostrazione pagamenti con estratto conto n.000086016812 banca Apulia Lecce. Mancano dicitura progetto. Manca timbro e firma su fattura. </t>
    </r>
    <r>
      <rPr>
        <b/>
        <sz val="8"/>
        <color indexed="8"/>
        <rFont val="Arial"/>
        <family val="2"/>
      </rPr>
      <t>Ok III sal</t>
    </r>
  </si>
  <si>
    <r>
      <t>Manca contratto di consulenza, curriculum, relazione sulle attività svolte. Manca copia dell'assegno o del bonifico bancario (c'è solo ricevuta di un prelievo). Manca dimostrazione pagamenti con estratto conto n.000086016812 banca Apulia Lecce. Mancano dicitura progetto. Manca timbrio e firma su fattura</t>
    </r>
    <r>
      <rPr>
        <b/>
        <sz val="8"/>
        <color indexed="8"/>
        <rFont val="Arial"/>
        <family val="2"/>
      </rPr>
      <t>Ok III sal</t>
    </r>
  </si>
  <si>
    <r>
      <t>Manca contratto di consulenza, curriculum, relazione sulle attività svolte. Manca copia dell'assegno o del bonifico bancario. Manca dimostrazione pagamenti con estratto conto n.000086016812 banca Apulia Lecce. Mancano dicitura progetto</t>
    </r>
    <r>
      <rPr>
        <b/>
        <sz val="8"/>
        <color indexed="8"/>
        <rFont val="Arial"/>
        <family val="2"/>
      </rPr>
      <t>Ok III sal</t>
    </r>
    <r>
      <rPr>
        <sz val="8"/>
        <color indexed="8"/>
        <rFont val="Arial"/>
        <family val="2"/>
      </rPr>
      <t>.</t>
    </r>
  </si>
  <si>
    <r>
      <t>Manca contratto di consulenza, curriculum, relazione sulle attività svolte. Manca dimostrazione pagamenti con estratto conto n.000086016812 banca Apulia Lecce. Mancano dicitura progetto.Manca timbro e firma sulla fattura</t>
    </r>
    <r>
      <rPr>
        <b/>
        <sz val="8"/>
        <color indexed="8"/>
        <rFont val="Arial"/>
        <family val="2"/>
      </rPr>
      <t>Ok III sal</t>
    </r>
  </si>
  <si>
    <r>
      <t>Manca contratto di consulenza, curriculum, relazione sulle attività svolte. Manca dimostrazione pagamenti con estratto conto n.000086016812 banca Apulia Lecce. Mancano dicitura progetto.</t>
    </r>
    <r>
      <rPr>
        <b/>
        <sz val="8"/>
        <color indexed="8"/>
        <rFont val="Arial"/>
        <family val="2"/>
      </rPr>
      <t>Ok III sal</t>
    </r>
  </si>
  <si>
    <r>
      <t>Manca contratto di consulenza, curriculum, relazione sulle attività svolte. Manca copia dell'assegno. Manca dimostrazione pagamenti con estratto conto n.000086016812 banca Apulia Lecce. Mancano dicitura progetto.</t>
    </r>
    <r>
      <rPr>
        <b/>
        <sz val="8"/>
        <color indexed="8"/>
        <rFont val="Arial"/>
        <family val="2"/>
      </rPr>
      <t>Ok III sal</t>
    </r>
  </si>
  <si>
    <t>Non ammesso pag, contante</t>
  </si>
  <si>
    <t>Dimostrazione di pagamento non sembra relativa alla fattura</t>
  </si>
  <si>
    <t>Manca contratto/ordine, timesheet, dim.pagamento.</t>
  </si>
  <si>
    <t>TOTALE</t>
  </si>
  <si>
    <t>%AVANZAM.</t>
  </si>
  <si>
    <t>COSTI</t>
  </si>
  <si>
    <t>DETTAGLIO SITUAZIONE SPESA ED EROGAZIONI</t>
  </si>
  <si>
    <t>FEDERAZIONE ORDINE INGEGNERI PUGLIA (CODICE 44)</t>
  </si>
  <si>
    <t>NOME PROGETTO: engineers Virtual Community Network.</t>
  </si>
  <si>
    <t>AMMISSIONE PROGETTO E IMPEGNO DI SPESA</t>
  </si>
  <si>
    <t>TOT SAL 7</t>
  </si>
  <si>
    <t>SAL 7</t>
  </si>
  <si>
    <t>SAL 7 - 01/07/06 - 31/10/06</t>
  </si>
  <si>
    <t>VII</t>
  </si>
  <si>
    <t xml:space="preserve">Studio e progettazione sistemi secutiry </t>
  </si>
  <si>
    <t>Ing. Hovi Roman Christian</t>
  </si>
  <si>
    <t>Assegno Circolare</t>
  </si>
  <si>
    <t>Consulenza servizio SUEP</t>
  </si>
  <si>
    <t>Geom. Raffaele Rizzo</t>
  </si>
  <si>
    <t>03/2006</t>
  </si>
  <si>
    <t>Studio analisi e verifica servizi scrivania condivisa</t>
  </si>
  <si>
    <t>25/2006</t>
  </si>
  <si>
    <t>Patrtecipazione a Conferenze e Convegni</t>
  </si>
  <si>
    <t>Estratto Conto</t>
  </si>
  <si>
    <t>4097, 64</t>
  </si>
  <si>
    <t>Rete mobuile GPRS/GSM</t>
  </si>
  <si>
    <t>WIND</t>
  </si>
  <si>
    <t>2006T0008001494</t>
  </si>
  <si>
    <t>RID</t>
  </si>
  <si>
    <t>470.96</t>
  </si>
  <si>
    <t>Consulenza tecnico -sistemistica per implementazione ed avvio Data Center</t>
  </si>
  <si>
    <t>Accordo servizi srl</t>
  </si>
  <si>
    <t>Licenza ewmeeting 25 utenti contemporanei</t>
  </si>
  <si>
    <t>E-works</t>
  </si>
  <si>
    <t>n. 1 FIREWALL SONICWALL PRO 5060C</t>
  </si>
  <si>
    <t>n. 2 APM6 Sempron 3200+512MB Linux AC2; n. 3 512MB Linux 400MHZ/PC3200 DDR DIMM C S3P</t>
  </si>
  <si>
    <t>n. 2 APM6 Sempron 3200+512 MBLinux AC2; n. 5 Schede PCI 10/100/1000 MBPS 32 DLI; n. 5 Schede PCI 10/100 MPS 32 BIT DLI</t>
  </si>
  <si>
    <t>n. 3 PL DL20RG4 P43.4/2MB 1GB 80GB HP; n. 1 Freehand 11 WIN FULL ITA ADB; n. 2 Photoshop CS2 9 WIN FULL ENG ADB</t>
  </si>
  <si>
    <t>2006T000751724</t>
  </si>
  <si>
    <t>2006T000865689</t>
  </si>
  <si>
    <t>8S00627599</t>
  </si>
  <si>
    <t>8S00832371</t>
  </si>
  <si>
    <t>8S01032034</t>
  </si>
  <si>
    <t>Lavori CED Ordine Ingegnri</t>
  </si>
  <si>
    <t>Simonetto Elettroimpianti Industrilali</t>
  </si>
  <si>
    <t>06-0468</t>
  </si>
  <si>
    <t>8S00630455</t>
  </si>
  <si>
    <t>8S00629557</t>
  </si>
  <si>
    <t>8S00627093</t>
  </si>
  <si>
    <t>8S00628076</t>
  </si>
  <si>
    <t>8S00835768</t>
  </si>
  <si>
    <t>8S00837334</t>
  </si>
  <si>
    <t>8S00832664</t>
  </si>
  <si>
    <t>8S00836197</t>
  </si>
  <si>
    <t>8S01034981</t>
  </si>
  <si>
    <t>8S01036229</t>
  </si>
  <si>
    <t>8S01034704</t>
  </si>
  <si>
    <t>A/38036</t>
  </si>
  <si>
    <t>A.B. Bpp n. 0029420835 02</t>
  </si>
  <si>
    <t>A/58718</t>
  </si>
  <si>
    <t>A.B. Carige n. 253506071 00</t>
  </si>
  <si>
    <t>A.B. Carige n. 253504395 01</t>
  </si>
  <si>
    <t>A.B. Bpp n. 0030801810 00</t>
  </si>
  <si>
    <t>A.B. Bpp n. 0030807631 10</t>
  </si>
  <si>
    <t>affitto locali 15/02/2006-14/09/2006</t>
  </si>
  <si>
    <t xml:space="preserve">AMMESSO </t>
  </si>
  <si>
    <t>ant</t>
  </si>
  <si>
    <t>VIII</t>
  </si>
  <si>
    <t>Consulting activies about security structures and procedures for e-VCN network infrastructure</t>
  </si>
  <si>
    <t>Invoice 30</t>
  </si>
  <si>
    <t>Per studio, analisi, verifica e validazione servizi studio virtuale portale www.ingpuglia.it</t>
  </si>
  <si>
    <t>31/2006</t>
  </si>
  <si>
    <t>29/12/06 - 15/02/07</t>
  </si>
  <si>
    <t>Assegni Circolari</t>
  </si>
  <si>
    <t>Consulenza specialistica</t>
  </si>
  <si>
    <t>Dott. Luca Cicinelli</t>
  </si>
  <si>
    <t>NC 01/2007</t>
  </si>
  <si>
    <t>Bonifico Bancario</t>
  </si>
  <si>
    <t>2° rata trimestrale come da Ordine del 9/2/06</t>
  </si>
  <si>
    <t>Il Tasto Srl</t>
  </si>
  <si>
    <t>92/06</t>
  </si>
  <si>
    <t>26 persone</t>
  </si>
  <si>
    <t xml:space="preserve">Bonifico Carige </t>
  </si>
  <si>
    <t>Consulenza per realizzazione e pubblicazione di corsi di e-learning sulla normativa antisismica</t>
  </si>
  <si>
    <t>AB Bpp n. 0030828921-06</t>
  </si>
  <si>
    <t>Bonifico  BPP</t>
  </si>
  <si>
    <t>Consulenza informatica relativa alla progettazione e sviluppo della base di conoscenza del portale</t>
  </si>
  <si>
    <t>Camtasia 4 + Snaglt 8</t>
  </si>
  <si>
    <t>Techsmith (Asknet AG)</t>
  </si>
  <si>
    <t>RE-0600641830</t>
  </si>
  <si>
    <t>Cartasi</t>
  </si>
  <si>
    <t>Apparecchiature Call-Center</t>
  </si>
  <si>
    <t>6820061114001605</t>
  </si>
  <si>
    <t>6820070114000871</t>
  </si>
  <si>
    <t>n. 1 HP UNIV RACK 10642 G2 PALLET R HP - N. 3 MOUSE OPTICAL SCROLL PS/2 WHIT NEO - N. 2 MOUSE SCROLL EASY USB WHITE NEO - N. 5 CAVO SERIALE NULL MODEM DB9 F/ MTS - N. 1 DVD (+R/-R) DOUBLE LAYER SLIM E YPI</t>
  </si>
  <si>
    <t>n. 2 HP 10642 G2 Sidepanel Kit</t>
  </si>
  <si>
    <t>n. 4 HP NC320T PCI EXP GIG SERVER A HP - n. 4 512MB ADV ECC PC2 4200 DDRII S HP</t>
  </si>
  <si>
    <t>n. 1 HP UNIV RACK 10642 G2 PALLET R HP</t>
  </si>
  <si>
    <t>n. 1 APM8 SEMPRON 3200+ 512MB DVD L AC2 - n. 1 DIMM DDR2-533MHZ 512MB C4 NOEC CRS - N. 1 APM8 SEMPRON 3200+ 512MB DVD X AC2</t>
  </si>
  <si>
    <t>N. 6 CAVO FIBRA LC-SC MULTIMODALE 2 NWC - N. 6 CAVO FIBRA LC-SC MULTIMODALE 3 NWC</t>
  </si>
  <si>
    <t>2006T001154781</t>
  </si>
  <si>
    <t>2007T000155407</t>
  </si>
  <si>
    <t>8S00066882</t>
  </si>
  <si>
    <t>Notebook ASUS W1762NUP (2)</t>
  </si>
  <si>
    <t>8S00067294</t>
  </si>
  <si>
    <t>8S00071492</t>
  </si>
  <si>
    <t>8S00071572</t>
  </si>
  <si>
    <t>8S00069724</t>
  </si>
  <si>
    <t>ENEL ENERGIA SPA</t>
  </si>
  <si>
    <t>A/976</t>
  </si>
  <si>
    <t>A.B. Carige n. 253509032 10</t>
  </si>
  <si>
    <t>A.B. BPP n. 0030813830 08</t>
  </si>
  <si>
    <t>A.B. Carige n. 253509150 11</t>
  </si>
  <si>
    <t>A.B. BNL n. 2117392690 10</t>
  </si>
  <si>
    <t>A.B. Carige n. 259172972 06</t>
  </si>
  <si>
    <t>Farrace Paolo (1)</t>
  </si>
  <si>
    <t>SAL 8 - 01/11/06 - 28/02/07</t>
  </si>
  <si>
    <t>TOT SAL 8</t>
  </si>
  <si>
    <t>SAL 8</t>
  </si>
  <si>
    <t>manca il contratto e dimostrazione di pagamento</t>
  </si>
  <si>
    <t>manca la dimostrazione del pagamento</t>
  </si>
  <si>
    <t>manca contratto/ordine</t>
  </si>
  <si>
    <t>manca la documentazione</t>
  </si>
  <si>
    <t>manca contratto</t>
  </si>
  <si>
    <t>750084 061920214</t>
  </si>
  <si>
    <t>384006 164374</t>
  </si>
  <si>
    <t>384006 163956</t>
  </si>
  <si>
    <t>384006 191878</t>
  </si>
  <si>
    <t>38400 6192294</t>
  </si>
  <si>
    <t>38400 7029561</t>
  </si>
  <si>
    <t>384007 029144</t>
  </si>
  <si>
    <t>2006203 2867479</t>
  </si>
  <si>
    <t>16 persone</t>
  </si>
  <si>
    <t>IX</t>
  </si>
  <si>
    <t>Bonifico  BNL</t>
  </si>
  <si>
    <t>Cacciapaglia Alfredo</t>
  </si>
  <si>
    <t>15/052007</t>
  </si>
  <si>
    <t>AB BPP 0030836418 02</t>
  </si>
  <si>
    <t>Corso privacy</t>
  </si>
  <si>
    <t>Studio SELT &amp; Associati Società cooperativa</t>
  </si>
  <si>
    <t>Verificare</t>
  </si>
  <si>
    <t>8S00268391</t>
  </si>
  <si>
    <t>8S00406068</t>
  </si>
  <si>
    <t>8S00571413</t>
  </si>
  <si>
    <t>2007T000351010</t>
  </si>
  <si>
    <t>2007T000551945</t>
  </si>
  <si>
    <t>2007T000761623</t>
  </si>
  <si>
    <t>8S00266462</t>
  </si>
  <si>
    <t>8S00266431</t>
  </si>
  <si>
    <t>8S00269982</t>
  </si>
  <si>
    <t>8S00269631</t>
  </si>
  <si>
    <t>8S00402896</t>
  </si>
  <si>
    <t>8S00403459</t>
  </si>
  <si>
    <t>8S00401980</t>
  </si>
  <si>
    <t>8S00405586</t>
  </si>
  <si>
    <t>8S00575160</t>
  </si>
  <si>
    <t>8S00573205</t>
  </si>
  <si>
    <t>8S00571878</t>
  </si>
  <si>
    <t>8S00575301</t>
  </si>
  <si>
    <t>ENEL DISTRIBUZIONE SPA</t>
  </si>
  <si>
    <t>2007 203 0623840</t>
  </si>
  <si>
    <t>2007 203 1126749</t>
  </si>
  <si>
    <t>A/18505</t>
  </si>
  <si>
    <t>A.B. BNL  2140381381 08</t>
  </si>
  <si>
    <t>A/38512</t>
  </si>
  <si>
    <t>A.B Carige. 262203797 11</t>
  </si>
  <si>
    <t>A.B BNL 2140381389 03</t>
  </si>
  <si>
    <t>A.B. BNL 2140384145 03</t>
  </si>
  <si>
    <t>Tecnoservizi srl</t>
  </si>
  <si>
    <t>A.B. Carige n. 259175480-05</t>
  </si>
  <si>
    <t>A.B. Carige n. 262203798-12</t>
  </si>
  <si>
    <t>Consulenza tecnica GTC</t>
  </si>
  <si>
    <t>Di Bari</t>
  </si>
  <si>
    <t>Di Donna</t>
  </si>
  <si>
    <t>Gorgoglione – SGM</t>
  </si>
  <si>
    <t>Elia</t>
  </si>
  <si>
    <t>2007T000306905</t>
  </si>
  <si>
    <t>2007T000505687</t>
  </si>
  <si>
    <t>14 persone</t>
  </si>
  <si>
    <t>1 – 2008</t>
  </si>
  <si>
    <t>2 – 08</t>
  </si>
  <si>
    <t>Sperimentazione  ingegneri</t>
  </si>
  <si>
    <t>74 sperimentatori</t>
  </si>
  <si>
    <t>dettaglio nella tabella consulenze sperimentatori</t>
  </si>
  <si>
    <t>Consulenza legale nel progetto e-VCN</t>
  </si>
  <si>
    <t>Lucia De Matteis</t>
  </si>
  <si>
    <t>ricevuta n.01</t>
  </si>
  <si>
    <t>redazione Banca Dati tecnico-normativa</t>
  </si>
  <si>
    <t>Atena</t>
  </si>
  <si>
    <t>n. 25</t>
  </si>
  <si>
    <t>Nota di credito con storno di  € 70.000 + IVA</t>
  </si>
  <si>
    <t>27/06/2008 08/08/2008</t>
  </si>
  <si>
    <t>bonifico Carige
bonifico BPP</t>
  </si>
  <si>
    <t>realiz. contenuti schede base di conoscenza  tecnico-normativa</t>
  </si>
  <si>
    <t>Sanna Mauro</t>
  </si>
  <si>
    <t>notula</t>
  </si>
  <si>
    <t>26/06/2008  08/08/2008</t>
  </si>
  <si>
    <t>collaborazione editoriale per la redazione della banca dati tecnico normativa</t>
  </si>
  <si>
    <t>Sanna Cecilia</t>
  </si>
  <si>
    <t>Rizzuto Marco</t>
  </si>
  <si>
    <t>Felici Rino</t>
  </si>
  <si>
    <t>Cessione diritti d'autore</t>
  </si>
  <si>
    <t>Baldassarre</t>
  </si>
  <si>
    <t>n.81</t>
  </si>
  <si>
    <t>Newsletter su appalti,ambiente  e sicurezza</t>
  </si>
  <si>
    <t>Sole24Ore Editrice</t>
  </si>
  <si>
    <t>AC060039</t>
  </si>
  <si>
    <t>02/07/2008 12/08/2008</t>
  </si>
  <si>
    <t>bonifico Carige bonifico BPP</t>
  </si>
  <si>
    <t>Servizio di assistenza canone annuo ew2   25 utenti contemporanei</t>
  </si>
  <si>
    <t>canone assistenza annuo ew2</t>
  </si>
  <si>
    <t>Contributo anno2007- servizio di internet service provider (ISP)</t>
  </si>
  <si>
    <t>Tesoreria Prov.le dello stato di Viterbo</t>
  </si>
  <si>
    <t>Canone annuo  di mantenimento per il dominio del portale Ingegneri</t>
  </si>
  <si>
    <t>Register</t>
  </si>
  <si>
    <t>cartasì</t>
  </si>
  <si>
    <t>SHARP MX 3501 N</t>
  </si>
  <si>
    <t xml:space="preserve">Copy Center </t>
  </si>
  <si>
    <t>1566/H</t>
  </si>
  <si>
    <t>19/06/2007 
 10/09/2007  19/11/2007  31/01/2008  15/04/2008</t>
  </si>
  <si>
    <t xml:space="preserve"> assegno BNL 2140391361-04 assegno BPP 0030849990 assegno carige 262207144 assegno carige 264700412-02 assegno BPP 0032444133-07 </t>
  </si>
  <si>
    <t>n.1 ML150G3 X 2000 4MB SATA 512MB HOT HP;n.1 DUAL-CORE XEON 5130 2.OGHZ;n.2 4GB FBD PC2-5300 2 X2 GB KIT;n.2 80GB HOT PLUG SATA ML 110 SATA HP;n.4 250GB HOT PLUG SATA ML 110 SATA HP</t>
  </si>
  <si>
    <t>esprinet</t>
  </si>
  <si>
    <t>2/310959</t>
  </si>
  <si>
    <t>ricevuta bancaria BPP</t>
  </si>
  <si>
    <t>Alice Business 20M Adaptive 256 F</t>
  </si>
  <si>
    <t>8S00789471</t>
  </si>
  <si>
    <t>8S00938960</t>
  </si>
  <si>
    <t>8S51155120</t>
  </si>
  <si>
    <t>Manut. Sistema Win Win Paxb Alcatel</t>
  </si>
  <si>
    <t>8S51157244</t>
  </si>
  <si>
    <t>2007T000976759</t>
  </si>
  <si>
    <t>2007T001197408</t>
  </si>
  <si>
    <t>2008T000181665</t>
  </si>
  <si>
    <t>19/032008</t>
  </si>
  <si>
    <t>n.2 1GB UB PC2-5300 1X1GB KIT 432804-B21</t>
  </si>
  <si>
    <t>ePRICE</t>
  </si>
  <si>
    <t>D07916</t>
  </si>
  <si>
    <t>n.1X3650 ES XEON QC  2GHZ 8MB 2X1GB OBAY SAS 3YR S/N KDGHXLY;n.1 2GB (2X1GB) PC2-5300 CL5 ECC DDR2FBDIMM;n.2 4GB (2X2GB) PC2-5300 CL5 ECC DDR2 FBDIMM;n.2 DISCO 73GB 15K H/S  SAS (3.5) HDD;n.4DISCO 146GB 15K H/S SAS (3.5) HDD; n.1SERVERAID-8K SAS CONTROLLE</t>
  </si>
  <si>
    <t>Computer GROSS</t>
  </si>
  <si>
    <t>E/70 191</t>
  </si>
  <si>
    <t>05/11/2007- 05/12/2007</t>
  </si>
  <si>
    <t>60718 5010</t>
  </si>
  <si>
    <t>8S00788823</t>
  </si>
  <si>
    <t>8S00788521</t>
  </si>
  <si>
    <t>8S00789228</t>
  </si>
  <si>
    <t>8S00786719</t>
  </si>
  <si>
    <t>8S00938515</t>
  </si>
  <si>
    <t>8S00935994</t>
  </si>
  <si>
    <t>8S00937900</t>
  </si>
  <si>
    <t>8S00936792</t>
  </si>
  <si>
    <t>8S51153658</t>
  </si>
  <si>
    <t>8S51156898</t>
  </si>
  <si>
    <t>8S51156182</t>
  </si>
  <si>
    <t>2007 203 2442643</t>
  </si>
  <si>
    <t>2007 203 3160095</t>
  </si>
  <si>
    <t>A/62085</t>
  </si>
  <si>
    <t>A.B. BPP  0031845431 07</t>
  </si>
  <si>
    <t>Tecnoservizi sul</t>
  </si>
  <si>
    <t>A.B BPP 0030853130 09</t>
  </si>
  <si>
    <t>A.B. BPP 0030853850 01</t>
  </si>
  <si>
    <t>A.B. Carige n. 262207147 07</t>
  </si>
  <si>
    <t>A.B. Carige n. 264699652 09</t>
  </si>
  <si>
    <t>A.B. Carige n. 264700413 03</t>
  </si>
  <si>
    <t>SAL 9 - 01/03/07 - 29/02/08</t>
  </si>
  <si>
    <t>TOT SAL 9</t>
  </si>
  <si>
    <t>SAL 9</t>
  </si>
  <si>
    <t>02262000751</t>
  </si>
  <si>
    <t>progetto di 36 + 6 + 6 mesi</t>
  </si>
  <si>
    <t>,</t>
  </si>
  <si>
    <t>Massimo liquidabile 95%</t>
  </si>
  <si>
    <t>Saldo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</si>
</sst>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&quot;€&quot;\ #,##0.00;[Red]&quot;€&quot;\ #,##0.00"/>
    <numFmt numFmtId="175" formatCode="#,##0.0000"/>
    <numFmt numFmtId="176" formatCode="[$-410]dddd\ d\ mmmm\ yyyy"/>
    <numFmt numFmtId="177" formatCode="#,##0.00;[Red]#,##0.00"/>
    <numFmt numFmtId="178" formatCode="#,##0.000"/>
    <numFmt numFmtId="179" formatCode="&quot; € &quot;#,##0.00\ ;&quot;-€ &quot;#,##0.00\ ;&quot; € -&quot;#\ ;@\ "/>
    <numFmt numFmtId="180" formatCode="#,##0.00\ ;\-#,##0.00\ ;&quot; - &quot;;@\ "/>
    <numFmt numFmtId="181" formatCode="#,##0\ ;\-#,##0\ ;&quot; - &quot;;@\ "/>
    <numFmt numFmtId="182" formatCode="[$€     -410]\ #,##0.00;\-[$€     -410]\ #,##0.00"/>
    <numFmt numFmtId="183" formatCode="[$€       -410]\ #,##0.00;\-[$€       -410]\ #,##0.00"/>
    <numFmt numFmtId="184" formatCode="[$€         -410]\ #,##0.00;\-[$€         -410]\ #,##0.00"/>
    <numFmt numFmtId="185" formatCode="[$€          -410]\ #,##0.00;\-[$€          -410]\ #,##0.00"/>
    <numFmt numFmtId="186" formatCode="[$€             -410]\ #,##0.00;\-[$€             -410]\ #,##0.00"/>
    <numFmt numFmtId="187" formatCode="[$€              -410]\ #,##0.00;\-[$€             -410]\ #,##0.00"/>
    <numFmt numFmtId="188" formatCode="_-&quot;€ &quot;* #,##0.00_-;&quot;-€ &quot;* #,##0.00_-;_-&quot;€ &quot;* \-??_-;_-@_-"/>
  </numFmts>
  <fonts count="24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i/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right" wrapText="1"/>
    </xf>
    <xf numFmtId="170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justify" wrapText="1"/>
    </xf>
    <xf numFmtId="171" fontId="3" fillId="2" borderId="2" xfId="19" applyNumberFormat="1" applyFont="1" applyFill="1" applyBorder="1" applyAlignment="1">
      <alignment horizontal="right"/>
    </xf>
    <xf numFmtId="171" fontId="3" fillId="0" borderId="2" xfId="19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6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3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 applyProtection="1">
      <alignment horizontal="right"/>
      <protection/>
    </xf>
    <xf numFmtId="4" fontId="1" fillId="3" borderId="12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" fillId="3" borderId="2" xfId="0" applyNumberFormat="1" applyFont="1" applyFill="1" applyBorder="1" applyAlignment="1">
      <alignment horizontal="center"/>
    </xf>
    <xf numFmtId="4" fontId="4" fillId="0" borderId="6" xfId="0" applyNumberFormat="1" applyFont="1" applyBorder="1" applyAlignment="1" applyProtection="1">
      <alignment horizontal="right"/>
      <protection/>
    </xf>
    <xf numFmtId="4" fontId="4" fillId="0" borderId="8" xfId="0" applyNumberFormat="1" applyFont="1" applyBorder="1" applyAlignment="1" applyProtection="1">
      <alignment horizontal="right"/>
      <protection/>
    </xf>
    <xf numFmtId="4" fontId="1" fillId="0" borderId="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1" fillId="0" borderId="6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2" xfId="0" applyFont="1" applyBorder="1" applyAlignment="1">
      <alignment wrapText="1"/>
    </xf>
    <xf numFmtId="4" fontId="13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3" fillId="0" borderId="2" xfId="0" applyNumberFormat="1" applyFont="1" applyFill="1" applyBorder="1" applyAlignment="1">
      <alignment wrapText="1"/>
    </xf>
    <xf numFmtId="177" fontId="3" fillId="0" borderId="2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2" xfId="0" applyNumberFormat="1" applyFont="1" applyFill="1" applyBorder="1" applyAlignment="1">
      <alignment/>
    </xf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right"/>
    </xf>
    <xf numFmtId="0" fontId="3" fillId="0" borderId="2" xfId="0" applyFont="1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2" xfId="0" applyFont="1" applyBorder="1" applyAlignment="1">
      <alignment/>
    </xf>
    <xf numFmtId="4" fontId="13" fillId="0" borderId="2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 horizontal="left"/>
    </xf>
    <xf numFmtId="14" fontId="3" fillId="0" borderId="5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right"/>
    </xf>
    <xf numFmtId="14" fontId="15" fillId="0" borderId="5" xfId="0" applyNumberFormat="1" applyFont="1" applyFill="1" applyBorder="1" applyAlignment="1">
      <alignment horizontal="center" wrapText="1"/>
    </xf>
    <xf numFmtId="172" fontId="15" fillId="0" borderId="2" xfId="17" applyNumberFormat="1" applyFont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right"/>
    </xf>
    <xf numFmtId="172" fontId="3" fillId="0" borderId="2" xfId="17" applyNumberFormat="1" applyFont="1" applyBorder="1" applyAlignment="1">
      <alignment horizontal="right"/>
    </xf>
    <xf numFmtId="14" fontId="3" fillId="0" borderId="2" xfId="0" applyNumberFormat="1" applyFont="1" applyFill="1" applyBorder="1" applyAlignment="1">
      <alignment horizontal="right"/>
    </xf>
    <xf numFmtId="172" fontId="3" fillId="0" borderId="2" xfId="17" applyNumberFormat="1" applyFont="1" applyFill="1" applyBorder="1" applyAlignment="1">
      <alignment horizontal="right"/>
    </xf>
    <xf numFmtId="0" fontId="3" fillId="0" borderId="7" xfId="0" applyFont="1" applyBorder="1" applyAlignment="1">
      <alignment wrapText="1"/>
    </xf>
    <xf numFmtId="4" fontId="3" fillId="0" borderId="2" xfId="0" applyNumberFormat="1" applyFont="1" applyBorder="1" applyAlignment="1">
      <alignment horizontal="right"/>
    </xf>
    <xf numFmtId="170" fontId="3" fillId="0" borderId="2" xfId="0" applyNumberFormat="1" applyFont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/>
    </xf>
    <xf numFmtId="14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4" fontId="3" fillId="0" borderId="2" xfId="0" applyNumberFormat="1" applyFont="1" applyFill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4" fontId="1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 quotePrefix="1">
      <alignment horizontal="right"/>
    </xf>
    <xf numFmtId="0" fontId="3" fillId="0" borderId="2" xfId="0" applyFont="1" applyFill="1" applyBorder="1" applyAlignment="1">
      <alignment horizontal="left"/>
    </xf>
    <xf numFmtId="17" fontId="3" fillId="0" borderId="2" xfId="0" applyNumberFormat="1" applyFont="1" applyBorder="1" applyAlignment="1" quotePrefix="1">
      <alignment horizontal="right"/>
    </xf>
    <xf numFmtId="0" fontId="3" fillId="0" borderId="2" xfId="0" applyFont="1" applyFill="1" applyBorder="1" applyAlignment="1" quotePrefix="1">
      <alignment horizontal="right"/>
    </xf>
    <xf numFmtId="49" fontId="3" fillId="0" borderId="5" xfId="0" applyNumberFormat="1" applyFont="1" applyFill="1" applyBorder="1" applyAlignment="1" quotePrefix="1">
      <alignment horizontal="right"/>
    </xf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/>
    </xf>
    <xf numFmtId="0" fontId="3" fillId="0" borderId="2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/>
    </xf>
    <xf numFmtId="14" fontId="3" fillId="0" borderId="2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/>
    </xf>
    <xf numFmtId="171" fontId="3" fillId="0" borderId="2" xfId="19" applyNumberFormat="1" applyFont="1" applyFill="1" applyBorder="1" applyAlignment="1">
      <alignment horizontal="right"/>
    </xf>
    <xf numFmtId="14" fontId="3" fillId="0" borderId="2" xfId="0" applyNumberFormat="1" applyFont="1" applyFill="1" applyBorder="1" applyAlignment="1">
      <alignment horizontal="left" wrapText="1"/>
    </xf>
    <xf numFmtId="4" fontId="3" fillId="0" borderId="2" xfId="0" applyNumberFormat="1" applyFont="1" applyBorder="1" applyAlignment="1">
      <alignment wrapText="1"/>
    </xf>
    <xf numFmtId="9" fontId="10" fillId="0" borderId="0" xfId="0" applyNumberFormat="1" applyFont="1" applyBorder="1" applyAlignment="1">
      <alignment horizontal="center"/>
    </xf>
    <xf numFmtId="9" fontId="10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3" fillId="0" borderId="2" xfId="0" applyFont="1" applyBorder="1" applyAlignment="1" quotePrefix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quotePrefix="1">
      <alignment horizontal="right"/>
    </xf>
    <xf numFmtId="14" fontId="3" fillId="0" borderId="1" xfId="0" applyNumberFormat="1" applyFont="1" applyFill="1" applyBorder="1" applyAlignment="1">
      <alignment horizontal="right"/>
    </xf>
    <xf numFmtId="172" fontId="3" fillId="0" borderId="1" xfId="17" applyNumberFormat="1" applyFont="1" applyFill="1" applyBorder="1" applyAlignment="1">
      <alignment horizontal="right"/>
    </xf>
    <xf numFmtId="4" fontId="13" fillId="0" borderId="3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1" xfId="0" applyFont="1" applyFill="1" applyBorder="1" applyAlignment="1">
      <alignment horizontal="right"/>
    </xf>
    <xf numFmtId="0" fontId="3" fillId="0" borderId="2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5" xfId="0" applyFont="1" applyBorder="1" applyAlignment="1">
      <alignment/>
    </xf>
    <xf numFmtId="4" fontId="8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>
      <alignment/>
    </xf>
    <xf numFmtId="0" fontId="5" fillId="0" borderId="8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2" fillId="0" borderId="5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left" wrapText="1"/>
    </xf>
    <xf numFmtId="0" fontId="3" fillId="0" borderId="7" xfId="0" applyFont="1" applyBorder="1" applyAlignment="1">
      <alignment horizontal="justify" vertical="top" wrapText="1"/>
    </xf>
    <xf numFmtId="49" fontId="3" fillId="2" borderId="5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 vertical="top" wrapText="1"/>
    </xf>
    <xf numFmtId="44" fontId="3" fillId="0" borderId="2" xfId="17" applyFont="1" applyBorder="1" applyAlignment="1">
      <alignment/>
    </xf>
    <xf numFmtId="0" fontId="3" fillId="0" borderId="2" xfId="0" applyFont="1" applyFill="1" applyBorder="1" applyAlignment="1">
      <alignment vertical="top"/>
    </xf>
    <xf numFmtId="41" fontId="3" fillId="0" borderId="2" xfId="19" applyFont="1" applyBorder="1" applyAlignment="1">
      <alignment/>
    </xf>
    <xf numFmtId="41" fontId="3" fillId="0" borderId="2" xfId="19" applyFont="1" applyFill="1" applyBorder="1" applyAlignment="1">
      <alignment/>
    </xf>
    <xf numFmtId="14" fontId="3" fillId="0" borderId="2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3" fillId="0" borderId="2" xfId="0" applyFont="1" applyFill="1" applyBorder="1" applyAlignment="1" quotePrefix="1">
      <alignment horizontal="center"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horizontal="center"/>
    </xf>
    <xf numFmtId="14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/>
    </xf>
    <xf numFmtId="17" fontId="17" fillId="0" borderId="2" xfId="0" applyNumberFormat="1" applyFont="1" applyBorder="1" applyAlignment="1" quotePrefix="1">
      <alignment horizontal="center"/>
    </xf>
    <xf numFmtId="17" fontId="17" fillId="0" borderId="2" xfId="0" applyNumberFormat="1" applyFont="1" applyBorder="1" applyAlignment="1">
      <alignment/>
    </xf>
    <xf numFmtId="0" fontId="17" fillId="0" borderId="2" xfId="0" applyFont="1" applyFill="1" applyBorder="1" applyAlignment="1" quotePrefix="1">
      <alignment horizontal="center"/>
    </xf>
    <xf numFmtId="14" fontId="3" fillId="0" borderId="2" xfId="0" applyNumberFormat="1" applyFont="1" applyFill="1" applyBorder="1" applyAlignment="1">
      <alignment horizontal="center" wrapText="1"/>
    </xf>
    <xf numFmtId="0" fontId="9" fillId="4" borderId="0" xfId="0" applyFont="1" applyFill="1" applyBorder="1" applyAlignment="1">
      <alignment/>
    </xf>
    <xf numFmtId="0" fontId="8" fillId="4" borderId="2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right"/>
      <protection/>
    </xf>
    <xf numFmtId="4" fontId="5" fillId="4" borderId="4" xfId="0" applyNumberFormat="1" applyFont="1" applyFill="1" applyBorder="1" applyAlignment="1" applyProtection="1">
      <alignment horizontal="right"/>
      <protection/>
    </xf>
    <xf numFmtId="4" fontId="7" fillId="4" borderId="4" xfId="0" applyNumberFormat="1" applyFont="1" applyFill="1" applyBorder="1" applyAlignment="1" applyProtection="1">
      <alignment horizontal="right"/>
      <protection/>
    </xf>
    <xf numFmtId="4" fontId="3" fillId="4" borderId="2" xfId="0" applyNumberFormat="1" applyFont="1" applyFill="1" applyBorder="1" applyAlignment="1">
      <alignment/>
    </xf>
    <xf numFmtId="4" fontId="3" fillId="4" borderId="2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4" fontId="4" fillId="4" borderId="2" xfId="0" applyNumberFormat="1" applyFont="1" applyFill="1" applyBorder="1" applyAlignment="1" applyProtection="1">
      <alignment horizontal="right"/>
      <protection/>
    </xf>
    <xf numFmtId="4" fontId="5" fillId="4" borderId="2" xfId="0" applyNumberFormat="1" applyFont="1" applyFill="1" applyBorder="1" applyAlignment="1" applyProtection="1">
      <alignment horizontal="right"/>
      <protection/>
    </xf>
    <xf numFmtId="4" fontId="7" fillId="4" borderId="2" xfId="0" applyNumberFormat="1" applyFont="1" applyFill="1" applyBorder="1" applyAlignment="1" applyProtection="1">
      <alignment horizontal="right"/>
      <protection/>
    </xf>
    <xf numFmtId="172" fontId="15" fillId="4" borderId="2" xfId="17" applyNumberFormat="1" applyFont="1" applyFill="1" applyBorder="1" applyAlignment="1">
      <alignment/>
    </xf>
    <xf numFmtId="172" fontId="3" fillId="4" borderId="2" xfId="17" applyNumberFormat="1" applyFont="1" applyFill="1" applyBorder="1" applyAlignment="1">
      <alignment horizontal="right"/>
    </xf>
    <xf numFmtId="44" fontId="3" fillId="4" borderId="2" xfId="17" applyFont="1" applyFill="1" applyBorder="1" applyAlignment="1">
      <alignment/>
    </xf>
    <xf numFmtId="4" fontId="4" fillId="4" borderId="10" xfId="0" applyNumberFormat="1" applyFont="1" applyFill="1" applyBorder="1" applyAlignment="1" applyProtection="1">
      <alignment horizontal="right"/>
      <protection/>
    </xf>
    <xf numFmtId="170" fontId="3" fillId="4" borderId="2" xfId="0" applyNumberFormat="1" applyFont="1" applyFill="1" applyBorder="1" applyAlignment="1">
      <alignment/>
    </xf>
    <xf numFmtId="170" fontId="3" fillId="4" borderId="2" xfId="0" applyNumberFormat="1" applyFont="1" applyFill="1" applyBorder="1" applyAlignment="1">
      <alignment horizontal="right"/>
    </xf>
    <xf numFmtId="171" fontId="3" fillId="4" borderId="2" xfId="19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41" fontId="3" fillId="4" borderId="2" xfId="19" applyFont="1" applyFill="1" applyBorder="1" applyAlignment="1">
      <alignment/>
    </xf>
    <xf numFmtId="2" fontId="3" fillId="4" borderId="2" xfId="0" applyNumberFormat="1" applyFont="1" applyFill="1" applyBorder="1" applyAlignment="1">
      <alignment/>
    </xf>
    <xf numFmtId="4" fontId="9" fillId="4" borderId="2" xfId="0" applyNumberFormat="1" applyFont="1" applyFill="1" applyBorder="1" applyAlignment="1">
      <alignment/>
    </xf>
    <xf numFmtId="0" fontId="1" fillId="4" borderId="4" xfId="0" applyFont="1" applyFill="1" applyBorder="1" applyAlignment="1">
      <alignment horizontal="left"/>
    </xf>
    <xf numFmtId="4" fontId="4" fillId="4" borderId="0" xfId="0" applyNumberFormat="1" applyFont="1" applyFill="1" applyBorder="1" applyAlignment="1" applyProtection="1">
      <alignment vertical="top" wrapText="1"/>
      <protection locked="0"/>
    </xf>
    <xf numFmtId="4" fontId="5" fillId="4" borderId="2" xfId="0" applyNumberFormat="1" applyFont="1" applyFill="1" applyBorder="1" applyAlignment="1">
      <alignment/>
    </xf>
    <xf numFmtId="4" fontId="7" fillId="4" borderId="2" xfId="0" applyNumberFormat="1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/>
    </xf>
    <xf numFmtId="4" fontId="13" fillId="4" borderId="2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/>
    </xf>
    <xf numFmtId="4" fontId="3" fillId="4" borderId="2" xfId="0" applyNumberFormat="1" applyFont="1" applyFill="1" applyBorder="1" applyAlignment="1">
      <alignment wrapText="1"/>
    </xf>
    <xf numFmtId="4" fontId="15" fillId="4" borderId="2" xfId="0" applyNumberFormat="1" applyFont="1" applyFill="1" applyBorder="1" applyAlignment="1">
      <alignment/>
    </xf>
    <xf numFmtId="0" fontId="8" fillId="4" borderId="3" xfId="0" applyFont="1" applyFill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/>
    </xf>
    <xf numFmtId="4" fontId="13" fillId="4" borderId="7" xfId="0" applyNumberFormat="1" applyFont="1" applyFill="1" applyBorder="1" applyAlignment="1">
      <alignment wrapText="1"/>
    </xf>
    <xf numFmtId="4" fontId="13" fillId="4" borderId="17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/>
    </xf>
    <xf numFmtId="4" fontId="3" fillId="4" borderId="7" xfId="0" applyNumberFormat="1" applyFont="1" applyFill="1" applyBorder="1" applyAlignment="1">
      <alignment wrapText="1"/>
    </xf>
    <xf numFmtId="4" fontId="5" fillId="4" borderId="5" xfId="0" applyNumberFormat="1" applyFont="1" applyFill="1" applyBorder="1" applyAlignment="1">
      <alignment/>
    </xf>
    <xf numFmtId="4" fontId="5" fillId="4" borderId="0" xfId="0" applyNumberFormat="1" applyFont="1" applyFill="1" applyBorder="1" applyAlignment="1">
      <alignment/>
    </xf>
    <xf numFmtId="177" fontId="3" fillId="4" borderId="2" xfId="0" applyNumberFormat="1" applyFont="1" applyFill="1" applyBorder="1" applyAlignment="1">
      <alignment horizontal="right"/>
    </xf>
    <xf numFmtId="177" fontId="3" fillId="4" borderId="7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2" xfId="0" applyFont="1" applyBorder="1" applyAlignment="1">
      <alignment horizontal="center" textRotation="90"/>
    </xf>
    <xf numFmtId="4" fontId="3" fillId="0" borderId="7" xfId="0" applyNumberFormat="1" applyFont="1" applyFill="1" applyBorder="1" applyAlignment="1">
      <alignment/>
    </xf>
    <xf numFmtId="4" fontId="9" fillId="4" borderId="0" xfId="0" applyNumberFormat="1" applyFont="1" applyFill="1" applyBorder="1" applyAlignment="1">
      <alignment/>
    </xf>
    <xf numFmtId="4" fontId="1" fillId="4" borderId="5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8" xfId="0" applyFont="1" applyFill="1" applyBorder="1" applyAlignment="1">
      <alignment wrapText="1"/>
    </xf>
    <xf numFmtId="49" fontId="3" fillId="0" borderId="19" xfId="0" applyNumberFormat="1" applyFont="1" applyFill="1" applyBorder="1" applyAlignment="1" quotePrefix="1">
      <alignment horizontal="center" wrapText="1"/>
    </xf>
    <xf numFmtId="14" fontId="3" fillId="0" borderId="19" xfId="0" applyNumberFormat="1" applyFont="1" applyFill="1" applyBorder="1" applyAlignment="1">
      <alignment horizontal="center" wrapText="1"/>
    </xf>
    <xf numFmtId="4" fontId="3" fillId="0" borderId="2" xfId="17" applyNumberFormat="1" applyFont="1" applyBorder="1" applyAlignment="1">
      <alignment/>
    </xf>
    <xf numFmtId="4" fontId="3" fillId="4" borderId="2" xfId="17" applyNumberFormat="1" applyFont="1" applyFill="1" applyBorder="1" applyAlignment="1">
      <alignment/>
    </xf>
    <xf numFmtId="4" fontId="3" fillId="0" borderId="2" xfId="17" applyNumberFormat="1" applyFont="1" applyFill="1" applyBorder="1" applyAlignment="1">
      <alignment/>
    </xf>
    <xf numFmtId="4" fontId="17" fillId="0" borderId="2" xfId="17" applyNumberFormat="1" applyFont="1" applyBorder="1" applyAlignment="1">
      <alignment/>
    </xf>
    <xf numFmtId="4" fontId="17" fillId="4" borderId="2" xfId="17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4" fontId="17" fillId="4" borderId="0" xfId="0" applyNumberFormat="1" applyFont="1" applyFill="1" applyAlignment="1">
      <alignment/>
    </xf>
    <xf numFmtId="4" fontId="17" fillId="0" borderId="2" xfId="17" applyNumberFormat="1" applyFont="1" applyFill="1" applyBorder="1" applyAlignment="1">
      <alignment/>
    </xf>
    <xf numFmtId="4" fontId="3" fillId="0" borderId="18" xfId="17" applyNumberFormat="1" applyFont="1" applyFill="1" applyBorder="1" applyAlignment="1" applyProtection="1">
      <alignment wrapText="1"/>
      <protection/>
    </xf>
    <xf numFmtId="180" fontId="3" fillId="0" borderId="2" xfId="19" applyNumberFormat="1" applyFont="1" applyFill="1" applyBorder="1" applyAlignment="1" applyProtection="1">
      <alignment/>
      <protection/>
    </xf>
    <xf numFmtId="41" fontId="3" fillId="0" borderId="2" xfId="19" applyFont="1" applyFill="1" applyBorder="1" applyAlignment="1" applyProtection="1">
      <alignment/>
      <protection/>
    </xf>
    <xf numFmtId="0" fontId="3" fillId="0" borderId="20" xfId="0" applyFont="1" applyFill="1" applyBorder="1" applyAlignment="1">
      <alignment wrapText="1"/>
    </xf>
    <xf numFmtId="14" fontId="3" fillId="0" borderId="21" xfId="0" applyNumberFormat="1" applyFont="1" applyFill="1" applyBorder="1" applyAlignment="1">
      <alignment horizontal="center" wrapText="1"/>
    </xf>
    <xf numFmtId="4" fontId="3" fillId="0" borderId="20" xfId="17" applyNumberFormat="1" applyFont="1" applyFill="1" applyBorder="1" applyAlignment="1" applyProtection="1">
      <alignment wrapText="1"/>
      <protection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4" fontId="3" fillId="5" borderId="2" xfId="19" applyNumberFormat="1" applyFont="1" applyFill="1" applyBorder="1" applyAlignment="1" applyProtection="1">
      <alignment horizontal="right" wrapText="1"/>
      <protection/>
    </xf>
    <xf numFmtId="4" fontId="3" fillId="0" borderId="2" xfId="17" applyNumberFormat="1" applyFont="1" applyFill="1" applyBorder="1" applyAlignment="1" applyProtection="1">
      <alignment horizontal="right" wrapText="1"/>
      <protection/>
    </xf>
    <xf numFmtId="0" fontId="3" fillId="0" borderId="22" xfId="0" applyFont="1" applyBorder="1" applyAlignment="1">
      <alignment wrapText="1"/>
    </xf>
    <xf numFmtId="14" fontId="3" fillId="0" borderId="18" xfId="0" applyNumberFormat="1" applyFont="1" applyBorder="1" applyAlignment="1">
      <alignment horizontal="center" wrapText="1"/>
    </xf>
    <xf numFmtId="14" fontId="3" fillId="0" borderId="18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4" fontId="3" fillId="5" borderId="18" xfId="19" applyNumberFormat="1" applyFont="1" applyFill="1" applyBorder="1" applyAlignment="1" applyProtection="1">
      <alignment horizontal="right" wrapText="1"/>
      <protection/>
    </xf>
    <xf numFmtId="4" fontId="3" fillId="0" borderId="18" xfId="19" applyNumberFormat="1" applyFont="1" applyFill="1" applyBorder="1" applyAlignment="1" applyProtection="1">
      <alignment horizontal="right" wrapText="1"/>
      <protection/>
    </xf>
    <xf numFmtId="4" fontId="3" fillId="0" borderId="23" xfId="0" applyNumberFormat="1" applyFont="1" applyFill="1" applyBorder="1" applyAlignment="1">
      <alignment horizontal="right" wrapText="1"/>
    </xf>
    <xf numFmtId="0" fontId="3" fillId="5" borderId="18" xfId="0" applyFont="1" applyFill="1" applyBorder="1" applyAlignment="1">
      <alignment horizontal="right" wrapText="1"/>
    </xf>
    <xf numFmtId="14" fontId="3" fillId="5" borderId="18" xfId="0" applyNumberFormat="1" applyFont="1" applyFill="1" applyBorder="1" applyAlignment="1">
      <alignment horizontal="right" wrapText="1"/>
    </xf>
    <xf numFmtId="14" fontId="3" fillId="0" borderId="18" xfId="0" applyNumberFormat="1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49" fontId="3" fillId="0" borderId="23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49" fontId="3" fillId="5" borderId="18" xfId="0" applyNumberFormat="1" applyFont="1" applyFill="1" applyBorder="1" applyAlignment="1">
      <alignment horizontal="right" wrapText="1"/>
    </xf>
    <xf numFmtId="14" fontId="13" fillId="0" borderId="2" xfId="0" applyNumberFormat="1" applyFont="1" applyFill="1" applyBorder="1" applyAlignment="1">
      <alignment horizontal="center"/>
    </xf>
    <xf numFmtId="4" fontId="3" fillId="0" borderId="19" xfId="19" applyNumberFormat="1" applyFont="1" applyFill="1" applyBorder="1" applyAlignment="1" applyProtection="1">
      <alignment horizontal="right"/>
      <protection/>
    </xf>
    <xf numFmtId="4" fontId="3" fillId="0" borderId="18" xfId="19" applyNumberFormat="1" applyFont="1" applyFill="1" applyBorder="1" applyAlignment="1" applyProtection="1">
      <alignment horizontal="right"/>
      <protection/>
    </xf>
    <xf numFmtId="4" fontId="3" fillId="0" borderId="24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center" wrapText="1"/>
    </xf>
    <xf numFmtId="4" fontId="3" fillId="4" borderId="18" xfId="17" applyNumberFormat="1" applyFont="1" applyFill="1" applyBorder="1" applyAlignment="1" applyProtection="1">
      <alignment wrapText="1"/>
      <protection/>
    </xf>
    <xf numFmtId="4" fontId="3" fillId="4" borderId="20" xfId="17" applyNumberFormat="1" applyFont="1" applyFill="1" applyBorder="1" applyAlignment="1" applyProtection="1">
      <alignment wrapText="1"/>
      <protection/>
    </xf>
    <xf numFmtId="4" fontId="3" fillId="4" borderId="2" xfId="17" applyNumberFormat="1" applyFont="1" applyFill="1" applyBorder="1" applyAlignment="1" applyProtection="1">
      <alignment horizontal="right" wrapText="1"/>
      <protection/>
    </xf>
    <xf numFmtId="4" fontId="3" fillId="6" borderId="18" xfId="19" applyNumberFormat="1" applyFont="1" applyFill="1" applyBorder="1" applyAlignment="1" applyProtection="1">
      <alignment horizontal="right" wrapText="1"/>
      <protection/>
    </xf>
    <xf numFmtId="4" fontId="3" fillId="4" borderId="18" xfId="19" applyNumberFormat="1" applyFont="1" applyFill="1" applyBorder="1" applyAlignment="1" applyProtection="1">
      <alignment horizontal="right" wrapText="1"/>
      <protection/>
    </xf>
    <xf numFmtId="180" fontId="3" fillId="4" borderId="2" xfId="19" applyNumberFormat="1" applyFont="1" applyFill="1" applyBorder="1" applyAlignment="1" applyProtection="1">
      <alignment/>
      <protection/>
    </xf>
    <xf numFmtId="4" fontId="3" fillId="4" borderId="18" xfId="19" applyNumberFormat="1" applyFont="1" applyFill="1" applyBorder="1" applyAlignment="1" applyProtection="1">
      <alignment horizontal="right"/>
      <protection/>
    </xf>
    <xf numFmtId="0" fontId="17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14" fontId="3" fillId="0" borderId="18" xfId="0" applyNumberFormat="1" applyFont="1" applyBorder="1" applyAlignment="1">
      <alignment horizontal="left" wrapText="1"/>
    </xf>
    <xf numFmtId="14" fontId="3" fillId="0" borderId="18" xfId="0" applyNumberFormat="1" applyFont="1" applyFill="1" applyBorder="1" applyAlignment="1">
      <alignment horizontal="left" wrapText="1"/>
    </xf>
    <xf numFmtId="14" fontId="3" fillId="0" borderId="2" xfId="0" applyNumberFormat="1" applyFont="1" applyFill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left"/>
    </xf>
    <xf numFmtId="14" fontId="3" fillId="0" borderId="5" xfId="0" applyNumberFormat="1" applyFont="1" applyFill="1" applyBorder="1" applyAlignment="1">
      <alignment horizontal="left" vertical="top" wrapText="1"/>
    </xf>
    <xf numFmtId="14" fontId="17" fillId="0" borderId="2" xfId="0" applyNumberFormat="1" applyFont="1" applyBorder="1" applyAlignment="1">
      <alignment horizontal="left"/>
    </xf>
    <xf numFmtId="14" fontId="3" fillId="0" borderId="19" xfId="0" applyNumberFormat="1" applyFont="1" applyFill="1" applyBorder="1" applyAlignment="1">
      <alignment horizontal="left" wrapText="1"/>
    </xf>
    <xf numFmtId="14" fontId="3" fillId="0" borderId="21" xfId="0" applyNumberFormat="1" applyFont="1" applyFill="1" applyBorder="1" applyAlignment="1">
      <alignment horizontal="left" wrapText="1"/>
    </xf>
    <xf numFmtId="14" fontId="15" fillId="0" borderId="5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4" fontId="9" fillId="0" borderId="1" xfId="0" applyNumberFormat="1" applyFont="1" applyBorder="1" applyAlignment="1">
      <alignment/>
    </xf>
    <xf numFmtId="4" fontId="9" fillId="4" borderId="1" xfId="0" applyNumberFormat="1" applyFont="1" applyFill="1" applyBorder="1" applyAlignment="1">
      <alignment/>
    </xf>
    <xf numFmtId="0" fontId="2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4" fontId="3" fillId="0" borderId="7" xfId="0" applyNumberFormat="1" applyFont="1" applyBorder="1" applyAlignment="1">
      <alignment horizontal="left" wrapText="1"/>
    </xf>
    <xf numFmtId="4" fontId="3" fillId="0" borderId="5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/>
    </xf>
    <xf numFmtId="4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4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/>
    </xf>
    <xf numFmtId="4" fontId="4" fillId="0" borderId="2" xfId="0" applyNumberFormat="1" applyFont="1" applyBorder="1" applyAlignment="1">
      <alignment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4" fillId="0" borderId="17" xfId="0" applyNumberFormat="1" applyFont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 applyProtection="1">
      <alignment horizontal="right"/>
      <protection/>
    </xf>
    <xf numFmtId="0" fontId="8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4" fillId="0" borderId="7" xfId="0" applyFont="1" applyBorder="1" applyAlignment="1">
      <alignment horizontal="center"/>
    </xf>
    <xf numFmtId="0" fontId="0" fillId="0" borderId="5" xfId="0" applyFont="1" applyFill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0" fillId="0" borderId="5" xfId="0" applyBorder="1" applyAlignment="1">
      <alignment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6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0" fillId="0" borderId="8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10" fontId="21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9" fontId="20" fillId="0" borderId="0" xfId="0" applyNumberFormat="1" applyFont="1" applyFill="1" applyBorder="1" applyAlignment="1">
      <alignment/>
    </xf>
    <xf numFmtId="0" fontId="19" fillId="0" borderId="6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8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4" fontId="21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/>
    </xf>
    <xf numFmtId="4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10" fontId="20" fillId="0" borderId="0" xfId="0" applyNumberFormat="1" applyFont="1" applyFill="1" applyAlignment="1">
      <alignment/>
    </xf>
    <xf numFmtId="9" fontId="20" fillId="0" borderId="0" xfId="0" applyNumberFormat="1" applyFont="1" applyFill="1" applyAlignment="1">
      <alignment/>
    </xf>
    <xf numFmtId="0" fontId="20" fillId="0" borderId="2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 quotePrefix="1">
      <alignment/>
    </xf>
    <xf numFmtId="0" fontId="20" fillId="0" borderId="10" xfId="0" applyFont="1" applyFill="1" applyBorder="1" applyAlignment="1">
      <alignment/>
    </xf>
    <xf numFmtId="0" fontId="20" fillId="0" borderId="2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2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4" fontId="3" fillId="0" borderId="7" xfId="0" applyNumberFormat="1" applyFont="1" applyBorder="1" applyAlignment="1">
      <alignment horizontal="left" wrapText="1"/>
    </xf>
    <xf numFmtId="4" fontId="3" fillId="0" borderId="5" xfId="0" applyNumberFormat="1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8" xfId="0" applyNumberFormat="1" applyFont="1" applyBorder="1" applyAlignment="1" applyProtection="1">
      <alignment horizontal="right"/>
      <protection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9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5"/>
  <sheetViews>
    <sheetView tabSelected="1" workbookViewId="0" topLeftCell="A10">
      <selection activeCell="I35" sqref="I35"/>
    </sheetView>
  </sheetViews>
  <sheetFormatPr defaultColWidth="9.140625" defaultRowHeight="12.75"/>
  <cols>
    <col min="1" max="2" width="9.140625" style="351" customWidth="1"/>
    <col min="3" max="3" width="8.8515625" style="351" customWidth="1"/>
    <col min="4" max="4" width="11.140625" style="351" customWidth="1"/>
    <col min="5" max="5" width="13.421875" style="351" customWidth="1"/>
    <col min="6" max="6" width="11.28125" style="351" customWidth="1"/>
    <col min="7" max="7" width="12.140625" style="351" customWidth="1"/>
    <col min="8" max="8" width="8.421875" style="351" customWidth="1"/>
    <col min="9" max="9" width="11.28125" style="351" customWidth="1"/>
    <col min="10" max="10" width="10.140625" style="351" customWidth="1"/>
    <col min="11" max="11" width="12.57421875" style="351" customWidth="1"/>
    <col min="12" max="12" width="15.140625" style="351" customWidth="1"/>
    <col min="13" max="16384" width="9.140625" style="351" customWidth="1"/>
  </cols>
  <sheetData>
    <row r="2" spans="1:11" ht="12.75">
      <c r="A2" s="394" t="s">
        <v>584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</row>
    <row r="3" spans="1:11" ht="12.75">
      <c r="A3" s="395" t="s">
        <v>585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2.75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</row>
    <row r="5" spans="1:11" s="353" customFormat="1" ht="12.75">
      <c r="A5" s="400" t="s">
        <v>586</v>
      </c>
      <c r="B5" s="401"/>
      <c r="C5" s="401"/>
      <c r="D5" s="401"/>
      <c r="E5" s="401"/>
      <c r="F5" s="401"/>
      <c r="G5" s="401"/>
      <c r="H5" s="401"/>
      <c r="I5" s="401"/>
      <c r="J5" s="401"/>
      <c r="K5" s="402"/>
    </row>
    <row r="6" spans="1:11" ht="12.75">
      <c r="A6" s="354"/>
      <c r="B6" s="355"/>
      <c r="C6" s="355"/>
      <c r="D6" s="355"/>
      <c r="E6" s="355"/>
      <c r="F6" s="355"/>
      <c r="G6" s="355"/>
      <c r="H6" s="355"/>
      <c r="I6" s="355"/>
      <c r="J6" s="355"/>
      <c r="K6" s="361"/>
    </row>
    <row r="7" spans="1:11" ht="12.75">
      <c r="A7" s="362" t="s">
        <v>0</v>
      </c>
      <c r="B7" s="363"/>
      <c r="C7" s="363"/>
      <c r="D7" s="362" t="s">
        <v>556</v>
      </c>
      <c r="E7" s="363" t="s">
        <v>581</v>
      </c>
      <c r="F7" s="355"/>
      <c r="G7" s="355"/>
      <c r="H7" s="355"/>
      <c r="I7" s="355" t="s">
        <v>458</v>
      </c>
      <c r="J7" s="364">
        <v>38047</v>
      </c>
      <c r="K7" s="361"/>
    </row>
    <row r="8" spans="1:11" ht="12.75">
      <c r="A8" s="363" t="s">
        <v>33</v>
      </c>
      <c r="B8" s="363"/>
      <c r="C8" s="363"/>
      <c r="D8" s="365">
        <f>+Complessivo!G2</f>
        <v>3563800</v>
      </c>
      <c r="E8" s="366">
        <f>+Complessivo!H2</f>
        <v>0.9020859623768412</v>
      </c>
      <c r="F8" s="355"/>
      <c r="G8" s="355"/>
      <c r="H8" s="355"/>
      <c r="I8" s="355" t="s">
        <v>459</v>
      </c>
      <c r="J8" s="364">
        <v>39507</v>
      </c>
      <c r="K8" s="361"/>
    </row>
    <row r="9" spans="1:11" ht="12.75">
      <c r="A9" s="363" t="s">
        <v>460</v>
      </c>
      <c r="B9" s="363"/>
      <c r="C9" s="363"/>
      <c r="D9" s="365">
        <f>+Complessivo!G3</f>
        <v>2316470</v>
      </c>
      <c r="E9" s="366">
        <f>+Complessivo!H3</f>
        <v>0.9020859623768411</v>
      </c>
      <c r="F9" s="355"/>
      <c r="G9" s="355"/>
      <c r="H9" s="355"/>
      <c r="I9" s="367" t="s">
        <v>845</v>
      </c>
      <c r="J9" s="355"/>
      <c r="K9" s="361"/>
    </row>
    <row r="10" spans="1:11" ht="12.75">
      <c r="A10" s="363" t="s">
        <v>34</v>
      </c>
      <c r="B10" s="363"/>
      <c r="C10" s="363"/>
      <c r="D10" s="365">
        <f>+Complessivo!G4</f>
        <v>160095</v>
      </c>
      <c r="E10" s="366">
        <f>+Complessivo!H4</f>
        <v>0.042745362565976455</v>
      </c>
      <c r="F10" s="355"/>
      <c r="G10" s="355"/>
      <c r="H10" s="355"/>
      <c r="I10" s="355"/>
      <c r="J10" s="355"/>
      <c r="K10" s="361"/>
    </row>
    <row r="11" spans="1:11" ht="12.75">
      <c r="A11" s="363" t="s">
        <v>35</v>
      </c>
      <c r="B11" s="363"/>
      <c r="C11" s="363"/>
      <c r="D11" s="365">
        <f>+Complessivo!G5</f>
        <v>2476565</v>
      </c>
      <c r="E11" s="366">
        <f>+Complessivo!H5</f>
        <v>0.8465347721893353</v>
      </c>
      <c r="F11" s="355"/>
      <c r="G11" s="355"/>
      <c r="H11" s="355"/>
      <c r="I11" s="367" t="s">
        <v>559</v>
      </c>
      <c r="J11" s="368">
        <v>0.65</v>
      </c>
      <c r="K11" s="361"/>
    </row>
    <row r="12" spans="1:11" ht="12.75">
      <c r="A12" s="354"/>
      <c r="B12" s="355"/>
      <c r="C12" s="355"/>
      <c r="D12" s="355"/>
      <c r="E12" s="355"/>
      <c r="F12" s="355"/>
      <c r="G12" s="355"/>
      <c r="H12" s="355"/>
      <c r="I12" s="355"/>
      <c r="J12" s="355"/>
      <c r="K12" s="361"/>
    </row>
    <row r="13" spans="1:11" s="353" customFormat="1" ht="12.75">
      <c r="A13" s="369" t="s">
        <v>582</v>
      </c>
      <c r="B13" s="363"/>
      <c r="C13" s="363"/>
      <c r="D13" s="370" t="s">
        <v>557</v>
      </c>
      <c r="E13" s="370" t="s">
        <v>558</v>
      </c>
      <c r="F13" s="370" t="s">
        <v>642</v>
      </c>
      <c r="G13" s="363"/>
      <c r="H13" s="363"/>
      <c r="I13" s="363"/>
      <c r="J13" s="363"/>
      <c r="K13" s="371"/>
    </row>
    <row r="14" spans="1:11" ht="12.75">
      <c r="A14" s="355" t="s">
        <v>6</v>
      </c>
      <c r="B14" s="355"/>
      <c r="C14" s="355"/>
      <c r="D14" s="372">
        <f>+Complessivo!M16</f>
        <v>2332300</v>
      </c>
      <c r="E14" s="372">
        <f>+Complessivo!M26</f>
        <v>8.737689997273264</v>
      </c>
      <c r="F14" s="372">
        <f>+D14-E14</f>
        <v>2332291.262310003</v>
      </c>
      <c r="G14" s="355"/>
      <c r="H14" s="355"/>
      <c r="I14" s="355"/>
      <c r="J14" s="355"/>
      <c r="K14" s="361"/>
    </row>
    <row r="15" spans="1:11" ht="12.75">
      <c r="A15" s="355" t="s">
        <v>7</v>
      </c>
      <c r="B15" s="355"/>
      <c r="C15" s="355"/>
      <c r="D15" s="372">
        <f>+Complessivo!M43</f>
        <v>586000</v>
      </c>
      <c r="E15" s="372">
        <f>+Complessivo!M53</f>
        <v>169361.5266666666</v>
      </c>
      <c r="F15" s="372">
        <f aca="true" t="shared" si="0" ref="F15:F20">+D15-E15</f>
        <v>416638.4733333334</v>
      </c>
      <c r="G15" s="355"/>
      <c r="H15" s="355"/>
      <c r="I15" s="355"/>
      <c r="J15" s="355"/>
      <c r="K15" s="361"/>
    </row>
    <row r="16" spans="1:11" ht="12.75">
      <c r="A16" s="355" t="s">
        <v>1</v>
      </c>
      <c r="B16" s="355"/>
      <c r="C16" s="355"/>
      <c r="D16" s="372">
        <f>+Complessivo!M178</f>
        <v>200000</v>
      </c>
      <c r="E16" s="372">
        <f>+Complessivo!M188</f>
        <v>119409.71</v>
      </c>
      <c r="F16" s="372">
        <f t="shared" si="0"/>
        <v>80590.29</v>
      </c>
      <c r="G16" s="355"/>
      <c r="H16" s="355"/>
      <c r="I16" s="355"/>
      <c r="J16" s="355"/>
      <c r="K16" s="361"/>
    </row>
    <row r="17" spans="1:11" ht="12.75">
      <c r="A17" s="355" t="s">
        <v>8</v>
      </c>
      <c r="B17" s="355"/>
      <c r="C17" s="355"/>
      <c r="D17" s="372">
        <f>+Complessivo!M206</f>
        <v>50000</v>
      </c>
      <c r="E17" s="372">
        <f>+Complessivo!M216</f>
        <v>5379.750000000004</v>
      </c>
      <c r="F17" s="372">
        <f t="shared" si="0"/>
        <v>44620.25</v>
      </c>
      <c r="G17" s="355"/>
      <c r="H17" s="355"/>
      <c r="I17" s="355"/>
      <c r="J17" s="355"/>
      <c r="K17" s="361"/>
    </row>
    <row r="18" spans="1:11" ht="12.75">
      <c r="A18" s="355" t="s">
        <v>22</v>
      </c>
      <c r="B18" s="355"/>
      <c r="C18" s="355"/>
      <c r="D18" s="372">
        <f>+Complessivo!M237</f>
        <v>67500</v>
      </c>
      <c r="E18" s="372">
        <f>+Complessivo!M247</f>
        <v>67500</v>
      </c>
      <c r="F18" s="372">
        <f t="shared" si="0"/>
        <v>0</v>
      </c>
      <c r="G18" s="355"/>
      <c r="H18" s="355"/>
      <c r="I18" s="355"/>
      <c r="J18" s="355"/>
      <c r="K18" s="361"/>
    </row>
    <row r="19" spans="1:11" ht="12.75">
      <c r="A19" s="355" t="s">
        <v>9</v>
      </c>
      <c r="B19" s="355"/>
      <c r="C19" s="355"/>
      <c r="D19" s="372">
        <f>+Complessivo!M253</f>
        <v>150000</v>
      </c>
      <c r="E19" s="372">
        <f>+Complessivo!M263</f>
        <v>-16352.701999999997</v>
      </c>
      <c r="F19" s="372">
        <f t="shared" si="0"/>
        <v>166352.702</v>
      </c>
      <c r="G19" s="355"/>
      <c r="H19" s="355"/>
      <c r="I19" s="355"/>
      <c r="J19" s="355"/>
      <c r="K19" s="361"/>
    </row>
    <row r="20" spans="1:11" ht="12.75">
      <c r="A20" s="355" t="s">
        <v>10</v>
      </c>
      <c r="B20" s="355"/>
      <c r="C20" s="355"/>
      <c r="D20" s="372">
        <f>+Complessivo!M334</f>
        <v>178000</v>
      </c>
      <c r="E20" s="372">
        <f>+Complessivo!M344</f>
        <v>3639.024924749625</v>
      </c>
      <c r="F20" s="372">
        <f t="shared" si="0"/>
        <v>174360.97507525038</v>
      </c>
      <c r="G20" s="355"/>
      <c r="H20" s="355"/>
      <c r="I20" s="355"/>
      <c r="J20" s="355"/>
      <c r="K20" s="361"/>
    </row>
    <row r="21" spans="1:11" s="353" customFormat="1" ht="12.75">
      <c r="A21" s="373" t="s">
        <v>580</v>
      </c>
      <c r="B21" s="374"/>
      <c r="C21" s="374"/>
      <c r="D21" s="375">
        <f>SUM(D14:D20)</f>
        <v>3563800</v>
      </c>
      <c r="E21" s="375">
        <f>SUM(E14:E20)</f>
        <v>348946.0472814135</v>
      </c>
      <c r="F21" s="375">
        <f>SUM(F14:F20)</f>
        <v>3214853.952718587</v>
      </c>
      <c r="G21" s="374"/>
      <c r="H21" s="374"/>
      <c r="I21" s="374"/>
      <c r="J21" s="374"/>
      <c r="K21" s="376"/>
    </row>
    <row r="22" spans="4:6" s="353" customFormat="1" ht="12.75">
      <c r="D22" s="377"/>
      <c r="E22" s="377"/>
      <c r="F22" s="377"/>
    </row>
    <row r="23" spans="1:11" s="353" customFormat="1" ht="12.75">
      <c r="A23" s="394" t="s">
        <v>583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</row>
    <row r="24" spans="1:11" s="353" customFormat="1" ht="12.75">
      <c r="A24" s="363"/>
      <c r="B24" s="363"/>
      <c r="C24" s="363"/>
      <c r="D24" s="363"/>
      <c r="E24" s="363"/>
      <c r="F24" s="363"/>
      <c r="G24" s="363"/>
      <c r="H24" s="363"/>
      <c r="I24" s="363"/>
      <c r="J24" s="363"/>
      <c r="K24" s="363"/>
    </row>
    <row r="25" spans="1:11" ht="21">
      <c r="A25" s="355"/>
      <c r="B25" s="355"/>
      <c r="C25" s="355"/>
      <c r="D25" s="378" t="s">
        <v>20</v>
      </c>
      <c r="E25" s="378" t="s">
        <v>461</v>
      </c>
      <c r="F25" s="378" t="s">
        <v>462</v>
      </c>
      <c r="G25" s="378" t="s">
        <v>21</v>
      </c>
      <c r="H25" s="378" t="s">
        <v>463</v>
      </c>
      <c r="I25" s="378" t="s">
        <v>464</v>
      </c>
      <c r="J25" s="378" t="s">
        <v>465</v>
      </c>
      <c r="K25" s="378" t="s">
        <v>466</v>
      </c>
    </row>
    <row r="26" spans="1:13" s="353" customFormat="1" ht="12.75">
      <c r="A26" s="363" t="s">
        <v>467</v>
      </c>
      <c r="B26" s="363"/>
      <c r="C26" s="363"/>
      <c r="D26" s="365">
        <f>+Complessivo!M2</f>
        <v>3214853.9527185867</v>
      </c>
      <c r="E26" s="365">
        <f>+Complessivo!N2</f>
        <v>10528.1828</v>
      </c>
      <c r="F26" s="365">
        <f>+Complessivo!O2</f>
        <v>3225382.1355185867</v>
      </c>
      <c r="G26" s="365">
        <f>+Complessivo!P2</f>
        <v>2089655.069267081</v>
      </c>
      <c r="H26" s="365">
        <f>+Complessivo!Q2</f>
        <v>6843.31882</v>
      </c>
      <c r="I26" s="365">
        <f>+Complessivo!R2</f>
        <v>2096498.388087081</v>
      </c>
      <c r="J26" s="365">
        <f>+Complessivo!S2</f>
        <v>742669.5</v>
      </c>
      <c r="K26" s="365">
        <f>+Complessivo!T2</f>
        <v>1352121.2517878625</v>
      </c>
      <c r="L26" s="379"/>
      <c r="M26" s="351"/>
    </row>
    <row r="27" spans="1:12" ht="12.75">
      <c r="A27" s="380" t="str">
        <f>+Complessivo!C3</f>
        <v>SAL 1 - 01/03/04 - 31/10/04</v>
      </c>
      <c r="B27" s="380"/>
      <c r="C27" s="355"/>
      <c r="D27" s="372">
        <f>+Complessivo!M3</f>
        <v>440986.720412426</v>
      </c>
      <c r="E27" s="372">
        <f>+Complessivo!N3</f>
        <v>0</v>
      </c>
      <c r="F27" s="372">
        <f>+Complessivo!O3</f>
        <v>440986.720412426</v>
      </c>
      <c r="G27" s="372">
        <f>+Complessivo!P3</f>
        <v>286641.3682680769</v>
      </c>
      <c r="H27" s="372">
        <f>+Complessivo!Q3</f>
        <v>0</v>
      </c>
      <c r="I27" s="372">
        <f>+Complessivo!R3</f>
        <v>286641.3682680769</v>
      </c>
      <c r="J27" s="372">
        <f>+Complessivo!S3</f>
        <v>107490.51310052884</v>
      </c>
      <c r="K27" s="372">
        <f>+Complessivo!T3</f>
        <v>179150.85516754806</v>
      </c>
      <c r="L27" s="381"/>
    </row>
    <row r="28" spans="1:12" ht="12.75">
      <c r="A28" s="380" t="str">
        <f>+Complessivo!C4</f>
        <v>SAL 2 - 01/11/04 - 28/02/05</v>
      </c>
      <c r="B28" s="372"/>
      <c r="C28" s="355"/>
      <c r="D28" s="372">
        <f>+Complessivo!M4</f>
        <v>153401.64232133335</v>
      </c>
      <c r="E28" s="372">
        <f>+Complessivo!N4</f>
        <v>0</v>
      </c>
      <c r="F28" s="372">
        <f>+Complessivo!O4</f>
        <v>153401.64232133335</v>
      </c>
      <c r="G28" s="372">
        <f>+Complessivo!P4</f>
        <v>99711.06750886668</v>
      </c>
      <c r="H28" s="372">
        <f>+Complessivo!Q4</f>
        <v>0</v>
      </c>
      <c r="I28" s="372">
        <f>+Complessivo!R4</f>
        <v>99711.06750886668</v>
      </c>
      <c r="J28" s="372">
        <f>+Complessivo!S4</f>
        <v>37391.650315825005</v>
      </c>
      <c r="K28" s="372">
        <f>+Complessivo!T4</f>
        <v>62319.41719304167</v>
      </c>
      <c r="L28" s="381"/>
    </row>
    <row r="29" spans="1:12" ht="12.75">
      <c r="A29" s="380" t="str">
        <f>+Complessivo!C5</f>
        <v>SAL 3 - 01/03/05 - 30/06/05</v>
      </c>
      <c r="B29" s="372"/>
      <c r="C29" s="355"/>
      <c r="D29" s="372">
        <f>+Complessivo!M5</f>
        <v>315783.20349</v>
      </c>
      <c r="E29" s="372">
        <f>+Complessivo!N5</f>
        <v>0</v>
      </c>
      <c r="F29" s="372">
        <f>+Complessivo!O5</f>
        <v>315783.20349</v>
      </c>
      <c r="G29" s="372">
        <f>+Complessivo!P5</f>
        <v>205259.0822685</v>
      </c>
      <c r="H29" s="372">
        <f>+Complessivo!Q5</f>
        <v>0</v>
      </c>
      <c r="I29" s="372">
        <f>+Complessivo!R5</f>
        <v>205259.0822685</v>
      </c>
      <c r="J29" s="372">
        <f>+Complessivo!S5</f>
        <v>76972.1558506875</v>
      </c>
      <c r="K29" s="372">
        <f>+Complessivo!T5</f>
        <v>128286.92641781252</v>
      </c>
      <c r="L29" s="381"/>
    </row>
    <row r="30" spans="1:12" ht="12.75">
      <c r="A30" s="380" t="str">
        <f>+Complessivo!C6</f>
        <v>SAL 4 - 01/07/05 - 31/10/05</v>
      </c>
      <c r="B30" s="372"/>
      <c r="C30" s="355"/>
      <c r="D30" s="372">
        <f>+Complessivo!M6</f>
        <v>330492.510235</v>
      </c>
      <c r="E30" s="372">
        <f>+Complessivo!N6</f>
        <v>1186.4</v>
      </c>
      <c r="F30" s="372">
        <f>+Complessivo!O6</f>
        <v>331678.910235</v>
      </c>
      <c r="G30" s="372">
        <f>+Complessivo!P6</f>
        <v>214820.13165275002</v>
      </c>
      <c r="H30" s="372">
        <f>+Complessivo!Q6</f>
        <v>771.1600000000001</v>
      </c>
      <c r="I30" s="372">
        <f>+Complessivo!R6</f>
        <v>215591.29165275002</v>
      </c>
      <c r="J30" s="372">
        <f>+Complessivo!S6</f>
        <v>80846.73436978126</v>
      </c>
      <c r="K30" s="372">
        <f>+Complessivo!T6</f>
        <v>134744.55728296874</v>
      </c>
      <c r="L30" s="381"/>
    </row>
    <row r="31" spans="1:12" ht="12.75">
      <c r="A31" s="380" t="str">
        <f>+Complessivo!C7</f>
        <v>SAL 5 - 01/11/05 - 28/02/06</v>
      </c>
      <c r="B31" s="372"/>
      <c r="C31" s="355"/>
      <c r="D31" s="372">
        <f>+Complessivo!M7</f>
        <v>430485.0560784313</v>
      </c>
      <c r="E31" s="372">
        <f>+Complessivo!N7</f>
        <v>152.59</v>
      </c>
      <c r="F31" s="372">
        <f>+Complessivo!O7</f>
        <v>430637.64607843134</v>
      </c>
      <c r="G31" s="372">
        <f>+Complessivo!P7</f>
        <v>279815.2864509804</v>
      </c>
      <c r="H31" s="372">
        <f>+Complessivo!Q7</f>
        <v>99.18350000000001</v>
      </c>
      <c r="I31" s="372">
        <f>+Complessivo!R7</f>
        <v>279914.4699509804</v>
      </c>
      <c r="J31" s="372">
        <f>+Complessivo!S7</f>
        <v>104967.92623161765</v>
      </c>
      <c r="K31" s="372">
        <f>+Complessivo!T7</f>
        <v>173238.907420144</v>
      </c>
      <c r="L31" s="381"/>
    </row>
    <row r="32" spans="1:12" ht="12.75">
      <c r="A32" s="380" t="str">
        <f>+Complessivo!C8</f>
        <v>SAL 6 - 01/03/06 - 30/06/06</v>
      </c>
      <c r="B32" s="372"/>
      <c r="C32" s="355"/>
      <c r="D32" s="372">
        <f>+Complessivo!M8</f>
        <v>416062.01123400003</v>
      </c>
      <c r="E32" s="372">
        <f>+Complessivo!N8</f>
        <v>2998.77</v>
      </c>
      <c r="F32" s="372">
        <f>+Complessivo!O8</f>
        <v>419060.78123400005</v>
      </c>
      <c r="G32" s="372">
        <f>+Complessivo!P8</f>
        <v>270440.3073021</v>
      </c>
      <c r="H32" s="372">
        <f>+Complessivo!Q8</f>
        <v>1949.2005</v>
      </c>
      <c r="I32" s="372">
        <f>+Complessivo!R8</f>
        <v>272389.5078021</v>
      </c>
      <c r="J32" s="372">
        <f>+Complessivo!S8</f>
        <v>102146.06542578751</v>
      </c>
      <c r="K32" s="372">
        <f>+Complessivo!T8</f>
        <v>170243.4423763125</v>
      </c>
      <c r="L32" s="381"/>
    </row>
    <row r="33" spans="1:12" ht="12.75">
      <c r="A33" s="380" t="s">
        <v>589</v>
      </c>
      <c r="B33" s="372"/>
      <c r="C33" s="355"/>
      <c r="D33" s="372">
        <f>+Complessivo!M9</f>
        <v>385788.9105041637</v>
      </c>
      <c r="E33" s="372">
        <f>+Complessivo!N9</f>
        <v>1770.96</v>
      </c>
      <c r="F33" s="372">
        <f>+Complessivo!O9</f>
        <v>387559.87050416373</v>
      </c>
      <c r="G33" s="372">
        <f>+Complessivo!P9</f>
        <v>250762.79182770642</v>
      </c>
      <c r="H33" s="372" t="s">
        <v>846</v>
      </c>
      <c r="I33" s="372">
        <f>+Complessivo!R9</f>
        <v>251913.91582770643</v>
      </c>
      <c r="J33" s="372">
        <f>+Complessivo!S9</f>
        <v>94467.71843538992</v>
      </c>
      <c r="K33" s="372">
        <f>+Complessivo!T9</f>
        <v>157446.19739231654</v>
      </c>
      <c r="L33" s="382">
        <v>299526.69888478145</v>
      </c>
    </row>
    <row r="34" spans="1:12" ht="12.75">
      <c r="A34" s="380" t="s">
        <v>693</v>
      </c>
      <c r="B34" s="372"/>
      <c r="C34" s="355"/>
      <c r="D34" s="372">
        <f>+Complessivo!M10</f>
        <v>329151.19963478984</v>
      </c>
      <c r="E34" s="372">
        <f>+Complessivo!N10</f>
        <v>1800</v>
      </c>
      <c r="F34" s="372">
        <f>+Complessivo!O10</f>
        <v>330951.19963478984</v>
      </c>
      <c r="G34" s="372">
        <f>+Complessivo!P10</f>
        <v>213948.27976261338</v>
      </c>
      <c r="H34" s="372">
        <f>+Complessivo!Q10</f>
        <v>1170</v>
      </c>
      <c r="I34" s="372">
        <f>+Complessivo!R10</f>
        <v>215118.27976261338</v>
      </c>
      <c r="J34" s="372">
        <f>+Complessivo!S10</f>
        <v>80669.35491098002</v>
      </c>
      <c r="K34" s="372">
        <f>+Complessivo!T10</f>
        <v>134448.92485163338</v>
      </c>
      <c r="L34" s="382">
        <v>156293.94272366088</v>
      </c>
    </row>
    <row r="35" spans="1:12" ht="12.75">
      <c r="A35" s="380" t="s">
        <v>841</v>
      </c>
      <c r="B35" s="372"/>
      <c r="C35" s="355"/>
      <c r="D35" s="372">
        <f>+Complessivo!M11</f>
        <v>412702.6988084423</v>
      </c>
      <c r="E35" s="372">
        <f>+Complessivo!N11</f>
        <v>2619.4628000000002</v>
      </c>
      <c r="F35" s="372">
        <f>+Complessivo!O11</f>
        <v>415322.16160844226</v>
      </c>
      <c r="G35" s="372">
        <f>+Complessivo!P11</f>
        <v>268256.7542254875</v>
      </c>
      <c r="H35" s="372">
        <f>+Complessivo!Q11</f>
        <v>1702.6508200000003</v>
      </c>
      <c r="I35" s="372">
        <f>+Complessivo!R11</f>
        <v>269959.40504548745</v>
      </c>
      <c r="J35" s="372">
        <f>+Complessivo!S11</f>
        <v>57717.38135940231</v>
      </c>
      <c r="K35" s="365">
        <f>+Complessivo!T11</f>
        <v>212242.02368608513</v>
      </c>
      <c r="L35" s="383">
        <f>SUM(L33:L34)</f>
        <v>455820.6416084423</v>
      </c>
    </row>
    <row r="36" spans="1:12" ht="12.75">
      <c r="A36" s="380"/>
      <c r="B36" s="372"/>
      <c r="C36" s="355"/>
      <c r="D36" s="372"/>
      <c r="E36" s="372"/>
      <c r="F36" s="365"/>
      <c r="G36" s="372"/>
      <c r="H36" s="372"/>
      <c r="I36" s="365"/>
      <c r="J36" s="372"/>
      <c r="K36" s="365"/>
      <c r="L36" s="381"/>
    </row>
    <row r="37" spans="5:13" ht="12.75">
      <c r="E37" s="384"/>
      <c r="I37" s="351" t="s">
        <v>847</v>
      </c>
      <c r="K37" s="381">
        <f>(2096498.38*0.95)-J26-K27-K28-K29-K30-K31-K32-K33-K34</f>
        <v>109124.73289822257</v>
      </c>
      <c r="M37" s="385"/>
    </row>
    <row r="38" spans="5:13" ht="12.75">
      <c r="E38" s="384"/>
      <c r="I38" s="351" t="s">
        <v>848</v>
      </c>
      <c r="K38" s="381">
        <f>+K35-K37</f>
        <v>103117.29078786256</v>
      </c>
      <c r="M38" s="385"/>
    </row>
    <row r="39" ht="12.75">
      <c r="E39" s="384"/>
    </row>
    <row r="40" spans="1:11" ht="25.5">
      <c r="A40" s="397" t="s">
        <v>560</v>
      </c>
      <c r="B40" s="398"/>
      <c r="C40" s="398"/>
      <c r="D40" s="398"/>
      <c r="E40" s="398"/>
      <c r="F40" s="398"/>
      <c r="G40" s="398"/>
      <c r="H40" s="399"/>
      <c r="I40" s="386" t="s">
        <v>472</v>
      </c>
      <c r="J40" s="387" t="s">
        <v>561</v>
      </c>
      <c r="K40" s="355"/>
    </row>
    <row r="41" spans="1:11" ht="12.75">
      <c r="A41" s="355" t="s">
        <v>562</v>
      </c>
      <c r="B41" s="355"/>
      <c r="C41" s="355"/>
      <c r="D41" s="355"/>
      <c r="E41" s="380">
        <v>50833.0610326558</v>
      </c>
      <c r="F41" s="355"/>
      <c r="G41" s="388">
        <v>93301220724</v>
      </c>
      <c r="H41" s="355"/>
      <c r="I41" s="389"/>
      <c r="J41" s="355"/>
      <c r="K41" s="355"/>
    </row>
    <row r="42" spans="1:11" ht="12.75">
      <c r="A42" s="355" t="s">
        <v>563</v>
      </c>
      <c r="B42" s="355"/>
      <c r="C42" s="355"/>
      <c r="D42" s="355"/>
      <c r="E42" s="355">
        <v>161408.962653429</v>
      </c>
      <c r="F42" s="355"/>
      <c r="G42" s="390" t="s">
        <v>844</v>
      </c>
      <c r="H42" s="355"/>
      <c r="I42" s="355"/>
      <c r="J42" s="355"/>
      <c r="K42" s="355"/>
    </row>
    <row r="43" spans="1:11" ht="12.75">
      <c r="A43" s="355"/>
      <c r="B43" s="355"/>
      <c r="C43" s="355"/>
      <c r="D43" s="355"/>
      <c r="E43" s="355"/>
      <c r="F43" s="355"/>
      <c r="G43" s="355"/>
      <c r="H43" s="355"/>
      <c r="I43" s="355"/>
      <c r="J43" s="355"/>
      <c r="K43" s="355"/>
    </row>
    <row r="44" ht="12.75">
      <c r="E44" s="384"/>
    </row>
    <row r="45" spans="1:11" ht="12.75">
      <c r="A45" s="395" t="s">
        <v>468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</row>
    <row r="48" spans="1:11" ht="23.25" customHeight="1">
      <c r="A48" s="396" t="s">
        <v>469</v>
      </c>
      <c r="B48" s="396"/>
      <c r="C48" s="396"/>
      <c r="D48" s="396"/>
      <c r="E48" s="396"/>
      <c r="F48" s="396"/>
      <c r="G48" s="393" t="s">
        <v>470</v>
      </c>
      <c r="H48" s="393"/>
      <c r="I48" s="393"/>
      <c r="J48" s="393"/>
      <c r="K48" s="393"/>
    </row>
    <row r="49" spans="1:11" ht="25.5" customHeight="1">
      <c r="A49" s="396" t="s">
        <v>471</v>
      </c>
      <c r="B49" s="396"/>
      <c r="C49" s="396"/>
      <c r="D49" s="396"/>
      <c r="E49" s="396"/>
      <c r="F49" s="396"/>
      <c r="G49" s="393" t="s">
        <v>470</v>
      </c>
      <c r="H49" s="393"/>
      <c r="I49" s="393"/>
      <c r="J49" s="393"/>
      <c r="K49" s="393"/>
    </row>
    <row r="50" spans="1:11" ht="24" customHeight="1">
      <c r="A50" s="392" t="s">
        <v>473</v>
      </c>
      <c r="B50" s="392"/>
      <c r="C50" s="392"/>
      <c r="D50" s="392"/>
      <c r="E50" s="392"/>
      <c r="F50" s="392"/>
      <c r="G50" s="393" t="s">
        <v>474</v>
      </c>
      <c r="H50" s="393"/>
      <c r="I50" s="393"/>
      <c r="J50" s="393"/>
      <c r="K50" s="393"/>
    </row>
    <row r="51" spans="1:11" ht="23.25" customHeight="1">
      <c r="A51" s="392"/>
      <c r="B51" s="392"/>
      <c r="C51" s="392"/>
      <c r="D51" s="392"/>
      <c r="E51" s="392"/>
      <c r="F51" s="392"/>
      <c r="G51" s="393"/>
      <c r="H51" s="393"/>
      <c r="I51" s="393"/>
      <c r="J51" s="393"/>
      <c r="K51" s="393"/>
    </row>
    <row r="52" ht="26.25" customHeight="1">
      <c r="A52" s="351" t="s">
        <v>475</v>
      </c>
    </row>
    <row r="53" spans="1:11" ht="12.75">
      <c r="A53" s="391"/>
      <c r="B53" s="391"/>
      <c r="C53" s="391"/>
      <c r="D53" s="391"/>
      <c r="E53" s="391"/>
      <c r="F53" s="391"/>
      <c r="G53" s="391"/>
      <c r="H53" s="391"/>
      <c r="I53" s="391"/>
      <c r="J53" s="391"/>
      <c r="K53" s="391"/>
    </row>
    <row r="54" spans="1:11" ht="24.75" customHeight="1">
      <c r="A54" s="391"/>
      <c r="B54" s="391"/>
      <c r="C54" s="391"/>
      <c r="D54" s="391"/>
      <c r="E54" s="391"/>
      <c r="F54" s="391"/>
      <c r="G54" s="391"/>
      <c r="H54" s="391"/>
      <c r="I54" s="391"/>
      <c r="J54" s="391"/>
      <c r="K54" s="391"/>
    </row>
    <row r="55" spans="1:11" ht="24.75" customHeight="1">
      <c r="A55" s="391"/>
      <c r="B55" s="391"/>
      <c r="C55" s="391"/>
      <c r="D55" s="391"/>
      <c r="E55" s="391"/>
      <c r="F55" s="391"/>
      <c r="G55" s="391"/>
      <c r="H55" s="391"/>
      <c r="I55" s="391"/>
      <c r="J55" s="391"/>
      <c r="K55" s="391"/>
    </row>
    <row r="56" spans="1:11" ht="24.75" customHeight="1">
      <c r="A56" s="391"/>
      <c r="B56" s="391"/>
      <c r="C56" s="391"/>
      <c r="D56" s="391"/>
      <c r="E56" s="391"/>
      <c r="F56" s="391"/>
      <c r="G56" s="391"/>
      <c r="H56" s="391"/>
      <c r="I56" s="391"/>
      <c r="J56" s="391"/>
      <c r="K56" s="391"/>
    </row>
    <row r="57" spans="1:11" ht="24.75" customHeight="1">
      <c r="A57" s="391"/>
      <c r="B57" s="391"/>
      <c r="C57" s="391"/>
      <c r="D57" s="391"/>
      <c r="E57" s="391"/>
      <c r="F57" s="391"/>
      <c r="G57" s="391"/>
      <c r="H57" s="391"/>
      <c r="I57" s="391"/>
      <c r="J57" s="391"/>
      <c r="K57" s="391"/>
    </row>
    <row r="58" spans="1:11" ht="12.75">
      <c r="A58" s="355"/>
      <c r="B58" s="355"/>
      <c r="C58" s="355"/>
      <c r="D58" s="355"/>
      <c r="E58" s="355"/>
      <c r="F58" s="355"/>
      <c r="G58" s="355"/>
      <c r="H58" s="355"/>
      <c r="I58" s="355"/>
      <c r="J58" s="355"/>
      <c r="K58" s="355"/>
    </row>
    <row r="59" spans="1:11" ht="12.75">
      <c r="A59" s="355"/>
      <c r="B59" s="355"/>
      <c r="C59" s="355"/>
      <c r="D59" s="355"/>
      <c r="E59" s="355"/>
      <c r="F59" s="355"/>
      <c r="G59" s="355"/>
      <c r="H59" s="355"/>
      <c r="I59" s="355"/>
      <c r="J59" s="355"/>
      <c r="K59" s="355"/>
    </row>
    <row r="60" spans="1:11" ht="12.75">
      <c r="A60" s="355"/>
      <c r="B60" s="355"/>
      <c r="C60" s="355"/>
      <c r="D60" s="355"/>
      <c r="E60" s="355"/>
      <c r="F60" s="355"/>
      <c r="G60" s="355"/>
      <c r="H60" s="355"/>
      <c r="I60" s="355"/>
      <c r="J60" s="355"/>
      <c r="K60" s="355"/>
    </row>
    <row r="62" spans="1:9" ht="12.75">
      <c r="A62" s="393" t="s">
        <v>476</v>
      </c>
      <c r="B62" s="393"/>
      <c r="C62" s="393"/>
      <c r="D62" s="393" t="s">
        <v>477</v>
      </c>
      <c r="E62" s="393"/>
      <c r="F62" s="393"/>
      <c r="G62" s="393" t="s">
        <v>478</v>
      </c>
      <c r="H62" s="393"/>
      <c r="I62" s="393"/>
    </row>
    <row r="63" spans="1:9" ht="23.25" customHeight="1">
      <c r="A63" s="393"/>
      <c r="B63" s="393"/>
      <c r="C63" s="393"/>
      <c r="D63" s="393"/>
      <c r="E63" s="393"/>
      <c r="F63" s="393"/>
      <c r="G63" s="393"/>
      <c r="H63" s="393"/>
      <c r="I63" s="393"/>
    </row>
    <row r="64" spans="1:9" ht="23.25" customHeight="1">
      <c r="A64" s="393"/>
      <c r="B64" s="393"/>
      <c r="C64" s="393"/>
      <c r="D64" s="393"/>
      <c r="E64" s="393"/>
      <c r="F64" s="393"/>
      <c r="G64" s="393"/>
      <c r="H64" s="393"/>
      <c r="I64" s="393"/>
    </row>
    <row r="65" spans="1:9" ht="23.25" customHeight="1">
      <c r="A65" s="393"/>
      <c r="B65" s="393"/>
      <c r="C65" s="393"/>
      <c r="D65" s="393"/>
      <c r="E65" s="393"/>
      <c r="F65" s="393"/>
      <c r="G65" s="393"/>
      <c r="H65" s="393"/>
      <c r="I65" s="393"/>
    </row>
  </sheetData>
  <mergeCells count="24">
    <mergeCell ref="G49:K49"/>
    <mergeCell ref="A2:K2"/>
    <mergeCell ref="A45:K45"/>
    <mergeCell ref="A48:F48"/>
    <mergeCell ref="G48:K48"/>
    <mergeCell ref="A40:H40"/>
    <mergeCell ref="A23:K23"/>
    <mergeCell ref="A5:K5"/>
    <mergeCell ref="A3:K3"/>
    <mergeCell ref="A49:F49"/>
    <mergeCell ref="A65:C65"/>
    <mergeCell ref="D65:F65"/>
    <mergeCell ref="G65:I65"/>
    <mergeCell ref="A63:C63"/>
    <mergeCell ref="D63:F63"/>
    <mergeCell ref="G63:I63"/>
    <mergeCell ref="A64:C64"/>
    <mergeCell ref="D64:F64"/>
    <mergeCell ref="G64:I64"/>
    <mergeCell ref="A50:F51"/>
    <mergeCell ref="G50:K51"/>
    <mergeCell ref="A62:C62"/>
    <mergeCell ref="D62:F62"/>
    <mergeCell ref="G62:I62"/>
  </mergeCells>
  <printOptions/>
  <pageMargins left="0.24" right="0.46" top="0.6" bottom="0.76" header="0.5" footer="0.5"/>
  <pageSetup fitToHeight="1" fitToWidth="1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2"/>
  <sheetViews>
    <sheetView showGridLines="0" showZeros="0" zoomScale="85" zoomScaleNormal="85" zoomScaleSheetLayoutView="8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U143" sqref="U143"/>
    </sheetView>
  </sheetViews>
  <sheetFormatPr defaultColWidth="9.140625" defaultRowHeight="12.75"/>
  <cols>
    <col min="1" max="1" width="3.140625" style="1" customWidth="1"/>
    <col min="2" max="2" width="2.7109375" style="66" customWidth="1"/>
    <col min="3" max="3" width="20.140625" style="2" customWidth="1"/>
    <col min="4" max="4" width="23.57421875" style="2" customWidth="1"/>
    <col min="5" max="5" width="12.8515625" style="2" customWidth="1"/>
    <col min="6" max="6" width="16.140625" style="2" customWidth="1"/>
    <col min="7" max="7" width="12.421875" style="2" customWidth="1"/>
    <col min="8" max="8" width="10.00390625" style="2" customWidth="1"/>
    <col min="9" max="9" width="15.57421875" style="2" customWidth="1"/>
    <col min="10" max="10" width="10.00390625" style="2" customWidth="1"/>
    <col min="11" max="11" width="10.28125" style="2" customWidth="1"/>
    <col min="12" max="12" width="10.57421875" style="191" customWidth="1"/>
    <col min="13" max="13" width="12.8515625" style="2" customWidth="1"/>
    <col min="14" max="14" width="10.57421875" style="2" customWidth="1"/>
    <col min="15" max="15" width="13.00390625" style="191" customWidth="1"/>
    <col min="16" max="16" width="12.421875" style="2" customWidth="1"/>
    <col min="17" max="17" width="10.421875" style="2" customWidth="1"/>
    <col min="18" max="18" width="12.00390625" style="191" customWidth="1"/>
    <col min="19" max="19" width="11.00390625" style="2" customWidth="1"/>
    <col min="20" max="20" width="13.140625" style="29" customWidth="1"/>
    <col min="21" max="21" width="11.7109375" style="2" customWidth="1"/>
    <col min="22" max="22" width="14.140625" style="2" customWidth="1"/>
    <col min="23" max="16384" width="9.140625" style="2" customWidth="1"/>
  </cols>
  <sheetData>
    <row r="1" spans="1:20" s="1" customFormat="1" ht="15.75">
      <c r="A1" s="337" t="s">
        <v>48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1"/>
    </row>
    <row r="2" spans="1:22" ht="11.25">
      <c r="A2" s="78"/>
      <c r="B2" s="72"/>
      <c r="C2" s="73" t="s">
        <v>0</v>
      </c>
      <c r="D2" s="101" t="s">
        <v>49</v>
      </c>
      <c r="E2" s="141" t="s">
        <v>33</v>
      </c>
      <c r="F2" s="69"/>
      <c r="G2" s="74">
        <f>+M16+M43+M178+M206+M237+M253+M334</f>
        <v>3563800</v>
      </c>
      <c r="H2" s="140">
        <f>M2/G2</f>
        <v>0.9020859623768412</v>
      </c>
      <c r="I2" s="70" t="s">
        <v>32</v>
      </c>
      <c r="J2" s="71">
        <v>38047</v>
      </c>
      <c r="K2" s="80">
        <f>G4</f>
        <v>160095</v>
      </c>
      <c r="L2" s="184" t="s">
        <v>29</v>
      </c>
      <c r="M2" s="64">
        <f>SUM(M3:M11)</f>
        <v>3214853.9527185867</v>
      </c>
      <c r="N2" s="64">
        <f aca="true" t="shared" si="0" ref="N2:T2">SUM(N3:N11)</f>
        <v>10528.1828</v>
      </c>
      <c r="O2" s="206">
        <f t="shared" si="0"/>
        <v>3225382.1355185867</v>
      </c>
      <c r="P2" s="64">
        <f t="shared" si="0"/>
        <v>2089655.069267081</v>
      </c>
      <c r="Q2" s="64">
        <f t="shared" si="0"/>
        <v>6843.31882</v>
      </c>
      <c r="R2" s="206">
        <f t="shared" si="0"/>
        <v>2096498.388087081</v>
      </c>
      <c r="S2" s="64">
        <f t="shared" si="0"/>
        <v>742669.5</v>
      </c>
      <c r="T2" s="64">
        <f t="shared" si="0"/>
        <v>1352121.2517878625</v>
      </c>
      <c r="U2" s="206">
        <v>742669.5</v>
      </c>
      <c r="V2" s="319" t="s">
        <v>643</v>
      </c>
    </row>
    <row r="3" spans="1:21" s="30" customFormat="1" ht="11.25">
      <c r="A3" s="60"/>
      <c r="B3" s="72"/>
      <c r="C3" s="36" t="s">
        <v>149</v>
      </c>
      <c r="D3" s="37"/>
      <c r="E3" s="38" t="s">
        <v>224</v>
      </c>
      <c r="F3" s="39"/>
      <c r="G3" s="75">
        <v>2316470</v>
      </c>
      <c r="H3" s="139">
        <f>P2/G3</f>
        <v>0.9020859623768411</v>
      </c>
      <c r="J3" s="75" t="s">
        <v>36</v>
      </c>
      <c r="K3" s="64">
        <f>N2</f>
        <v>10528.1828</v>
      </c>
      <c r="L3" s="184" t="s">
        <v>30</v>
      </c>
      <c r="M3" s="64">
        <f aca="true" t="shared" si="1" ref="M3:T6">M17+M44+M179+M207+M238+M254+M335</f>
        <v>440986.720412426</v>
      </c>
      <c r="N3" s="64">
        <f t="shared" si="1"/>
        <v>0</v>
      </c>
      <c r="O3" s="206">
        <f t="shared" si="1"/>
        <v>440986.720412426</v>
      </c>
      <c r="P3" s="64">
        <f t="shared" si="1"/>
        <v>286641.3682680769</v>
      </c>
      <c r="Q3" s="64">
        <f t="shared" si="1"/>
        <v>0</v>
      </c>
      <c r="R3" s="206">
        <f t="shared" si="1"/>
        <v>286641.3682680769</v>
      </c>
      <c r="S3" s="64">
        <f t="shared" si="1"/>
        <v>107490.51310052884</v>
      </c>
      <c r="T3" s="64">
        <f t="shared" si="1"/>
        <v>179150.85516754806</v>
      </c>
      <c r="U3" s="237">
        <f>T3</f>
        <v>179150.85516754806</v>
      </c>
    </row>
    <row r="4" spans="1:21" s="30" customFormat="1" ht="11.25">
      <c r="A4" s="60"/>
      <c r="B4" s="72"/>
      <c r="C4" s="36" t="s">
        <v>148</v>
      </c>
      <c r="D4" s="37"/>
      <c r="E4" s="38" t="s">
        <v>34</v>
      </c>
      <c r="F4" s="39"/>
      <c r="G4" s="75">
        <v>160095</v>
      </c>
      <c r="H4" s="139">
        <f>Q2/G4</f>
        <v>0.042745362565976455</v>
      </c>
      <c r="J4" s="76" t="s">
        <v>37</v>
      </c>
      <c r="K4" s="77">
        <f>K2-K3</f>
        <v>149566.8172</v>
      </c>
      <c r="L4" s="184" t="s">
        <v>31</v>
      </c>
      <c r="M4" s="64">
        <f t="shared" si="1"/>
        <v>153401.64232133335</v>
      </c>
      <c r="N4" s="64">
        <f t="shared" si="1"/>
        <v>0</v>
      </c>
      <c r="O4" s="206">
        <f t="shared" si="1"/>
        <v>153401.64232133335</v>
      </c>
      <c r="P4" s="64">
        <f t="shared" si="1"/>
        <v>99711.06750886668</v>
      </c>
      <c r="Q4" s="64">
        <f t="shared" si="1"/>
        <v>0</v>
      </c>
      <c r="R4" s="206">
        <f t="shared" si="1"/>
        <v>99711.06750886668</v>
      </c>
      <c r="S4" s="64">
        <f t="shared" si="1"/>
        <v>37391.650315825005</v>
      </c>
      <c r="T4" s="64">
        <f t="shared" si="1"/>
        <v>62319.41719304167</v>
      </c>
      <c r="U4" s="237">
        <f>T4</f>
        <v>62319.41719304167</v>
      </c>
    </row>
    <row r="5" spans="1:21" s="30" customFormat="1" ht="11.25">
      <c r="A5" s="72"/>
      <c r="B5" s="72"/>
      <c r="C5" s="36" t="s">
        <v>243</v>
      </c>
      <c r="D5" s="37"/>
      <c r="E5" s="38" t="s">
        <v>35</v>
      </c>
      <c r="F5" s="39"/>
      <c r="G5" s="75">
        <f>SUM(G3:G4)</f>
        <v>2476565</v>
      </c>
      <c r="H5" s="139">
        <f>+R2/G5</f>
        <v>0.8465347721893353</v>
      </c>
      <c r="L5" s="184" t="s">
        <v>267</v>
      </c>
      <c r="M5" s="64">
        <f t="shared" si="1"/>
        <v>315783.20349</v>
      </c>
      <c r="N5" s="64">
        <f t="shared" si="1"/>
        <v>0</v>
      </c>
      <c r="O5" s="206">
        <f t="shared" si="1"/>
        <v>315783.20349</v>
      </c>
      <c r="P5" s="64">
        <f t="shared" si="1"/>
        <v>205259.0822685</v>
      </c>
      <c r="Q5" s="64">
        <f t="shared" si="1"/>
        <v>0</v>
      </c>
      <c r="R5" s="206">
        <f t="shared" si="1"/>
        <v>205259.0822685</v>
      </c>
      <c r="S5" s="64">
        <f t="shared" si="1"/>
        <v>76972.1558506875</v>
      </c>
      <c r="T5" s="64">
        <f t="shared" si="1"/>
        <v>128286.92641781252</v>
      </c>
      <c r="U5" s="237">
        <f>128735.89</f>
        <v>128735.89</v>
      </c>
    </row>
    <row r="6" spans="3:21" ht="11.25">
      <c r="C6" s="36" t="s">
        <v>327</v>
      </c>
      <c r="L6" s="184" t="s">
        <v>328</v>
      </c>
      <c r="M6" s="64">
        <f t="shared" si="1"/>
        <v>330492.510235</v>
      </c>
      <c r="N6" s="64">
        <f t="shared" si="1"/>
        <v>1186.4</v>
      </c>
      <c r="O6" s="206">
        <f t="shared" si="1"/>
        <v>331678.910235</v>
      </c>
      <c r="P6" s="64">
        <f t="shared" si="1"/>
        <v>214820.13165275002</v>
      </c>
      <c r="Q6" s="64">
        <f t="shared" si="1"/>
        <v>771.1600000000001</v>
      </c>
      <c r="R6" s="206">
        <f t="shared" si="1"/>
        <v>215591.29165275002</v>
      </c>
      <c r="S6" s="64">
        <f t="shared" si="1"/>
        <v>80846.73436978126</v>
      </c>
      <c r="T6" s="64">
        <f t="shared" si="1"/>
        <v>134744.55728296874</v>
      </c>
      <c r="U6" s="237">
        <v>136003.23</v>
      </c>
    </row>
    <row r="7" spans="3:21" ht="11.25">
      <c r="C7" s="37" t="s">
        <v>353</v>
      </c>
      <c r="L7" s="184" t="s">
        <v>351</v>
      </c>
      <c r="M7" s="64">
        <f aca="true" t="shared" si="2" ref="M7:S7">M21+M48+M183+M211+M242+M258+M339</f>
        <v>430485.0560784313</v>
      </c>
      <c r="N7" s="64">
        <f t="shared" si="2"/>
        <v>152.59</v>
      </c>
      <c r="O7" s="206">
        <f t="shared" si="2"/>
        <v>430637.64607843134</v>
      </c>
      <c r="P7" s="64">
        <f t="shared" si="2"/>
        <v>279815.2864509804</v>
      </c>
      <c r="Q7" s="64">
        <f t="shared" si="2"/>
        <v>99.18350000000001</v>
      </c>
      <c r="R7" s="206">
        <f t="shared" si="2"/>
        <v>279914.4699509804</v>
      </c>
      <c r="S7" s="64">
        <f t="shared" si="2"/>
        <v>104967.92623161765</v>
      </c>
      <c r="T7" s="64">
        <f>T21+T48+T183+T211+T242+T258+T339-1707.63629921874</f>
        <v>173238.907420144</v>
      </c>
      <c r="U7" s="237">
        <v>173238.9</v>
      </c>
    </row>
    <row r="8" spans="3:21" ht="11.25">
      <c r="C8" s="37" t="s">
        <v>554</v>
      </c>
      <c r="L8" s="184" t="s">
        <v>555</v>
      </c>
      <c r="M8" s="64">
        <f aca="true" t="shared" si="3" ref="M8:N11">+M22+M49+M184+M212+M243+M259+M340</f>
        <v>416062.01123400003</v>
      </c>
      <c r="N8" s="64">
        <f t="shared" si="3"/>
        <v>2998.77</v>
      </c>
      <c r="O8" s="206">
        <f>+N8+M8</f>
        <v>419060.78123400005</v>
      </c>
      <c r="P8" s="64">
        <f aca="true" t="shared" si="4" ref="P8:Q11">+P22+P49+P184+P212+P243+P259+P340</f>
        <v>270440.3073021</v>
      </c>
      <c r="Q8" s="64">
        <f t="shared" si="4"/>
        <v>1949.2005</v>
      </c>
      <c r="R8" s="206">
        <f>+Q8+P8</f>
        <v>272389.5078021</v>
      </c>
      <c r="S8" s="64">
        <f aca="true" t="shared" si="5" ref="S8:T10">+S22+S49+S184+S212+S243+S259+S340</f>
        <v>102146.06542578751</v>
      </c>
      <c r="T8" s="64">
        <f t="shared" si="5"/>
        <v>170243.4423763125</v>
      </c>
      <c r="U8" s="237">
        <v>170243.44</v>
      </c>
    </row>
    <row r="9" spans="3:21" ht="11.25">
      <c r="C9" s="37" t="s">
        <v>589</v>
      </c>
      <c r="L9" s="184" t="s">
        <v>587</v>
      </c>
      <c r="M9" s="64">
        <f t="shared" si="3"/>
        <v>385788.9105041637</v>
      </c>
      <c r="N9" s="64">
        <f t="shared" si="3"/>
        <v>1770.96</v>
      </c>
      <c r="O9" s="206">
        <f>+N9+M9</f>
        <v>387559.87050416373</v>
      </c>
      <c r="P9" s="64">
        <f t="shared" si="4"/>
        <v>250762.79182770642</v>
      </c>
      <c r="Q9" s="64">
        <f t="shared" si="4"/>
        <v>1151.124</v>
      </c>
      <c r="R9" s="206">
        <f>+Q9+P9</f>
        <v>251913.91582770643</v>
      </c>
      <c r="S9" s="64">
        <f t="shared" si="5"/>
        <v>94467.71843538992</v>
      </c>
      <c r="T9" s="64">
        <f t="shared" si="5"/>
        <v>157446.19739231654</v>
      </c>
      <c r="U9" s="237">
        <v>157446.197392317</v>
      </c>
    </row>
    <row r="10" spans="3:21" ht="11.25">
      <c r="C10" s="37" t="s">
        <v>693</v>
      </c>
      <c r="L10" s="184" t="s">
        <v>694</v>
      </c>
      <c r="M10" s="64">
        <f t="shared" si="3"/>
        <v>329151.19963478984</v>
      </c>
      <c r="N10" s="64">
        <f t="shared" si="3"/>
        <v>1800</v>
      </c>
      <c r="O10" s="206">
        <f>+N10+M10</f>
        <v>330951.19963478984</v>
      </c>
      <c r="P10" s="64">
        <f t="shared" si="4"/>
        <v>213948.27976261338</v>
      </c>
      <c r="Q10" s="64">
        <f t="shared" si="4"/>
        <v>1170</v>
      </c>
      <c r="R10" s="206">
        <f>+Q10+P10</f>
        <v>215118.27976261338</v>
      </c>
      <c r="S10" s="64">
        <f t="shared" si="5"/>
        <v>80669.35491098002</v>
      </c>
      <c r="T10" s="64">
        <f t="shared" si="5"/>
        <v>134448.92485163338</v>
      </c>
      <c r="U10" s="237">
        <v>134448.924851633</v>
      </c>
    </row>
    <row r="11" spans="3:21" ht="11.25">
      <c r="C11" s="37" t="s">
        <v>841</v>
      </c>
      <c r="L11" s="184" t="s">
        <v>842</v>
      </c>
      <c r="M11" s="64">
        <f t="shared" si="3"/>
        <v>412702.6988084423</v>
      </c>
      <c r="N11" s="64">
        <f t="shared" si="3"/>
        <v>2619.4628000000002</v>
      </c>
      <c r="O11" s="206">
        <f>+N11+M11</f>
        <v>415322.16160844226</v>
      </c>
      <c r="P11" s="64">
        <f t="shared" si="4"/>
        <v>268256.7542254875</v>
      </c>
      <c r="Q11" s="64">
        <f t="shared" si="4"/>
        <v>1702.6508200000003</v>
      </c>
      <c r="R11" s="206">
        <f>+Q11+P11</f>
        <v>269959.40504548745</v>
      </c>
      <c r="S11" s="325">
        <f>742669.5-S10-S9-S8-S7-S6-S5-S4-S3</f>
        <v>57717.38135940231</v>
      </c>
      <c r="T11" s="64">
        <f>+R11-S11</f>
        <v>212242.02368608513</v>
      </c>
      <c r="U11" s="237"/>
    </row>
    <row r="12" spans="3:21" ht="11.25">
      <c r="C12" s="37"/>
      <c r="L12" s="184"/>
      <c r="M12" s="77"/>
      <c r="N12" s="77"/>
      <c r="O12" s="237"/>
      <c r="P12" s="77"/>
      <c r="Q12" s="77"/>
      <c r="R12" s="218"/>
      <c r="S12" s="77"/>
      <c r="T12" s="77"/>
      <c r="U12" s="237"/>
    </row>
    <row r="13" spans="1:21" s="30" customFormat="1" ht="11.25">
      <c r="A13" s="60"/>
      <c r="B13" s="79"/>
      <c r="D13" s="37"/>
      <c r="E13" s="38"/>
      <c r="F13" s="39"/>
      <c r="G13" s="39"/>
      <c r="H13" s="40"/>
      <c r="L13" s="184"/>
      <c r="M13" s="309"/>
      <c r="N13" s="309"/>
      <c r="O13" s="310"/>
      <c r="P13" s="309"/>
      <c r="Q13" s="309"/>
      <c r="R13" s="310"/>
      <c r="S13" s="309"/>
      <c r="T13" s="309"/>
      <c r="U13" s="184"/>
    </row>
    <row r="14" spans="1:21" ht="22.5">
      <c r="A14" s="7" t="s">
        <v>14</v>
      </c>
      <c r="B14" s="7" t="s">
        <v>11</v>
      </c>
      <c r="C14" s="34" t="s">
        <v>23</v>
      </c>
      <c r="D14" s="34" t="s">
        <v>19</v>
      </c>
      <c r="E14" s="42" t="s">
        <v>2</v>
      </c>
      <c r="F14" s="34" t="s">
        <v>18</v>
      </c>
      <c r="G14" s="34" t="s">
        <v>17</v>
      </c>
      <c r="H14" s="42" t="s">
        <v>16</v>
      </c>
      <c r="I14" s="42" t="s">
        <v>15</v>
      </c>
      <c r="J14" s="34" t="s">
        <v>3</v>
      </c>
      <c r="K14" s="34" t="s">
        <v>4</v>
      </c>
      <c r="L14" s="185" t="s">
        <v>5</v>
      </c>
      <c r="M14" s="7" t="s">
        <v>20</v>
      </c>
      <c r="N14" s="7" t="s">
        <v>39</v>
      </c>
      <c r="O14" s="185" t="s">
        <v>42</v>
      </c>
      <c r="P14" s="7" t="s">
        <v>21</v>
      </c>
      <c r="Q14" s="27" t="s">
        <v>40</v>
      </c>
      <c r="R14" s="217" t="s">
        <v>41</v>
      </c>
      <c r="S14" s="418" t="s">
        <v>26</v>
      </c>
      <c r="T14" s="418"/>
      <c r="U14" s="191"/>
    </row>
    <row r="15" spans="1:21" ht="11.25">
      <c r="A15" s="41"/>
      <c r="B15" s="65"/>
      <c r="C15" s="422" t="s">
        <v>6</v>
      </c>
      <c r="D15" s="423"/>
      <c r="E15" s="423"/>
      <c r="F15" s="423"/>
      <c r="G15" s="423"/>
      <c r="H15" s="423"/>
      <c r="I15" s="423"/>
      <c r="J15" s="423"/>
      <c r="K15" s="423"/>
      <c r="L15" s="424"/>
      <c r="M15" s="96" t="s">
        <v>44</v>
      </c>
      <c r="N15" s="96" t="s">
        <v>39</v>
      </c>
      <c r="O15" s="207" t="s">
        <v>45</v>
      </c>
      <c r="P15" s="96" t="s">
        <v>46</v>
      </c>
      <c r="Q15" s="96" t="s">
        <v>47</v>
      </c>
      <c r="R15" s="207" t="s">
        <v>41</v>
      </c>
      <c r="S15" s="32" t="s">
        <v>24</v>
      </c>
      <c r="T15" s="33" t="s">
        <v>25</v>
      </c>
      <c r="U15" s="238" t="s">
        <v>350</v>
      </c>
    </row>
    <row r="16" spans="1:18" s="1" customFormat="1" ht="11.25">
      <c r="A16" s="349"/>
      <c r="B16" s="350"/>
      <c r="C16" s="56"/>
      <c r="D16" s="43"/>
      <c r="E16" s="43"/>
      <c r="F16" s="43"/>
      <c r="G16" s="43"/>
      <c r="H16" s="43"/>
      <c r="I16" s="43"/>
      <c r="J16" s="43"/>
      <c r="K16" s="57"/>
      <c r="L16" s="186" t="s">
        <v>12</v>
      </c>
      <c r="M16" s="81">
        <f>2332.3*1000</f>
        <v>2332300</v>
      </c>
      <c r="N16" s="81"/>
      <c r="O16" s="208"/>
      <c r="P16" s="3"/>
      <c r="Q16" s="3"/>
      <c r="R16" s="218"/>
    </row>
    <row r="17" spans="1:20" s="1" customFormat="1" ht="11.25">
      <c r="A17" s="349"/>
      <c r="B17" s="350"/>
      <c r="C17" s="45"/>
      <c r="D17" s="44"/>
      <c r="E17" s="44"/>
      <c r="F17" s="44"/>
      <c r="G17" s="44"/>
      <c r="H17" s="44"/>
      <c r="I17" s="44"/>
      <c r="J17" s="44"/>
      <c r="K17" s="4">
        <f>SUM(K29:K30)</f>
        <v>0</v>
      </c>
      <c r="L17" s="187" t="s">
        <v>27</v>
      </c>
      <c r="M17" s="4">
        <f aca="true" t="shared" si="6" ref="M17:R20">SUM(M28)</f>
        <v>377892.8904859554</v>
      </c>
      <c r="N17" s="4">
        <f t="shared" si="6"/>
        <v>0</v>
      </c>
      <c r="O17" s="209">
        <f t="shared" si="6"/>
        <v>377892.8904859554</v>
      </c>
      <c r="P17" s="4">
        <f t="shared" si="6"/>
        <v>245630.37881587102</v>
      </c>
      <c r="Q17" s="4">
        <f t="shared" si="6"/>
        <v>0</v>
      </c>
      <c r="R17" s="209">
        <f t="shared" si="6"/>
        <v>245630.37881587102</v>
      </c>
      <c r="S17" s="5">
        <f aca="true" t="shared" si="7" ref="S17:S25">R17*0.375</f>
        <v>92111.39205595164</v>
      </c>
      <c r="T17" s="5">
        <f aca="true" t="shared" si="8" ref="T17:T22">R17-S17</f>
        <v>153518.98675991938</v>
      </c>
    </row>
    <row r="18" spans="1:20" s="1" customFormat="1" ht="11.25">
      <c r="A18" s="349"/>
      <c r="B18" s="350"/>
      <c r="C18" s="45"/>
      <c r="D18" s="44"/>
      <c r="E18" s="44"/>
      <c r="F18" s="44"/>
      <c r="G18" s="44"/>
      <c r="H18" s="44"/>
      <c r="I18" s="44"/>
      <c r="J18" s="44"/>
      <c r="K18" s="46"/>
      <c r="L18" s="187" t="s">
        <v>28</v>
      </c>
      <c r="M18" s="4">
        <f t="shared" si="6"/>
        <v>113590.75</v>
      </c>
      <c r="N18" s="4">
        <f t="shared" si="6"/>
        <v>0</v>
      </c>
      <c r="O18" s="209">
        <f t="shared" si="6"/>
        <v>113590.75</v>
      </c>
      <c r="P18" s="4">
        <f t="shared" si="6"/>
        <v>73833.9875</v>
      </c>
      <c r="Q18" s="4">
        <f t="shared" si="6"/>
        <v>0</v>
      </c>
      <c r="R18" s="209">
        <f t="shared" si="6"/>
        <v>73833.9875</v>
      </c>
      <c r="S18" s="5">
        <f t="shared" si="7"/>
        <v>27687.745312500003</v>
      </c>
      <c r="T18" s="5">
        <f t="shared" si="8"/>
        <v>46146.2421875</v>
      </c>
    </row>
    <row r="19" spans="1:20" s="1" customFormat="1" ht="11.25">
      <c r="A19" s="349"/>
      <c r="B19" s="350"/>
      <c r="C19" s="45"/>
      <c r="D19" s="44"/>
      <c r="E19" s="44"/>
      <c r="F19" s="44"/>
      <c r="G19" s="44"/>
      <c r="H19" s="44"/>
      <c r="I19" s="44"/>
      <c r="J19" s="44"/>
      <c r="K19" s="46"/>
      <c r="L19" s="187" t="s">
        <v>266</v>
      </c>
      <c r="M19" s="4">
        <f t="shared" si="6"/>
        <v>218387.00000000003</v>
      </c>
      <c r="N19" s="4">
        <f t="shared" si="6"/>
        <v>0</v>
      </c>
      <c r="O19" s="209">
        <f t="shared" si="6"/>
        <v>218387.00000000003</v>
      </c>
      <c r="P19" s="4">
        <f t="shared" si="6"/>
        <v>141951.55000000002</v>
      </c>
      <c r="Q19" s="4">
        <f t="shared" si="6"/>
        <v>0</v>
      </c>
      <c r="R19" s="209">
        <f t="shared" si="6"/>
        <v>141951.55000000002</v>
      </c>
      <c r="S19" s="5">
        <f t="shared" si="7"/>
        <v>53231.83125</v>
      </c>
      <c r="T19" s="5">
        <f t="shared" si="8"/>
        <v>88719.71875000001</v>
      </c>
    </row>
    <row r="20" spans="1:20" s="1" customFormat="1" ht="11.25">
      <c r="A20" s="349"/>
      <c r="B20" s="350"/>
      <c r="C20" s="45"/>
      <c r="D20" s="44"/>
      <c r="E20" s="44"/>
      <c r="F20" s="44"/>
      <c r="G20" s="44"/>
      <c r="H20" s="44"/>
      <c r="I20" s="44"/>
      <c r="J20" s="44"/>
      <c r="K20" s="46"/>
      <c r="L20" s="187" t="s">
        <v>329</v>
      </c>
      <c r="M20" s="4">
        <f t="shared" si="6"/>
        <v>287574.07</v>
      </c>
      <c r="N20" s="4">
        <f t="shared" si="6"/>
        <v>0</v>
      </c>
      <c r="O20" s="209">
        <f t="shared" si="6"/>
        <v>287574.07</v>
      </c>
      <c r="P20" s="4">
        <f t="shared" si="6"/>
        <v>186923.1455</v>
      </c>
      <c r="Q20" s="4">
        <f t="shared" si="6"/>
        <v>0</v>
      </c>
      <c r="R20" s="209">
        <f t="shared" si="6"/>
        <v>186923.1455</v>
      </c>
      <c r="S20" s="5">
        <f t="shared" si="7"/>
        <v>70096.17956250001</v>
      </c>
      <c r="T20" s="5">
        <f t="shared" si="8"/>
        <v>116826.9659375</v>
      </c>
    </row>
    <row r="21" spans="1:20" s="1" customFormat="1" ht="11.25">
      <c r="A21" s="349"/>
      <c r="B21" s="350"/>
      <c r="C21" s="45"/>
      <c r="D21" s="44"/>
      <c r="E21" s="44"/>
      <c r="F21" s="44"/>
      <c r="G21" s="44"/>
      <c r="H21" s="44"/>
      <c r="I21" s="44"/>
      <c r="J21" s="44"/>
      <c r="K21" s="46"/>
      <c r="L21" s="187" t="s">
        <v>352</v>
      </c>
      <c r="M21" s="4">
        <f aca="true" t="shared" si="9" ref="M21:R21">+M32</f>
        <v>354961.91</v>
      </c>
      <c r="N21" s="4">
        <f t="shared" si="9"/>
        <v>0</v>
      </c>
      <c r="O21" s="209">
        <f t="shared" si="9"/>
        <v>354961.91</v>
      </c>
      <c r="P21" s="4">
        <f t="shared" si="9"/>
        <v>230725.2415</v>
      </c>
      <c r="Q21" s="4">
        <f t="shared" si="9"/>
        <v>0</v>
      </c>
      <c r="R21" s="209">
        <f t="shared" si="9"/>
        <v>230725.2415</v>
      </c>
      <c r="S21" s="5">
        <f t="shared" si="7"/>
        <v>86521.9655625</v>
      </c>
      <c r="T21" s="5">
        <f t="shared" si="8"/>
        <v>144203.2759375</v>
      </c>
    </row>
    <row r="22" spans="1:20" s="1" customFormat="1" ht="11.25">
      <c r="A22" s="349"/>
      <c r="B22" s="350"/>
      <c r="C22" s="45"/>
      <c r="D22" s="44"/>
      <c r="E22" s="44"/>
      <c r="F22" s="44"/>
      <c r="G22" s="44"/>
      <c r="H22" s="44"/>
      <c r="I22" s="44"/>
      <c r="J22" s="44"/>
      <c r="K22" s="46"/>
      <c r="L22" s="187" t="s">
        <v>565</v>
      </c>
      <c r="M22" s="4">
        <f>SUM(M33)</f>
        <v>325765.5</v>
      </c>
      <c r="N22" s="4"/>
      <c r="O22" s="209">
        <f>+N22+M22</f>
        <v>325765.5</v>
      </c>
      <c r="P22" s="4">
        <f>SUM(P33)</f>
        <v>211747.575</v>
      </c>
      <c r="Q22" s="4"/>
      <c r="R22" s="209">
        <f>+Q22+P22</f>
        <v>211747.575</v>
      </c>
      <c r="S22" s="5">
        <f t="shared" si="7"/>
        <v>79405.34062500001</v>
      </c>
      <c r="T22" s="5">
        <f t="shared" si="8"/>
        <v>132342.234375</v>
      </c>
    </row>
    <row r="23" spans="1:20" s="1" customFormat="1" ht="11.25">
      <c r="A23" s="349"/>
      <c r="B23" s="350"/>
      <c r="C23" s="45"/>
      <c r="D23" s="44"/>
      <c r="E23" s="44"/>
      <c r="F23" s="44"/>
      <c r="G23" s="44"/>
      <c r="H23" s="44"/>
      <c r="I23" s="44"/>
      <c r="J23" s="44"/>
      <c r="K23" s="46"/>
      <c r="L23" s="187" t="s">
        <v>588</v>
      </c>
      <c r="M23" s="4">
        <f>SUM(M34)</f>
        <v>244075.73197355148</v>
      </c>
      <c r="N23" s="4"/>
      <c r="O23" s="209">
        <f>+N23+M23</f>
        <v>244075.73197355148</v>
      </c>
      <c r="P23" s="4">
        <f>SUM(P34)</f>
        <v>158649.22578280847</v>
      </c>
      <c r="Q23" s="4"/>
      <c r="R23" s="209">
        <f>+Q23+P23</f>
        <v>158649.22578280847</v>
      </c>
      <c r="S23" s="5">
        <f t="shared" si="7"/>
        <v>59493.45966855317</v>
      </c>
      <c r="T23" s="5">
        <f>R23-S23</f>
        <v>99155.7661142553</v>
      </c>
    </row>
    <row r="24" spans="1:21" s="1" customFormat="1" ht="11.25">
      <c r="A24" s="349"/>
      <c r="B24" s="350"/>
      <c r="C24" s="45"/>
      <c r="D24" s="44"/>
      <c r="E24" s="44"/>
      <c r="F24" s="44"/>
      <c r="G24" s="44"/>
      <c r="H24" s="44"/>
      <c r="I24" s="44"/>
      <c r="J24" s="44"/>
      <c r="K24" s="46"/>
      <c r="L24" s="187" t="s">
        <v>695</v>
      </c>
      <c r="M24" s="4">
        <f>SUM(M35:M36)</f>
        <v>260709.30048585363</v>
      </c>
      <c r="N24" s="4">
        <f>SUM(N35:N36)</f>
        <v>0</v>
      </c>
      <c r="O24" s="209">
        <f>+N24+M24</f>
        <v>260709.30048585363</v>
      </c>
      <c r="P24" s="4">
        <f>SUM(P35:P36)</f>
        <v>169461.04531580486</v>
      </c>
      <c r="Q24" s="4">
        <f>SUM(Q35:Q36)</f>
        <v>0</v>
      </c>
      <c r="R24" s="209">
        <f>+Q24+P24</f>
        <v>169461.04531580486</v>
      </c>
      <c r="S24" s="5">
        <f t="shared" si="7"/>
        <v>63547.89199342682</v>
      </c>
      <c r="T24" s="5">
        <f>R24-S24</f>
        <v>105913.15332237804</v>
      </c>
      <c r="U24" s="1">
        <f>+M24*0.65-P24</f>
        <v>0</v>
      </c>
    </row>
    <row r="25" spans="1:20" s="1" customFormat="1" ht="11.25">
      <c r="A25" s="349"/>
      <c r="B25" s="350"/>
      <c r="C25" s="45"/>
      <c r="D25" s="44"/>
      <c r="E25" s="44"/>
      <c r="F25" s="44"/>
      <c r="G25" s="44"/>
      <c r="H25" s="44"/>
      <c r="I25" s="44"/>
      <c r="J25" s="44"/>
      <c r="K25" s="46"/>
      <c r="L25" s="187" t="s">
        <v>843</v>
      </c>
      <c r="M25" s="4">
        <f>SUM(M37:M38)</f>
        <v>149334.10936464227</v>
      </c>
      <c r="N25" s="4">
        <f>SUM(N37:N38)</f>
        <v>0</v>
      </c>
      <c r="O25" s="209">
        <f>+N25+M25</f>
        <v>149334.10936464227</v>
      </c>
      <c r="P25" s="4">
        <f>SUM(P37:P38)</f>
        <v>97067.17108701749</v>
      </c>
      <c r="Q25" s="4">
        <f>SUM(Q37:Q38)</f>
        <v>0</v>
      </c>
      <c r="R25" s="209">
        <f>+Q25+P25</f>
        <v>97067.17108701749</v>
      </c>
      <c r="S25" s="5">
        <f t="shared" si="7"/>
        <v>36400.189157631554</v>
      </c>
      <c r="T25" s="5">
        <f>R25-S25</f>
        <v>60666.98192938593</v>
      </c>
    </row>
    <row r="26" spans="1:20" s="1" customFormat="1" ht="11.25">
      <c r="A26" s="326"/>
      <c r="B26" s="327"/>
      <c r="C26" s="47"/>
      <c r="D26" s="48"/>
      <c r="E26" s="48"/>
      <c r="F26" s="48"/>
      <c r="G26" s="48"/>
      <c r="H26" s="48"/>
      <c r="I26" s="48"/>
      <c r="J26" s="48"/>
      <c r="K26" s="49"/>
      <c r="L26" s="188" t="s">
        <v>13</v>
      </c>
      <c r="M26" s="6">
        <f>M16-M17-M18-M19-M20-M21-M22-M23-M24-M25</f>
        <v>8.737689997273264</v>
      </c>
      <c r="N26" s="6">
        <f>N16-N17-N18-N19-N20-N21-N22</f>
        <v>0</v>
      </c>
      <c r="O26" s="210"/>
      <c r="P26" s="6"/>
      <c r="Q26" s="6"/>
      <c r="R26" s="210"/>
      <c r="S26" s="35"/>
      <c r="T26" s="35"/>
    </row>
    <row r="27" spans="1:20" ht="22.5">
      <c r="A27" s="7" t="s">
        <v>14</v>
      </c>
      <c r="B27" s="7" t="s">
        <v>11</v>
      </c>
      <c r="C27" s="34" t="s">
        <v>23</v>
      </c>
      <c r="D27" s="34" t="s">
        <v>19</v>
      </c>
      <c r="E27" s="42" t="s">
        <v>2</v>
      </c>
      <c r="F27" s="34" t="s">
        <v>18</v>
      </c>
      <c r="G27" s="34" t="s">
        <v>17</v>
      </c>
      <c r="H27" s="42" t="s">
        <v>16</v>
      </c>
      <c r="I27" s="42" t="s">
        <v>15</v>
      </c>
      <c r="J27" s="34" t="s">
        <v>3</v>
      </c>
      <c r="K27" s="34" t="s">
        <v>4</v>
      </c>
      <c r="L27" s="185" t="s">
        <v>5</v>
      </c>
      <c r="M27" s="7" t="s">
        <v>20</v>
      </c>
      <c r="N27" s="7" t="s">
        <v>39</v>
      </c>
      <c r="O27" s="185" t="s">
        <v>42</v>
      </c>
      <c r="P27" s="7" t="s">
        <v>21</v>
      </c>
      <c r="Q27" s="27" t="s">
        <v>40</v>
      </c>
      <c r="R27" s="217" t="s">
        <v>41</v>
      </c>
      <c r="S27" s="418" t="s">
        <v>26</v>
      </c>
      <c r="T27" s="418"/>
    </row>
    <row r="28" spans="1:20" ht="11.25">
      <c r="A28" s="61" t="s">
        <v>150</v>
      </c>
      <c r="B28" s="8"/>
      <c r="C28" s="9" t="s">
        <v>151</v>
      </c>
      <c r="D28" s="9"/>
      <c r="E28" s="9"/>
      <c r="F28" s="9"/>
      <c r="G28" s="10"/>
      <c r="H28" s="11"/>
      <c r="I28" s="11"/>
      <c r="J28" s="12">
        <v>377892.8904859554</v>
      </c>
      <c r="K28" s="12"/>
      <c r="L28" s="189">
        <f aca="true" t="shared" si="10" ref="L28:L33">SUM(J28:K28)</f>
        <v>377892.8904859554</v>
      </c>
      <c r="M28" s="12">
        <f>L28</f>
        <v>377892.8904859554</v>
      </c>
      <c r="N28" s="12"/>
      <c r="O28" s="189">
        <f>M28+N28</f>
        <v>377892.8904859554</v>
      </c>
      <c r="P28" s="84">
        <f aca="true" t="shared" si="11" ref="P28:P33">M28*0.65</f>
        <v>245630.37881587102</v>
      </c>
      <c r="Q28" s="121"/>
      <c r="R28" s="189">
        <f aca="true" t="shared" si="12" ref="R28:R33">SUM(P28:Q28)</f>
        <v>245630.37881587102</v>
      </c>
      <c r="T28" s="2"/>
    </row>
    <row r="29" spans="1:20" s="85" customFormat="1" ht="48" customHeight="1">
      <c r="A29" s="61" t="s">
        <v>50</v>
      </c>
      <c r="B29" s="8"/>
      <c r="C29" s="9" t="s">
        <v>151</v>
      </c>
      <c r="D29" s="9" t="s">
        <v>146</v>
      </c>
      <c r="E29" s="9" t="s">
        <v>43</v>
      </c>
      <c r="F29" s="9"/>
      <c r="G29" s="11"/>
      <c r="H29" s="11"/>
      <c r="I29" s="11"/>
      <c r="J29" s="84">
        <v>113590.75</v>
      </c>
      <c r="K29" s="84"/>
      <c r="L29" s="189">
        <f t="shared" si="10"/>
        <v>113590.75</v>
      </c>
      <c r="M29" s="12">
        <f>L29</f>
        <v>113590.75</v>
      </c>
      <c r="N29" s="84"/>
      <c r="O29" s="189">
        <f>M29+N29</f>
        <v>113590.75</v>
      </c>
      <c r="P29" s="84">
        <f t="shared" si="11"/>
        <v>73833.9875</v>
      </c>
      <c r="Q29" s="84">
        <f>N29*0.65</f>
        <v>0</v>
      </c>
      <c r="R29" s="189">
        <f t="shared" si="12"/>
        <v>73833.9875</v>
      </c>
      <c r="S29" s="405" t="s">
        <v>147</v>
      </c>
      <c r="T29" s="406"/>
    </row>
    <row r="30" spans="1:20" s="85" customFormat="1" ht="35.25" customHeight="1">
      <c r="A30" s="61" t="s">
        <v>226</v>
      </c>
      <c r="B30" s="8"/>
      <c r="C30" s="9" t="s">
        <v>151</v>
      </c>
      <c r="D30" s="9" t="s">
        <v>242</v>
      </c>
      <c r="E30" s="9" t="s">
        <v>43</v>
      </c>
      <c r="F30" s="9"/>
      <c r="G30" s="11"/>
      <c r="H30" s="11"/>
      <c r="I30" s="11"/>
      <c r="J30" s="84">
        <f>5617.3+6753.6+14514+9899.88+8668.1+3696.23+14336.25+9979.68+5361.48+15365.84+3033.63+7527.78+8791.24+12000.42+13779.92+7694.37+5561.6+9365.2+13950+14621.22+3496.32+2743.34+3221.4+10325+8083.2</f>
        <v>218387.00000000003</v>
      </c>
      <c r="K30" s="84"/>
      <c r="L30" s="189">
        <f t="shared" si="10"/>
        <v>218387.00000000003</v>
      </c>
      <c r="M30" s="12">
        <f>L30</f>
        <v>218387.00000000003</v>
      </c>
      <c r="N30" s="92"/>
      <c r="O30" s="189">
        <f>SUBTOTAL(9,M30:N30)</f>
        <v>218387.00000000003</v>
      </c>
      <c r="P30" s="84">
        <f t="shared" si="11"/>
        <v>141951.55000000002</v>
      </c>
      <c r="Q30" s="84">
        <f>N30*0.65</f>
        <v>0</v>
      </c>
      <c r="R30" s="189">
        <f t="shared" si="12"/>
        <v>141951.55000000002</v>
      </c>
      <c r="S30" s="405" t="s">
        <v>334</v>
      </c>
      <c r="T30" s="406"/>
    </row>
    <row r="31" spans="1:20" s="85" customFormat="1" ht="35.25" customHeight="1">
      <c r="A31" s="61" t="s">
        <v>271</v>
      </c>
      <c r="B31" s="8"/>
      <c r="C31" s="9" t="s">
        <v>151</v>
      </c>
      <c r="D31" s="9" t="s">
        <v>293</v>
      </c>
      <c r="E31" s="9"/>
      <c r="F31" s="9"/>
      <c r="G31" s="11"/>
      <c r="H31" s="11"/>
      <c r="I31" s="11"/>
      <c r="J31" s="84">
        <v>287574.07</v>
      </c>
      <c r="K31" s="84"/>
      <c r="L31" s="189">
        <f t="shared" si="10"/>
        <v>287574.07</v>
      </c>
      <c r="M31" s="12">
        <f>L31</f>
        <v>287574.07</v>
      </c>
      <c r="N31" s="92"/>
      <c r="O31" s="189">
        <f>SUBTOTAL(9,M31:N31)</f>
        <v>287574.07</v>
      </c>
      <c r="P31" s="84">
        <f t="shared" si="11"/>
        <v>186923.1455</v>
      </c>
      <c r="Q31" s="84">
        <f>N31*0.65</f>
        <v>0</v>
      </c>
      <c r="R31" s="189">
        <f t="shared" si="12"/>
        <v>186923.1455</v>
      </c>
      <c r="S31" s="405" t="s">
        <v>347</v>
      </c>
      <c r="T31" s="406"/>
    </row>
    <row r="32" spans="1:20" ht="24" customHeight="1">
      <c r="A32" s="62" t="s">
        <v>354</v>
      </c>
      <c r="B32" s="8"/>
      <c r="C32" s="9" t="s">
        <v>151</v>
      </c>
      <c r="D32" s="9" t="s">
        <v>355</v>
      </c>
      <c r="E32" s="9"/>
      <c r="F32" s="9"/>
      <c r="G32" s="10"/>
      <c r="H32" s="11"/>
      <c r="I32" s="11"/>
      <c r="J32" s="12">
        <v>354961.91</v>
      </c>
      <c r="K32" s="12"/>
      <c r="L32" s="189">
        <f t="shared" si="10"/>
        <v>354961.91</v>
      </c>
      <c r="M32" s="12">
        <f>L32</f>
        <v>354961.91</v>
      </c>
      <c r="N32" s="12"/>
      <c r="O32" s="190">
        <f aca="true" t="shared" si="13" ref="O32:O38">+N32+M32</f>
        <v>354961.91</v>
      </c>
      <c r="P32" s="12">
        <f t="shared" si="11"/>
        <v>230725.2415</v>
      </c>
      <c r="Q32" s="88"/>
      <c r="R32" s="189">
        <f t="shared" si="12"/>
        <v>230725.2415</v>
      </c>
      <c r="S32" s="403"/>
      <c r="T32" s="404"/>
    </row>
    <row r="33" spans="1:20" ht="24" customHeight="1">
      <c r="A33" s="62" t="s">
        <v>479</v>
      </c>
      <c r="B33" s="8"/>
      <c r="C33" s="9" t="s">
        <v>151</v>
      </c>
      <c r="D33" s="9" t="s">
        <v>503</v>
      </c>
      <c r="E33" s="9"/>
      <c r="F33" s="9"/>
      <c r="G33" s="10"/>
      <c r="H33" s="11"/>
      <c r="I33" s="11"/>
      <c r="J33" s="12">
        <v>325765.5014478293</v>
      </c>
      <c r="K33" s="12"/>
      <c r="L33" s="189">
        <f t="shared" si="10"/>
        <v>325765.5014478293</v>
      </c>
      <c r="M33" s="12">
        <v>325765.5</v>
      </c>
      <c r="N33" s="12"/>
      <c r="O33" s="190">
        <f t="shared" si="13"/>
        <v>325765.5</v>
      </c>
      <c r="P33" s="12">
        <f t="shared" si="11"/>
        <v>211747.575</v>
      </c>
      <c r="Q33" s="88"/>
      <c r="R33" s="189">
        <f t="shared" si="12"/>
        <v>211747.575</v>
      </c>
      <c r="S33" s="403"/>
      <c r="T33" s="404"/>
    </row>
    <row r="34" spans="1:20" ht="24" customHeight="1">
      <c r="A34" s="62" t="s">
        <v>590</v>
      </c>
      <c r="B34" s="8"/>
      <c r="C34" s="9" t="s">
        <v>151</v>
      </c>
      <c r="D34" s="9" t="s">
        <v>146</v>
      </c>
      <c r="E34" s="9"/>
      <c r="F34" s="9"/>
      <c r="G34" s="10"/>
      <c r="H34" s="11"/>
      <c r="I34" s="11"/>
      <c r="J34" s="12">
        <v>244075.73197355148</v>
      </c>
      <c r="K34" s="12"/>
      <c r="L34" s="189">
        <f>+K34+J34</f>
        <v>244075.73197355148</v>
      </c>
      <c r="M34" s="12">
        <v>244075.73197355148</v>
      </c>
      <c r="N34" s="12"/>
      <c r="O34" s="190">
        <f t="shared" si="13"/>
        <v>244075.73197355148</v>
      </c>
      <c r="P34" s="12">
        <f>M34*0.65</f>
        <v>158649.22578280847</v>
      </c>
      <c r="Q34" s="88"/>
      <c r="R34" s="189">
        <f>SUM(P34:Q34)</f>
        <v>158649.22578280847</v>
      </c>
      <c r="S34" s="317"/>
      <c r="T34" s="318"/>
    </row>
    <row r="35" spans="1:20" ht="24" customHeight="1">
      <c r="A35" s="62" t="s">
        <v>644</v>
      </c>
      <c r="B35" s="8"/>
      <c r="C35" s="9" t="s">
        <v>151</v>
      </c>
      <c r="D35" s="9" t="s">
        <v>658</v>
      </c>
      <c r="E35" s="9"/>
      <c r="F35" s="9"/>
      <c r="G35" s="10"/>
      <c r="H35" s="11"/>
      <c r="I35" s="11"/>
      <c r="J35" s="12">
        <v>242690.9404858536</v>
      </c>
      <c r="K35" s="12"/>
      <c r="L35" s="189">
        <f>+K35+J35</f>
        <v>242690.9404858536</v>
      </c>
      <c r="M35" s="12">
        <v>242690.9404858536</v>
      </c>
      <c r="N35" s="12"/>
      <c r="O35" s="190">
        <f t="shared" si="13"/>
        <v>242690.9404858536</v>
      </c>
      <c r="P35" s="12">
        <f>M35*0.65</f>
        <v>157749.11131580485</v>
      </c>
      <c r="Q35" s="88"/>
      <c r="R35" s="189">
        <f>SUM(P35:Q35)</f>
        <v>157749.11131580485</v>
      </c>
      <c r="S35" s="317"/>
      <c r="T35" s="318"/>
    </row>
    <row r="36" spans="1:20" ht="24" customHeight="1">
      <c r="A36" s="62" t="s">
        <v>644</v>
      </c>
      <c r="B36" s="8"/>
      <c r="C36" s="9" t="s">
        <v>151</v>
      </c>
      <c r="D36" s="9" t="s">
        <v>692</v>
      </c>
      <c r="E36" s="9"/>
      <c r="F36" s="324"/>
      <c r="G36" s="10"/>
      <c r="H36" s="11"/>
      <c r="I36" s="11"/>
      <c r="J36" s="12">
        <v>18018.36</v>
      </c>
      <c r="K36" s="12"/>
      <c r="L36" s="189">
        <v>18018.36</v>
      </c>
      <c r="M36" s="12">
        <v>18018.36</v>
      </c>
      <c r="N36" s="12"/>
      <c r="O36" s="190">
        <f t="shared" si="13"/>
        <v>18018.36</v>
      </c>
      <c r="P36" s="12">
        <f>M36*0.65</f>
        <v>11711.934000000001</v>
      </c>
      <c r="Q36" s="88"/>
      <c r="R36" s="189">
        <f>SUM(P36:Q36)</f>
        <v>11711.934000000001</v>
      </c>
      <c r="S36" s="403"/>
      <c r="T36" s="404"/>
    </row>
    <row r="37" spans="1:20" ht="24" customHeight="1">
      <c r="A37" s="62" t="s">
        <v>710</v>
      </c>
      <c r="B37" s="8"/>
      <c r="C37" s="9" t="s">
        <v>151</v>
      </c>
      <c r="D37" s="9" t="s">
        <v>709</v>
      </c>
      <c r="E37" s="9"/>
      <c r="F37" s="324"/>
      <c r="G37" s="10"/>
      <c r="H37" s="11"/>
      <c r="I37" s="11"/>
      <c r="J37" s="12">
        <v>122568.25062566086</v>
      </c>
      <c r="K37" s="12"/>
      <c r="L37" s="189">
        <f>+K37+J37</f>
        <v>122568.25062566086</v>
      </c>
      <c r="M37" s="12">
        <v>122568.25062566086</v>
      </c>
      <c r="N37" s="12"/>
      <c r="O37" s="189">
        <f t="shared" si="13"/>
        <v>122568.25062566086</v>
      </c>
      <c r="P37" s="12">
        <f>M37*0.65</f>
        <v>79669.36290667957</v>
      </c>
      <c r="Q37" s="88"/>
      <c r="R37" s="189">
        <f>SUM(P37:Q37)</f>
        <v>79669.36290667957</v>
      </c>
      <c r="S37" s="403" t="s">
        <v>717</v>
      </c>
      <c r="T37" s="404"/>
    </row>
    <row r="38" spans="1:20" ht="24" customHeight="1">
      <c r="A38" s="62" t="s">
        <v>710</v>
      </c>
      <c r="B38" s="8"/>
      <c r="C38" s="9" t="s">
        <v>151</v>
      </c>
      <c r="D38" s="9" t="s">
        <v>755</v>
      </c>
      <c r="E38" s="9"/>
      <c r="F38" s="324"/>
      <c r="G38" s="10"/>
      <c r="H38" s="11"/>
      <c r="I38" s="11"/>
      <c r="J38" s="12">
        <v>26765.858738981402</v>
      </c>
      <c r="K38" s="12"/>
      <c r="L38" s="189">
        <f>+K38+J38</f>
        <v>26765.858738981402</v>
      </c>
      <c r="M38" s="12">
        <v>26765.858738981402</v>
      </c>
      <c r="N38" s="12"/>
      <c r="O38" s="189">
        <f t="shared" si="13"/>
        <v>26765.858738981402</v>
      </c>
      <c r="P38" s="12">
        <f>M38*0.65</f>
        <v>17397.808180337914</v>
      </c>
      <c r="Q38" s="88"/>
      <c r="R38" s="189">
        <f>SUM(P38:Q38)</f>
        <v>17397.808180337914</v>
      </c>
      <c r="S38" s="403" t="s">
        <v>717</v>
      </c>
      <c r="T38" s="404"/>
    </row>
    <row r="39" spans="1:20" ht="24" customHeight="1">
      <c r="A39" s="62"/>
      <c r="B39" s="8"/>
      <c r="C39" s="9"/>
      <c r="D39" s="9"/>
      <c r="E39" s="9"/>
      <c r="F39" s="324"/>
      <c r="G39" s="10"/>
      <c r="H39" s="11"/>
      <c r="I39" s="11"/>
      <c r="J39" s="12"/>
      <c r="K39" s="12"/>
      <c r="L39" s="189"/>
      <c r="M39" s="12"/>
      <c r="N39" s="12"/>
      <c r="O39" s="190"/>
      <c r="P39" s="12"/>
      <c r="Q39" s="88"/>
      <c r="R39" s="189"/>
      <c r="S39" s="317"/>
      <c r="T39" s="318"/>
    </row>
    <row r="40" spans="1:20" ht="24" customHeight="1">
      <c r="A40" s="62"/>
      <c r="B40" s="8"/>
      <c r="C40" s="9"/>
      <c r="D40" s="9"/>
      <c r="E40" s="9"/>
      <c r="F40" s="9"/>
      <c r="G40" s="10"/>
      <c r="H40" s="11"/>
      <c r="I40" s="11"/>
      <c r="J40" s="12"/>
      <c r="K40" s="12"/>
      <c r="L40" s="189"/>
      <c r="M40" s="12"/>
      <c r="N40" s="12"/>
      <c r="O40" s="190"/>
      <c r="P40" s="12"/>
      <c r="Q40" s="88"/>
      <c r="R40" s="189"/>
      <c r="S40" s="403"/>
      <c r="T40" s="404"/>
    </row>
    <row r="42" spans="1:21" ht="11.25">
      <c r="A42" s="425" t="s">
        <v>7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7"/>
      <c r="M42" s="96" t="s">
        <v>44</v>
      </c>
      <c r="N42" s="28" t="s">
        <v>39</v>
      </c>
      <c r="O42" s="211" t="s">
        <v>45</v>
      </c>
      <c r="P42" s="28" t="s">
        <v>46</v>
      </c>
      <c r="Q42" s="28" t="s">
        <v>47</v>
      </c>
      <c r="R42" s="211" t="s">
        <v>41</v>
      </c>
      <c r="S42" s="32" t="s">
        <v>24</v>
      </c>
      <c r="T42" s="33" t="s">
        <v>25</v>
      </c>
      <c r="U42" s="33" t="s">
        <v>350</v>
      </c>
    </row>
    <row r="43" spans="1:21" ht="11.25">
      <c r="A43" s="428"/>
      <c r="B43" s="429"/>
      <c r="C43" s="328"/>
      <c r="D43" s="329"/>
      <c r="E43" s="329"/>
      <c r="F43" s="329"/>
      <c r="G43" s="329"/>
      <c r="H43" s="329"/>
      <c r="I43" s="329"/>
      <c r="J43" s="329"/>
      <c r="K43" s="330"/>
      <c r="L43" s="192" t="s">
        <v>12</v>
      </c>
      <c r="M43" s="3">
        <v>586000</v>
      </c>
      <c r="N43" s="3"/>
      <c r="O43" s="212"/>
      <c r="P43" s="3"/>
      <c r="Q43" s="3"/>
      <c r="R43" s="218"/>
      <c r="S43" s="52"/>
      <c r="T43" s="52"/>
      <c r="U43" s="29"/>
    </row>
    <row r="44" spans="1:21" ht="11.25">
      <c r="A44" s="349"/>
      <c r="B44" s="350"/>
      <c r="C44" s="45"/>
      <c r="D44" s="44"/>
      <c r="E44" s="44"/>
      <c r="F44" s="44"/>
      <c r="G44" s="44"/>
      <c r="H44" s="44"/>
      <c r="I44" s="44"/>
      <c r="J44" s="44"/>
      <c r="K44" s="4">
        <v>0</v>
      </c>
      <c r="L44" s="193" t="s">
        <v>27</v>
      </c>
      <c r="M44" s="4">
        <f aca="true" t="shared" si="14" ref="M44:R44">SUM(M55:M57)</f>
        <v>11880</v>
      </c>
      <c r="N44" s="4">
        <f t="shared" si="14"/>
        <v>0</v>
      </c>
      <c r="O44" s="209">
        <f t="shared" si="14"/>
        <v>11880</v>
      </c>
      <c r="P44" s="4">
        <f t="shared" si="14"/>
        <v>7722</v>
      </c>
      <c r="Q44" s="4">
        <f t="shared" si="14"/>
        <v>0</v>
      </c>
      <c r="R44" s="209">
        <f t="shared" si="14"/>
        <v>7722</v>
      </c>
      <c r="S44" s="5">
        <f aca="true" t="shared" si="15" ref="S44:S52">R44*0.375</f>
        <v>2895.75</v>
      </c>
      <c r="T44" s="5">
        <f aca="true" t="shared" si="16" ref="T44:T49">R44-S44</f>
        <v>4826.25</v>
      </c>
      <c r="U44" s="29"/>
    </row>
    <row r="45" spans="1:21" ht="11.25">
      <c r="A45" s="349"/>
      <c r="B45" s="350"/>
      <c r="C45" s="45"/>
      <c r="D45" s="44"/>
      <c r="E45" s="44"/>
      <c r="F45" s="67"/>
      <c r="G45" s="68"/>
      <c r="H45" s="44"/>
      <c r="I45" s="44"/>
      <c r="J45" s="44"/>
      <c r="K45" s="46"/>
      <c r="L45" s="193" t="s">
        <v>28</v>
      </c>
      <c r="M45" s="4">
        <f aca="true" t="shared" si="17" ref="M45:R45">SUM(M58:M72)</f>
        <v>23873.333333333332</v>
      </c>
      <c r="N45" s="4">
        <f t="shared" si="17"/>
        <v>0</v>
      </c>
      <c r="O45" s="209">
        <f t="shared" si="17"/>
        <v>23873.333333333332</v>
      </c>
      <c r="P45" s="4">
        <f t="shared" si="17"/>
        <v>15517.666666666666</v>
      </c>
      <c r="Q45" s="4">
        <f t="shared" si="17"/>
        <v>0</v>
      </c>
      <c r="R45" s="209">
        <f t="shared" si="17"/>
        <v>15517.666666666666</v>
      </c>
      <c r="S45" s="5">
        <f t="shared" si="15"/>
        <v>5819.125</v>
      </c>
      <c r="T45" s="5">
        <f t="shared" si="16"/>
        <v>9698.541666666666</v>
      </c>
      <c r="U45" s="29"/>
    </row>
    <row r="46" spans="1:21" ht="11.25">
      <c r="A46" s="349"/>
      <c r="B46" s="350"/>
      <c r="C46" s="45"/>
      <c r="D46" s="44"/>
      <c r="E46" s="44"/>
      <c r="F46" s="44"/>
      <c r="G46" s="44"/>
      <c r="H46" s="44"/>
      <c r="I46" s="44"/>
      <c r="J46" s="44"/>
      <c r="K46" s="46"/>
      <c r="L46" s="193" t="s">
        <v>266</v>
      </c>
      <c r="M46" s="4">
        <f aca="true" t="shared" si="18" ref="M46:R46">SUM(M73:M94)</f>
        <v>78820</v>
      </c>
      <c r="N46" s="4">
        <f t="shared" si="18"/>
        <v>0</v>
      </c>
      <c r="O46" s="209">
        <f t="shared" si="18"/>
        <v>78820</v>
      </c>
      <c r="P46" s="4">
        <f t="shared" si="18"/>
        <v>51233</v>
      </c>
      <c r="Q46" s="4">
        <f t="shared" si="18"/>
        <v>0</v>
      </c>
      <c r="R46" s="209">
        <f t="shared" si="18"/>
        <v>51233</v>
      </c>
      <c r="S46" s="5">
        <f t="shared" si="15"/>
        <v>19212.375</v>
      </c>
      <c r="T46" s="5">
        <f t="shared" si="16"/>
        <v>32020.625</v>
      </c>
      <c r="U46" s="29"/>
    </row>
    <row r="47" spans="1:21" ht="11.25">
      <c r="A47" s="349"/>
      <c r="B47" s="350"/>
      <c r="C47" s="45"/>
      <c r="D47" s="44"/>
      <c r="E47" s="44"/>
      <c r="F47" s="44"/>
      <c r="G47" s="44"/>
      <c r="H47" s="44"/>
      <c r="I47" s="44"/>
      <c r="J47" s="44"/>
      <c r="K47" s="46"/>
      <c r="L47" s="193" t="s">
        <v>329</v>
      </c>
      <c r="M47" s="4">
        <f aca="true" t="shared" si="19" ref="M47:R47">SUM(M95:M108)</f>
        <v>27660</v>
      </c>
      <c r="N47" s="4">
        <f t="shared" si="19"/>
        <v>0</v>
      </c>
      <c r="O47" s="209">
        <f t="shared" si="19"/>
        <v>27660</v>
      </c>
      <c r="P47" s="4">
        <f t="shared" si="19"/>
        <v>17979</v>
      </c>
      <c r="Q47" s="4">
        <f t="shared" si="19"/>
        <v>0</v>
      </c>
      <c r="R47" s="209">
        <f t="shared" si="19"/>
        <v>17979</v>
      </c>
      <c r="S47" s="5">
        <f t="shared" si="15"/>
        <v>6742.125</v>
      </c>
      <c r="T47" s="5">
        <f t="shared" si="16"/>
        <v>11236.875</v>
      </c>
      <c r="U47" s="29"/>
    </row>
    <row r="48" spans="1:21" ht="11.25">
      <c r="A48" s="349"/>
      <c r="B48" s="350"/>
      <c r="C48" s="45"/>
      <c r="D48" s="44"/>
      <c r="E48" s="44"/>
      <c r="F48" s="44"/>
      <c r="G48" s="44"/>
      <c r="H48" s="44"/>
      <c r="I48" s="44"/>
      <c r="J48" s="44"/>
      <c r="K48" s="46"/>
      <c r="L48" s="187" t="s">
        <v>352</v>
      </c>
      <c r="M48" s="4">
        <f aca="true" t="shared" si="20" ref="M48:R48">SUM(M109:M123)</f>
        <v>42780</v>
      </c>
      <c r="N48" s="4">
        <f t="shared" si="20"/>
        <v>0</v>
      </c>
      <c r="O48" s="209">
        <f t="shared" si="20"/>
        <v>42780</v>
      </c>
      <c r="P48" s="4">
        <f t="shared" si="20"/>
        <v>27807</v>
      </c>
      <c r="Q48" s="4">
        <f t="shared" si="20"/>
        <v>0</v>
      </c>
      <c r="R48" s="209">
        <f t="shared" si="20"/>
        <v>27807</v>
      </c>
      <c r="S48" s="5">
        <f t="shared" si="15"/>
        <v>10427.625</v>
      </c>
      <c r="T48" s="5">
        <f t="shared" si="16"/>
        <v>17379.375</v>
      </c>
      <c r="U48" s="29"/>
    </row>
    <row r="49" spans="1:21" ht="11.25">
      <c r="A49" s="349"/>
      <c r="B49" s="350"/>
      <c r="C49" s="45"/>
      <c r="D49" s="44"/>
      <c r="E49" s="44"/>
      <c r="F49" s="44"/>
      <c r="G49" s="44"/>
      <c r="H49" s="44"/>
      <c r="I49" s="44"/>
      <c r="J49" s="44"/>
      <c r="K49" s="46"/>
      <c r="L49" s="187" t="s">
        <v>565</v>
      </c>
      <c r="M49" s="4">
        <f>SUM(M124:M138)</f>
        <v>58205.63</v>
      </c>
      <c r="N49" s="4"/>
      <c r="O49" s="209">
        <f>+N49+M49</f>
        <v>58205.63</v>
      </c>
      <c r="P49" s="4">
        <f>SUM(P124:P138)</f>
        <v>37833.6595</v>
      </c>
      <c r="Q49" s="4"/>
      <c r="R49" s="209">
        <f>+Q49+P49</f>
        <v>37833.6595</v>
      </c>
      <c r="S49" s="5">
        <f t="shared" si="15"/>
        <v>14187.6223125</v>
      </c>
      <c r="T49" s="5">
        <f t="shared" si="16"/>
        <v>23646.037187500002</v>
      </c>
      <c r="U49" s="29"/>
    </row>
    <row r="50" spans="1:21" ht="11.25">
      <c r="A50" s="349"/>
      <c r="B50" s="350"/>
      <c r="C50" s="45"/>
      <c r="D50" s="44"/>
      <c r="E50" s="44"/>
      <c r="F50" s="44"/>
      <c r="G50" s="44"/>
      <c r="H50" s="44"/>
      <c r="I50" s="44"/>
      <c r="J50" s="44"/>
      <c r="K50" s="46"/>
      <c r="L50" s="187" t="s">
        <v>588</v>
      </c>
      <c r="M50" s="4">
        <f>SUM(M139:M147)</f>
        <v>37320</v>
      </c>
      <c r="N50" s="4">
        <f>SUM(N139:N147)</f>
        <v>1300</v>
      </c>
      <c r="O50" s="209">
        <f>+N50+M50</f>
        <v>38620</v>
      </c>
      <c r="P50" s="4">
        <f>SUM(P139:P147)</f>
        <v>24258</v>
      </c>
      <c r="Q50" s="4">
        <f>SUM(Q139:Q147)</f>
        <v>845</v>
      </c>
      <c r="R50" s="209">
        <f>+Q50+P50</f>
        <v>25103</v>
      </c>
      <c r="S50" s="5">
        <f t="shared" si="15"/>
        <v>9413.625</v>
      </c>
      <c r="T50" s="5">
        <f>R50-S50</f>
        <v>15689.375</v>
      </c>
      <c r="U50" s="29"/>
    </row>
    <row r="51" spans="1:21" ht="11.25">
      <c r="A51" s="349"/>
      <c r="B51" s="350"/>
      <c r="C51" s="45"/>
      <c r="D51" s="44"/>
      <c r="E51" s="44"/>
      <c r="F51" s="44"/>
      <c r="G51" s="44"/>
      <c r="H51" s="44"/>
      <c r="I51" s="44"/>
      <c r="J51" s="44"/>
      <c r="K51" s="46"/>
      <c r="L51" s="187" t="s">
        <v>695</v>
      </c>
      <c r="M51" s="4">
        <f>SUM(M148:M156)</f>
        <v>16450</v>
      </c>
      <c r="N51" s="4">
        <f>SUM(N148:N156)</f>
        <v>0</v>
      </c>
      <c r="O51" s="209">
        <f>+N51+M51</f>
        <v>16450</v>
      </c>
      <c r="P51" s="4">
        <f>SUM(P148:P156)</f>
        <v>10692.5</v>
      </c>
      <c r="Q51" s="4">
        <f>SUM(Q148:Q156)</f>
        <v>0</v>
      </c>
      <c r="R51" s="209">
        <f>+Q51+P51</f>
        <v>10692.5</v>
      </c>
      <c r="S51" s="5">
        <f t="shared" si="15"/>
        <v>4009.6875</v>
      </c>
      <c r="T51" s="5">
        <f>R51-S51</f>
        <v>6682.8125</v>
      </c>
      <c r="U51" s="1">
        <f>+M51*0.65-P51</f>
        <v>0</v>
      </c>
    </row>
    <row r="52" spans="1:21" ht="11.25">
      <c r="A52" s="349"/>
      <c r="B52" s="350"/>
      <c r="C52" s="45"/>
      <c r="D52" s="44"/>
      <c r="E52" s="44"/>
      <c r="F52" s="44"/>
      <c r="G52" s="44"/>
      <c r="H52" s="44"/>
      <c r="I52" s="44"/>
      <c r="J52" s="44"/>
      <c r="K52" s="46"/>
      <c r="L52" s="187" t="s">
        <v>843</v>
      </c>
      <c r="M52" s="4">
        <f>SUM(M157:M174)</f>
        <v>119649.51</v>
      </c>
      <c r="N52" s="4">
        <f>SUM(N157:N174)</f>
        <v>1377.152</v>
      </c>
      <c r="O52" s="209">
        <f>+N52+M52</f>
        <v>121026.662</v>
      </c>
      <c r="P52" s="4">
        <f>SUM(P157:P174)</f>
        <v>77772.1815</v>
      </c>
      <c r="Q52" s="4">
        <f>SUM(Q157:Q174)</f>
        <v>895.1488</v>
      </c>
      <c r="R52" s="209">
        <f>+Q52+P52</f>
        <v>78667.3303</v>
      </c>
      <c r="S52" s="5">
        <f t="shared" si="15"/>
        <v>29500.2488625</v>
      </c>
      <c r="T52" s="5">
        <f>R52-S52</f>
        <v>49167.081437500005</v>
      </c>
      <c r="U52" s="1"/>
    </row>
    <row r="53" spans="1:21" ht="11.25">
      <c r="A53" s="326"/>
      <c r="B53" s="327"/>
      <c r="C53" s="331"/>
      <c r="D53" s="332"/>
      <c r="E53" s="332"/>
      <c r="F53" s="332"/>
      <c r="G53" s="332"/>
      <c r="H53" s="332"/>
      <c r="I53" s="332"/>
      <c r="J53" s="332"/>
      <c r="K53" s="333"/>
      <c r="L53" s="194" t="s">
        <v>13</v>
      </c>
      <c r="M53" s="6">
        <f>M43-M44-M45-M46-M47-M48-M49-M50-M51-M52</f>
        <v>169361.5266666666</v>
      </c>
      <c r="N53" s="6"/>
      <c r="O53" s="210"/>
      <c r="P53" s="6"/>
      <c r="Q53" s="6"/>
      <c r="R53" s="210"/>
      <c r="S53" s="35"/>
      <c r="T53" s="1"/>
      <c r="U53" s="29"/>
    </row>
    <row r="54" spans="1:20" ht="22.5">
      <c r="A54" s="7" t="s">
        <v>14</v>
      </c>
      <c r="B54" s="7" t="s">
        <v>11</v>
      </c>
      <c r="C54" s="34" t="s">
        <v>23</v>
      </c>
      <c r="D54" s="34" t="s">
        <v>19</v>
      </c>
      <c r="E54" s="42" t="s">
        <v>2</v>
      </c>
      <c r="F54" s="34" t="s">
        <v>18</v>
      </c>
      <c r="G54" s="34" t="s">
        <v>17</v>
      </c>
      <c r="H54" s="42" t="s">
        <v>16</v>
      </c>
      <c r="I54" s="42" t="s">
        <v>15</v>
      </c>
      <c r="J54" s="34" t="s">
        <v>3</v>
      </c>
      <c r="K54" s="34" t="s">
        <v>4</v>
      </c>
      <c r="L54" s="185" t="s">
        <v>5</v>
      </c>
      <c r="M54" s="7" t="s">
        <v>20</v>
      </c>
      <c r="N54" s="7" t="s">
        <v>39</v>
      </c>
      <c r="O54" s="185" t="s">
        <v>42</v>
      </c>
      <c r="P54" s="7" t="s">
        <v>21</v>
      </c>
      <c r="Q54" s="27" t="s">
        <v>40</v>
      </c>
      <c r="R54" s="217" t="s">
        <v>41</v>
      </c>
      <c r="S54" s="334" t="s">
        <v>26</v>
      </c>
      <c r="T54" s="334"/>
    </row>
    <row r="55" spans="1:20" ht="49.5" customHeight="1">
      <c r="A55" s="61" t="s">
        <v>150</v>
      </c>
      <c r="B55" s="8">
        <v>1</v>
      </c>
      <c r="C55" s="9" t="s">
        <v>151</v>
      </c>
      <c r="D55" s="14" t="s">
        <v>161</v>
      </c>
      <c r="E55" s="14" t="s">
        <v>68</v>
      </c>
      <c r="F55" s="9">
        <v>7</v>
      </c>
      <c r="G55" s="10">
        <v>38198</v>
      </c>
      <c r="H55" s="11">
        <v>38233</v>
      </c>
      <c r="I55" s="15" t="s">
        <v>162</v>
      </c>
      <c r="J55" s="12">
        <v>4118.4</v>
      </c>
      <c r="K55" s="12">
        <f>J55*0.2</f>
        <v>823.68</v>
      </c>
      <c r="L55" s="190">
        <f>SUM(J55:K55)</f>
        <v>4942.08</v>
      </c>
      <c r="M55" s="12">
        <f>180*22</f>
        <v>3960</v>
      </c>
      <c r="N55" s="7"/>
      <c r="O55" s="213">
        <f>SUM(M55:N55)</f>
        <v>3960</v>
      </c>
      <c r="P55" s="83">
        <f>O55*0.65</f>
        <v>2574</v>
      </c>
      <c r="Q55" s="83">
        <f>N55*0.65</f>
        <v>0</v>
      </c>
      <c r="R55" s="213">
        <f>SUM(P55:Q55)</f>
        <v>2574</v>
      </c>
      <c r="S55" s="347" t="s">
        <v>164</v>
      </c>
      <c r="T55" s="348"/>
    </row>
    <row r="56" spans="1:20" ht="53.25" customHeight="1">
      <c r="A56" s="61" t="s">
        <v>150</v>
      </c>
      <c r="B56" s="8">
        <v>1</v>
      </c>
      <c r="C56" s="9" t="s">
        <v>151</v>
      </c>
      <c r="D56" s="14" t="s">
        <v>161</v>
      </c>
      <c r="E56" s="14" t="s">
        <v>68</v>
      </c>
      <c r="F56" s="9">
        <v>8</v>
      </c>
      <c r="G56" s="10">
        <v>38240</v>
      </c>
      <c r="H56" s="11">
        <v>38317</v>
      </c>
      <c r="I56" s="15" t="s">
        <v>163</v>
      </c>
      <c r="J56" s="12">
        <v>4039.2</v>
      </c>
      <c r="K56" s="12">
        <f>J56*0.2</f>
        <v>807.84</v>
      </c>
      <c r="L56" s="190">
        <f>SUM(J56:K56)</f>
        <v>4847.04</v>
      </c>
      <c r="M56" s="12">
        <f>180*22</f>
        <v>3960</v>
      </c>
      <c r="N56" s="7"/>
      <c r="O56" s="213">
        <f>SUM(M56:N56)</f>
        <v>3960</v>
      </c>
      <c r="P56" s="83">
        <f>O56*0.65</f>
        <v>2574</v>
      </c>
      <c r="Q56" s="83">
        <f>N56*0.65</f>
        <v>0</v>
      </c>
      <c r="R56" s="213">
        <f>SUM(P56:Q56)</f>
        <v>2574</v>
      </c>
      <c r="S56" s="347" t="s">
        <v>164</v>
      </c>
      <c r="T56" s="348"/>
    </row>
    <row r="57" spans="1:20" ht="45" customHeight="1">
      <c r="A57" s="61" t="s">
        <v>150</v>
      </c>
      <c r="B57" s="8">
        <v>1</v>
      </c>
      <c r="C57" s="9" t="s">
        <v>151</v>
      </c>
      <c r="D57" s="14" t="s">
        <v>161</v>
      </c>
      <c r="E57" s="14" t="s">
        <v>68</v>
      </c>
      <c r="F57" s="9">
        <v>10</v>
      </c>
      <c r="G57" s="10">
        <v>38265</v>
      </c>
      <c r="H57" s="11">
        <v>38334</v>
      </c>
      <c r="I57" s="15" t="s">
        <v>126</v>
      </c>
      <c r="J57" s="12">
        <v>4039.2</v>
      </c>
      <c r="K57" s="12">
        <f>J57*0.2</f>
        <v>807.84</v>
      </c>
      <c r="L57" s="190">
        <f>SUM(J57:K57)</f>
        <v>4847.04</v>
      </c>
      <c r="M57" s="12">
        <f>180*22</f>
        <v>3960</v>
      </c>
      <c r="N57" s="7"/>
      <c r="O57" s="213">
        <f>SUM(M57:N57)</f>
        <v>3960</v>
      </c>
      <c r="P57" s="83">
        <f>O57*0.65</f>
        <v>2574</v>
      </c>
      <c r="Q57" s="83">
        <f>N57*0.65</f>
        <v>0</v>
      </c>
      <c r="R57" s="213">
        <f>SUM(P57:Q57)</f>
        <v>2574</v>
      </c>
      <c r="S57" s="347" t="s">
        <v>164</v>
      </c>
      <c r="T57" s="348"/>
    </row>
    <row r="58" spans="1:21" s="29" customFormat="1" ht="98.25" customHeight="1">
      <c r="A58" s="61" t="s">
        <v>50</v>
      </c>
      <c r="B58" s="82"/>
      <c r="C58" s="14" t="s">
        <v>51</v>
      </c>
      <c r="D58" s="112" t="s">
        <v>52</v>
      </c>
      <c r="E58" s="16" t="s">
        <v>54</v>
      </c>
      <c r="F58" s="102" t="s">
        <v>55</v>
      </c>
      <c r="G58" s="102">
        <v>38510</v>
      </c>
      <c r="H58" s="102">
        <v>38533</v>
      </c>
      <c r="I58" s="104" t="s">
        <v>136</v>
      </c>
      <c r="J58" s="105">
        <f>350*4</f>
        <v>1400</v>
      </c>
      <c r="K58" s="105">
        <f>J58*0.2</f>
        <v>280</v>
      </c>
      <c r="L58" s="195">
        <f>SUM(J58:K58)</f>
        <v>1680</v>
      </c>
      <c r="M58" s="86"/>
      <c r="N58" s="86">
        <v>0</v>
      </c>
      <c r="O58" s="213">
        <f>SUM(M58:N58)</f>
        <v>0</v>
      </c>
      <c r="P58" s="83">
        <f>O58*0.65</f>
        <v>0</v>
      </c>
      <c r="Q58" s="83">
        <f>N58*0.65</f>
        <v>0</v>
      </c>
      <c r="R58" s="219">
        <f>SUM(P58:Q58)</f>
        <v>0</v>
      </c>
      <c r="S58" s="345" t="s">
        <v>571</v>
      </c>
      <c r="T58" s="346"/>
      <c r="U58" s="149"/>
    </row>
    <row r="59" spans="1:21" s="29" customFormat="1" ht="113.25" customHeight="1">
      <c r="A59" s="61" t="s">
        <v>50</v>
      </c>
      <c r="B59" s="82"/>
      <c r="C59" s="14" t="s">
        <v>51</v>
      </c>
      <c r="D59" s="112" t="s">
        <v>52</v>
      </c>
      <c r="E59" s="16" t="s">
        <v>237</v>
      </c>
      <c r="F59" s="102" t="s">
        <v>56</v>
      </c>
      <c r="G59" s="102">
        <v>38539</v>
      </c>
      <c r="H59" s="102">
        <v>38539</v>
      </c>
      <c r="I59" s="104" t="s">
        <v>137</v>
      </c>
      <c r="J59" s="105">
        <f>350*6</f>
        <v>2100</v>
      </c>
      <c r="K59" s="105">
        <f aca="true" t="shared" si="21" ref="K59:K64">J59*0.2</f>
        <v>420</v>
      </c>
      <c r="L59" s="195">
        <f aca="true" t="shared" si="22" ref="L59:L64">SUM(J59:K59)</f>
        <v>2520</v>
      </c>
      <c r="M59" s="86"/>
      <c r="N59" s="86">
        <v>0</v>
      </c>
      <c r="O59" s="213">
        <f aca="true" t="shared" si="23" ref="O59:O85">SUM(M59:N59)</f>
        <v>0</v>
      </c>
      <c r="P59" s="83">
        <f aca="true" t="shared" si="24" ref="P59:P81">O59*0.65</f>
        <v>0</v>
      </c>
      <c r="Q59" s="83">
        <f aca="true" t="shared" si="25" ref="Q59:Q72">N59*0.65</f>
        <v>0</v>
      </c>
      <c r="R59" s="219">
        <f aca="true" t="shared" si="26" ref="R59:R83">SUM(P59:Q59)</f>
        <v>0</v>
      </c>
      <c r="S59" s="345" t="s">
        <v>572</v>
      </c>
      <c r="T59" s="346"/>
      <c r="U59" s="149"/>
    </row>
    <row r="60" spans="1:21" s="85" customFormat="1" ht="105.75" customHeight="1">
      <c r="A60" s="61" t="s">
        <v>50</v>
      </c>
      <c r="B60" s="99"/>
      <c r="C60" s="14" t="s">
        <v>51</v>
      </c>
      <c r="D60" s="112" t="s">
        <v>52</v>
      </c>
      <c r="E60" s="16" t="s">
        <v>57</v>
      </c>
      <c r="F60" s="129" t="s">
        <v>138</v>
      </c>
      <c r="G60" s="102">
        <v>38513</v>
      </c>
      <c r="H60" s="102">
        <v>38533</v>
      </c>
      <c r="I60" s="104" t="s">
        <v>139</v>
      </c>
      <c r="J60" s="105">
        <f>350*4</f>
        <v>1400</v>
      </c>
      <c r="K60" s="105">
        <f t="shared" si="21"/>
        <v>280</v>
      </c>
      <c r="L60" s="195">
        <f t="shared" si="22"/>
        <v>1680</v>
      </c>
      <c r="M60" s="100">
        <v>0</v>
      </c>
      <c r="N60" s="100">
        <v>0</v>
      </c>
      <c r="O60" s="213">
        <f t="shared" si="23"/>
        <v>0</v>
      </c>
      <c r="P60" s="83">
        <f t="shared" si="24"/>
        <v>0</v>
      </c>
      <c r="Q60" s="83">
        <f t="shared" si="25"/>
        <v>0</v>
      </c>
      <c r="R60" s="219">
        <f t="shared" si="26"/>
        <v>0</v>
      </c>
      <c r="S60" s="345" t="s">
        <v>573</v>
      </c>
      <c r="T60" s="346"/>
      <c r="U60" s="149"/>
    </row>
    <row r="61" spans="1:21" ht="93" customHeight="1">
      <c r="A61" s="61" t="s">
        <v>50</v>
      </c>
      <c r="B61" s="7"/>
      <c r="C61" s="14" t="s">
        <v>51</v>
      </c>
      <c r="D61" s="112" t="s">
        <v>52</v>
      </c>
      <c r="E61" s="16" t="s">
        <v>58</v>
      </c>
      <c r="F61" s="129" t="s">
        <v>140</v>
      </c>
      <c r="G61" s="102">
        <v>38524</v>
      </c>
      <c r="H61" s="102">
        <v>38533</v>
      </c>
      <c r="I61" s="104" t="s">
        <v>141</v>
      </c>
      <c r="J61" s="105">
        <f>350*3</f>
        <v>1050</v>
      </c>
      <c r="K61" s="105">
        <f t="shared" si="21"/>
        <v>210</v>
      </c>
      <c r="L61" s="195">
        <f t="shared" si="22"/>
        <v>1260</v>
      </c>
      <c r="M61" s="155"/>
      <c r="N61" s="7"/>
      <c r="O61" s="213">
        <f t="shared" si="23"/>
        <v>0</v>
      </c>
      <c r="P61" s="83">
        <f t="shared" si="24"/>
        <v>0</v>
      </c>
      <c r="Q61" s="83">
        <f t="shared" si="25"/>
        <v>0</v>
      </c>
      <c r="R61" s="219">
        <f t="shared" si="26"/>
        <v>0</v>
      </c>
      <c r="S61" s="345" t="s">
        <v>574</v>
      </c>
      <c r="T61" s="346"/>
      <c r="U61" s="149"/>
    </row>
    <row r="62" spans="1:21" ht="98.25" customHeight="1">
      <c r="A62" s="61" t="s">
        <v>50</v>
      </c>
      <c r="B62" s="7"/>
      <c r="C62" s="14" t="s">
        <v>51</v>
      </c>
      <c r="D62" s="112" t="s">
        <v>52</v>
      </c>
      <c r="E62" s="16" t="s">
        <v>59</v>
      </c>
      <c r="F62" s="103" t="s">
        <v>60</v>
      </c>
      <c r="G62" s="102">
        <v>38524</v>
      </c>
      <c r="H62" s="102">
        <v>38533</v>
      </c>
      <c r="I62" s="104" t="s">
        <v>142</v>
      </c>
      <c r="J62" s="105">
        <f>350*2</f>
        <v>700</v>
      </c>
      <c r="K62" s="105">
        <f t="shared" si="21"/>
        <v>140</v>
      </c>
      <c r="L62" s="195">
        <f t="shared" si="22"/>
        <v>840</v>
      </c>
      <c r="M62" s="155"/>
      <c r="N62" s="7"/>
      <c r="O62" s="213">
        <f t="shared" si="23"/>
        <v>0</v>
      </c>
      <c r="P62" s="83">
        <f t="shared" si="24"/>
        <v>0</v>
      </c>
      <c r="Q62" s="83">
        <f t="shared" si="25"/>
        <v>0</v>
      </c>
      <c r="R62" s="219">
        <f t="shared" si="26"/>
        <v>0</v>
      </c>
      <c r="S62" s="345" t="s">
        <v>574</v>
      </c>
      <c r="T62" s="346"/>
      <c r="U62" s="149"/>
    </row>
    <row r="63" spans="1:20" ht="85.5" customHeight="1">
      <c r="A63" s="61" t="s">
        <v>50</v>
      </c>
      <c r="B63" s="7"/>
      <c r="C63" s="14" t="s">
        <v>51</v>
      </c>
      <c r="D63" s="14" t="s">
        <v>145</v>
      </c>
      <c r="E63" s="130" t="s">
        <v>61</v>
      </c>
      <c r="F63" s="103" t="s">
        <v>62</v>
      </c>
      <c r="G63" s="102">
        <v>38523</v>
      </c>
      <c r="H63" s="102">
        <v>38533</v>
      </c>
      <c r="I63" s="104" t="s">
        <v>143</v>
      </c>
      <c r="J63" s="105">
        <f>350*5</f>
        <v>1750</v>
      </c>
      <c r="K63" s="105">
        <f t="shared" si="21"/>
        <v>350</v>
      </c>
      <c r="L63" s="195">
        <f t="shared" si="22"/>
        <v>2100</v>
      </c>
      <c r="M63" s="155"/>
      <c r="N63" s="7"/>
      <c r="O63" s="213">
        <f t="shared" si="23"/>
        <v>0</v>
      </c>
      <c r="P63" s="83">
        <f t="shared" si="24"/>
        <v>0</v>
      </c>
      <c r="Q63" s="83">
        <f t="shared" si="25"/>
        <v>0</v>
      </c>
      <c r="R63" s="219">
        <f t="shared" si="26"/>
        <v>0</v>
      </c>
      <c r="S63" s="345" t="s">
        <v>575</v>
      </c>
      <c r="T63" s="346"/>
    </row>
    <row r="64" spans="1:21" ht="96" customHeight="1">
      <c r="A64" s="61" t="s">
        <v>50</v>
      </c>
      <c r="B64" s="7"/>
      <c r="C64" s="14" t="s">
        <v>51</v>
      </c>
      <c r="D64" s="14" t="s">
        <v>53</v>
      </c>
      <c r="E64" s="126" t="s">
        <v>63</v>
      </c>
      <c r="F64" s="102" t="s">
        <v>56</v>
      </c>
      <c r="G64" s="102">
        <v>38513</v>
      </c>
      <c r="H64" s="102">
        <v>38533</v>
      </c>
      <c r="I64" s="104" t="s">
        <v>144</v>
      </c>
      <c r="J64" s="105">
        <f>350*4</f>
        <v>1400</v>
      </c>
      <c r="K64" s="105">
        <f t="shared" si="21"/>
        <v>280</v>
      </c>
      <c r="L64" s="195">
        <f t="shared" si="22"/>
        <v>1680</v>
      </c>
      <c r="M64" s="155"/>
      <c r="N64" s="7"/>
      <c r="O64" s="213">
        <f t="shared" si="23"/>
        <v>0</v>
      </c>
      <c r="P64" s="83">
        <f t="shared" si="24"/>
        <v>0</v>
      </c>
      <c r="Q64" s="83">
        <f t="shared" si="25"/>
        <v>0</v>
      </c>
      <c r="R64" s="219">
        <f t="shared" si="26"/>
        <v>0</v>
      </c>
      <c r="S64" s="345" t="s">
        <v>576</v>
      </c>
      <c r="T64" s="346"/>
      <c r="U64" s="149"/>
    </row>
    <row r="65" spans="1:20" ht="80.25" customHeight="1">
      <c r="A65" s="61" t="s">
        <v>50</v>
      </c>
      <c r="B65" s="7"/>
      <c r="C65" s="9" t="s">
        <v>151</v>
      </c>
      <c r="D65" s="16" t="s">
        <v>130</v>
      </c>
      <c r="E65" s="93" t="s">
        <v>68</v>
      </c>
      <c r="F65" s="125" t="s">
        <v>131</v>
      </c>
      <c r="G65" s="94">
        <v>38301</v>
      </c>
      <c r="H65" s="94">
        <v>38349</v>
      </c>
      <c r="I65" s="163" t="s">
        <v>69</v>
      </c>
      <c r="J65" s="109">
        <v>3855.6</v>
      </c>
      <c r="K65" s="109">
        <f>+J65*20/100</f>
        <v>771.12</v>
      </c>
      <c r="L65" s="196">
        <f aca="true" t="shared" si="27" ref="L65:L72">SUM(J65:K65)</f>
        <v>4626.72</v>
      </c>
      <c r="M65" s="156">
        <f>21*180</f>
        <v>3780</v>
      </c>
      <c r="N65" s="7"/>
      <c r="O65" s="213">
        <f t="shared" si="23"/>
        <v>3780</v>
      </c>
      <c r="P65" s="83">
        <f t="shared" si="24"/>
        <v>2457</v>
      </c>
      <c r="Q65" s="83">
        <f t="shared" si="25"/>
        <v>0</v>
      </c>
      <c r="R65" s="219">
        <f t="shared" si="26"/>
        <v>2457</v>
      </c>
      <c r="S65" s="335" t="s">
        <v>152</v>
      </c>
      <c r="T65" s="336"/>
    </row>
    <row r="66" spans="1:20" ht="90" customHeight="1">
      <c r="A66" s="61" t="s">
        <v>50</v>
      </c>
      <c r="B66" s="7"/>
      <c r="C66" s="9" t="s">
        <v>151</v>
      </c>
      <c r="D66" s="16" t="s">
        <v>130</v>
      </c>
      <c r="E66" s="93" t="s">
        <v>68</v>
      </c>
      <c r="F66" s="127" t="s">
        <v>132</v>
      </c>
      <c r="G66" s="94">
        <v>38323</v>
      </c>
      <c r="H66" s="94">
        <v>38404</v>
      </c>
      <c r="I66" s="16" t="s">
        <v>70</v>
      </c>
      <c r="J66" s="109">
        <v>3855.6</v>
      </c>
      <c r="K66" s="109">
        <f>+J66*20/100</f>
        <v>771.12</v>
      </c>
      <c r="L66" s="196">
        <f t="shared" si="27"/>
        <v>4626.72</v>
      </c>
      <c r="M66" s="156">
        <f>21*180</f>
        <v>3780</v>
      </c>
      <c r="N66" s="7"/>
      <c r="O66" s="213">
        <f t="shared" si="23"/>
        <v>3780</v>
      </c>
      <c r="P66" s="83">
        <f t="shared" si="24"/>
        <v>2457</v>
      </c>
      <c r="Q66" s="83">
        <f t="shared" si="25"/>
        <v>0</v>
      </c>
      <c r="R66" s="219">
        <f t="shared" si="26"/>
        <v>2457</v>
      </c>
      <c r="S66" s="335" t="s">
        <v>152</v>
      </c>
      <c r="T66" s="336"/>
    </row>
    <row r="67" spans="1:20" ht="35.25" customHeight="1">
      <c r="A67" s="61" t="s">
        <v>50</v>
      </c>
      <c r="B67" s="7"/>
      <c r="C67" s="9" t="s">
        <v>151</v>
      </c>
      <c r="D67" s="14" t="s">
        <v>64</v>
      </c>
      <c r="E67" s="16" t="s">
        <v>155</v>
      </c>
      <c r="F67" s="108">
        <v>434</v>
      </c>
      <c r="G67" s="94">
        <v>38342</v>
      </c>
      <c r="H67" s="94">
        <v>38364</v>
      </c>
      <c r="I67" s="163" t="s">
        <v>71</v>
      </c>
      <c r="J67" s="109">
        <v>4500</v>
      </c>
      <c r="K67" s="109">
        <f>+J67*20/100</f>
        <v>900</v>
      </c>
      <c r="L67" s="196">
        <f t="shared" si="27"/>
        <v>5400</v>
      </c>
      <c r="M67" s="156">
        <v>0</v>
      </c>
      <c r="N67" s="7"/>
      <c r="O67" s="213">
        <f t="shared" si="23"/>
        <v>0</v>
      </c>
      <c r="P67" s="83">
        <f t="shared" si="24"/>
        <v>0</v>
      </c>
      <c r="Q67" s="83">
        <f t="shared" si="25"/>
        <v>0</v>
      </c>
      <c r="R67" s="219">
        <f t="shared" si="26"/>
        <v>0</v>
      </c>
      <c r="S67" s="335" t="s">
        <v>156</v>
      </c>
      <c r="T67" s="336"/>
    </row>
    <row r="68" spans="1:20" ht="92.25" customHeight="1">
      <c r="A68" s="61" t="s">
        <v>50</v>
      </c>
      <c r="B68" s="7"/>
      <c r="C68" s="9" t="s">
        <v>151</v>
      </c>
      <c r="D68" s="14" t="s">
        <v>65</v>
      </c>
      <c r="E68" s="93" t="s">
        <v>72</v>
      </c>
      <c r="F68" s="106" t="s">
        <v>135</v>
      </c>
      <c r="G68" s="94">
        <v>38344</v>
      </c>
      <c r="H68" s="94">
        <v>38350</v>
      </c>
      <c r="I68" s="163" t="s">
        <v>71</v>
      </c>
      <c r="J68" s="109">
        <v>4900</v>
      </c>
      <c r="K68" s="109">
        <v>0</v>
      </c>
      <c r="L68" s="196">
        <f t="shared" si="27"/>
        <v>4900</v>
      </c>
      <c r="M68" s="156">
        <f>14*350</f>
        <v>4900</v>
      </c>
      <c r="N68" s="7"/>
      <c r="O68" s="213">
        <f t="shared" si="23"/>
        <v>4900</v>
      </c>
      <c r="P68" s="83">
        <f t="shared" si="24"/>
        <v>3185</v>
      </c>
      <c r="Q68" s="83">
        <f t="shared" si="25"/>
        <v>0</v>
      </c>
      <c r="R68" s="219">
        <f t="shared" si="26"/>
        <v>3185</v>
      </c>
      <c r="S68" s="335" t="s">
        <v>157</v>
      </c>
      <c r="T68" s="336"/>
    </row>
    <row r="69" spans="1:20" ht="89.25" customHeight="1">
      <c r="A69" s="61" t="s">
        <v>50</v>
      </c>
      <c r="B69" s="7"/>
      <c r="C69" s="9" t="s">
        <v>151</v>
      </c>
      <c r="D69" s="107" t="s">
        <v>65</v>
      </c>
      <c r="E69" s="93" t="s">
        <v>73</v>
      </c>
      <c r="F69" s="108" t="s">
        <v>135</v>
      </c>
      <c r="G69" s="94">
        <v>38344</v>
      </c>
      <c r="H69" s="94">
        <v>38350</v>
      </c>
      <c r="I69" s="163" t="s">
        <v>71</v>
      </c>
      <c r="J69" s="109">
        <v>2520</v>
      </c>
      <c r="K69" s="109">
        <v>0</v>
      </c>
      <c r="L69" s="196">
        <f t="shared" si="27"/>
        <v>2520</v>
      </c>
      <c r="M69" s="156">
        <f>18*140</f>
        <v>2520</v>
      </c>
      <c r="N69" s="7"/>
      <c r="O69" s="213">
        <f t="shared" si="23"/>
        <v>2520</v>
      </c>
      <c r="P69" s="83">
        <f t="shared" si="24"/>
        <v>1638</v>
      </c>
      <c r="Q69" s="83">
        <f t="shared" si="25"/>
        <v>0</v>
      </c>
      <c r="R69" s="219">
        <f t="shared" si="26"/>
        <v>1638</v>
      </c>
      <c r="S69" s="335" t="s">
        <v>158</v>
      </c>
      <c r="T69" s="336"/>
    </row>
    <row r="70" spans="1:20" ht="79.5" customHeight="1">
      <c r="A70" s="61" t="s">
        <v>50</v>
      </c>
      <c r="B70" s="7"/>
      <c r="C70" s="9" t="s">
        <v>151</v>
      </c>
      <c r="D70" s="16" t="s">
        <v>130</v>
      </c>
      <c r="E70" s="126" t="s">
        <v>68</v>
      </c>
      <c r="F70" s="128" t="s">
        <v>133</v>
      </c>
      <c r="G70" s="110">
        <v>38356</v>
      </c>
      <c r="H70" s="110">
        <v>38449</v>
      </c>
      <c r="I70" s="16" t="s">
        <v>70</v>
      </c>
      <c r="J70" s="111">
        <v>4039</v>
      </c>
      <c r="K70" s="111">
        <f>+J70*20/100</f>
        <v>807.8</v>
      </c>
      <c r="L70" s="196">
        <f t="shared" si="27"/>
        <v>4846.8</v>
      </c>
      <c r="M70" s="156">
        <f>22*180</f>
        <v>3960</v>
      </c>
      <c r="N70" s="7"/>
      <c r="O70" s="213">
        <f t="shared" si="23"/>
        <v>3960</v>
      </c>
      <c r="P70" s="83">
        <f t="shared" si="24"/>
        <v>2574</v>
      </c>
      <c r="Q70" s="83">
        <f t="shared" si="25"/>
        <v>0</v>
      </c>
      <c r="R70" s="219">
        <f t="shared" si="26"/>
        <v>2574</v>
      </c>
      <c r="S70" s="335" t="s">
        <v>153</v>
      </c>
      <c r="T70" s="336"/>
    </row>
    <row r="71" spans="1:20" ht="54" customHeight="1">
      <c r="A71" s="61" t="s">
        <v>50</v>
      </c>
      <c r="B71" s="7"/>
      <c r="C71" s="9" t="s">
        <v>151</v>
      </c>
      <c r="D71" s="14" t="s">
        <v>66</v>
      </c>
      <c r="E71" s="93" t="s">
        <v>74</v>
      </c>
      <c r="F71" s="108" t="s">
        <v>135</v>
      </c>
      <c r="G71" s="94">
        <v>38365</v>
      </c>
      <c r="H71" s="94">
        <v>38407</v>
      </c>
      <c r="I71" s="163" t="s">
        <v>70</v>
      </c>
      <c r="J71" s="109">
        <v>1333.33</v>
      </c>
      <c r="K71" s="109">
        <v>0</v>
      </c>
      <c r="L71" s="196">
        <f t="shared" si="27"/>
        <v>1333.33</v>
      </c>
      <c r="M71" s="156">
        <f>5000/30*8</f>
        <v>1333.3333333333333</v>
      </c>
      <c r="N71" s="7"/>
      <c r="O71" s="213">
        <f t="shared" si="23"/>
        <v>1333.3333333333333</v>
      </c>
      <c r="P71" s="83">
        <f t="shared" si="24"/>
        <v>866.6666666666666</v>
      </c>
      <c r="Q71" s="83">
        <f t="shared" si="25"/>
        <v>0</v>
      </c>
      <c r="R71" s="219">
        <f t="shared" si="26"/>
        <v>866.6666666666666</v>
      </c>
      <c r="S71" s="335" t="s">
        <v>157</v>
      </c>
      <c r="T71" s="336"/>
    </row>
    <row r="72" spans="1:20" ht="85.5" customHeight="1">
      <c r="A72" s="61" t="s">
        <v>50</v>
      </c>
      <c r="B72" s="7"/>
      <c r="C72" s="9" t="s">
        <v>151</v>
      </c>
      <c r="D72" s="16" t="s">
        <v>130</v>
      </c>
      <c r="E72" s="126" t="s">
        <v>68</v>
      </c>
      <c r="F72" s="128" t="s">
        <v>134</v>
      </c>
      <c r="G72" s="110">
        <v>38387</v>
      </c>
      <c r="H72" s="110">
        <v>38449</v>
      </c>
      <c r="I72" s="16" t="s">
        <v>70</v>
      </c>
      <c r="J72" s="111">
        <v>3672</v>
      </c>
      <c r="K72" s="111">
        <f>+J72*20/100</f>
        <v>734.4</v>
      </c>
      <c r="L72" s="196">
        <f t="shared" si="27"/>
        <v>4406.4</v>
      </c>
      <c r="M72" s="156">
        <f>20*180</f>
        <v>3600</v>
      </c>
      <c r="N72" s="7"/>
      <c r="O72" s="213">
        <f t="shared" si="23"/>
        <v>3600</v>
      </c>
      <c r="P72" s="83">
        <f t="shared" si="24"/>
        <v>2340</v>
      </c>
      <c r="Q72" s="83">
        <f t="shared" si="25"/>
        <v>0</v>
      </c>
      <c r="R72" s="219">
        <f t="shared" si="26"/>
        <v>2340</v>
      </c>
      <c r="S72" s="335" t="s">
        <v>154</v>
      </c>
      <c r="T72" s="336"/>
    </row>
    <row r="73" spans="1:21" s="29" customFormat="1" ht="34.5" customHeight="1">
      <c r="A73" s="61" t="s">
        <v>226</v>
      </c>
      <c r="B73" s="82"/>
      <c r="C73" s="14" t="s">
        <v>51</v>
      </c>
      <c r="D73" s="150" t="s">
        <v>231</v>
      </c>
      <c r="E73" s="16" t="s">
        <v>54</v>
      </c>
      <c r="F73" s="102" t="s">
        <v>55</v>
      </c>
      <c r="G73" s="102">
        <v>38510</v>
      </c>
      <c r="H73" s="102">
        <v>38533</v>
      </c>
      <c r="I73" s="305" t="s">
        <v>136</v>
      </c>
      <c r="J73" s="105"/>
      <c r="K73" s="105">
        <f>J73*0.2</f>
        <v>0</v>
      </c>
      <c r="L73" s="195">
        <f>SUM(J73:K73)</f>
        <v>0</v>
      </c>
      <c r="M73" s="86">
        <v>1400</v>
      </c>
      <c r="N73" s="86">
        <v>0</v>
      </c>
      <c r="O73" s="213">
        <f>SUM(M73:N73)</f>
        <v>1400</v>
      </c>
      <c r="P73" s="83">
        <f>O73*0.65</f>
        <v>910</v>
      </c>
      <c r="Q73" s="83">
        <f>N73*0.65</f>
        <v>0</v>
      </c>
      <c r="R73" s="219">
        <f>SUM(P73:Q73)</f>
        <v>910</v>
      </c>
      <c r="S73" s="405" t="s">
        <v>330</v>
      </c>
      <c r="T73" s="406"/>
      <c r="U73" s="149"/>
    </row>
    <row r="74" spans="1:21" s="29" customFormat="1" ht="30.75" customHeight="1">
      <c r="A74" s="61" t="s">
        <v>226</v>
      </c>
      <c r="B74" s="82"/>
      <c r="C74" s="14" t="s">
        <v>51</v>
      </c>
      <c r="D74" s="150" t="s">
        <v>231</v>
      </c>
      <c r="E74" s="16" t="s">
        <v>237</v>
      </c>
      <c r="F74" s="102" t="s">
        <v>56</v>
      </c>
      <c r="G74" s="102">
        <v>38539</v>
      </c>
      <c r="H74" s="102">
        <v>38539</v>
      </c>
      <c r="I74" s="305" t="s">
        <v>137</v>
      </c>
      <c r="J74" s="105"/>
      <c r="K74" s="105">
        <f aca="true" t="shared" si="28" ref="K74:K80">J74*0.2</f>
        <v>0</v>
      </c>
      <c r="L74" s="195">
        <f aca="true" t="shared" si="29" ref="L74:L79">SUM(J74:K74)</f>
        <v>0</v>
      </c>
      <c r="M74" s="86">
        <v>2100</v>
      </c>
      <c r="N74" s="86">
        <v>0</v>
      </c>
      <c r="O74" s="213">
        <f aca="true" t="shared" si="30" ref="O74:O79">SUM(M74:N74)</f>
        <v>2100</v>
      </c>
      <c r="P74" s="83">
        <f t="shared" si="24"/>
        <v>1365</v>
      </c>
      <c r="Q74" s="83">
        <f aca="true" t="shared" si="31" ref="Q74:Q79">N74*0.65</f>
        <v>0</v>
      </c>
      <c r="R74" s="219">
        <f aca="true" t="shared" si="32" ref="R74:R79">SUM(P74:Q74)</f>
        <v>1365</v>
      </c>
      <c r="S74" s="405" t="s">
        <v>331</v>
      </c>
      <c r="T74" s="406"/>
      <c r="U74" s="149"/>
    </row>
    <row r="75" spans="1:21" s="85" customFormat="1" ht="30.75" customHeight="1">
      <c r="A75" s="61" t="s">
        <v>226</v>
      </c>
      <c r="B75" s="99"/>
      <c r="C75" s="14" t="s">
        <v>51</v>
      </c>
      <c r="D75" s="150" t="s">
        <v>231</v>
      </c>
      <c r="E75" s="16" t="s">
        <v>57</v>
      </c>
      <c r="F75" s="129" t="s">
        <v>138</v>
      </c>
      <c r="G75" s="102">
        <v>38513</v>
      </c>
      <c r="H75" s="102">
        <v>38533</v>
      </c>
      <c r="I75" s="305" t="s">
        <v>139</v>
      </c>
      <c r="J75" s="105"/>
      <c r="K75" s="105">
        <f t="shared" si="28"/>
        <v>0</v>
      </c>
      <c r="L75" s="195">
        <f t="shared" si="29"/>
        <v>0</v>
      </c>
      <c r="M75" s="100">
        <v>1400</v>
      </c>
      <c r="N75" s="100">
        <v>0</v>
      </c>
      <c r="O75" s="213">
        <f t="shared" si="30"/>
        <v>1400</v>
      </c>
      <c r="P75" s="83">
        <f t="shared" si="24"/>
        <v>910</v>
      </c>
      <c r="Q75" s="83">
        <f t="shared" si="31"/>
        <v>0</v>
      </c>
      <c r="R75" s="219">
        <f t="shared" si="32"/>
        <v>910</v>
      </c>
      <c r="S75" s="405" t="s">
        <v>331</v>
      </c>
      <c r="T75" s="406"/>
      <c r="U75" s="149"/>
    </row>
    <row r="76" spans="1:20" ht="35.25" customHeight="1">
      <c r="A76" s="61" t="s">
        <v>226</v>
      </c>
      <c r="B76" s="7"/>
      <c r="C76" s="14" t="s">
        <v>51</v>
      </c>
      <c r="D76" s="150" t="s">
        <v>231</v>
      </c>
      <c r="E76" s="16" t="s">
        <v>58</v>
      </c>
      <c r="F76" s="129" t="s">
        <v>140</v>
      </c>
      <c r="G76" s="102">
        <v>38524</v>
      </c>
      <c r="H76" s="102">
        <v>38533</v>
      </c>
      <c r="I76" s="305" t="s">
        <v>141</v>
      </c>
      <c r="J76" s="105"/>
      <c r="K76" s="105">
        <f t="shared" si="28"/>
        <v>0</v>
      </c>
      <c r="L76" s="195">
        <f t="shared" si="29"/>
        <v>0</v>
      </c>
      <c r="M76" s="100">
        <v>1050</v>
      </c>
      <c r="N76" s="7"/>
      <c r="O76" s="213">
        <f t="shared" si="30"/>
        <v>1050</v>
      </c>
      <c r="P76" s="83">
        <f t="shared" si="24"/>
        <v>682.5</v>
      </c>
      <c r="Q76" s="83">
        <f t="shared" si="31"/>
        <v>0</v>
      </c>
      <c r="R76" s="219">
        <f t="shared" si="32"/>
        <v>682.5</v>
      </c>
      <c r="S76" s="405" t="s">
        <v>332</v>
      </c>
      <c r="T76" s="406"/>
    </row>
    <row r="77" spans="1:20" ht="30.75" customHeight="1">
      <c r="A77" s="61" t="s">
        <v>226</v>
      </c>
      <c r="B77" s="7"/>
      <c r="C77" s="14" t="s">
        <v>51</v>
      </c>
      <c r="D77" s="150" t="s">
        <v>231</v>
      </c>
      <c r="E77" s="16" t="s">
        <v>59</v>
      </c>
      <c r="F77" s="103" t="s">
        <v>60</v>
      </c>
      <c r="G77" s="102">
        <v>38524</v>
      </c>
      <c r="H77" s="102">
        <v>38533</v>
      </c>
      <c r="I77" s="305" t="s">
        <v>142</v>
      </c>
      <c r="J77" s="105"/>
      <c r="K77" s="105">
        <f t="shared" si="28"/>
        <v>0</v>
      </c>
      <c r="L77" s="195">
        <f t="shared" si="29"/>
        <v>0</v>
      </c>
      <c r="M77" s="100">
        <v>700</v>
      </c>
      <c r="N77" s="7"/>
      <c r="O77" s="213">
        <f t="shared" si="30"/>
        <v>700</v>
      </c>
      <c r="P77" s="83">
        <f t="shared" si="24"/>
        <v>455</v>
      </c>
      <c r="Q77" s="83">
        <f t="shared" si="31"/>
        <v>0</v>
      </c>
      <c r="R77" s="219">
        <f t="shared" si="32"/>
        <v>455</v>
      </c>
      <c r="S77" s="405" t="s">
        <v>332</v>
      </c>
      <c r="T77" s="406"/>
    </row>
    <row r="78" spans="1:20" ht="30.75" customHeight="1">
      <c r="A78" s="61" t="s">
        <v>226</v>
      </c>
      <c r="B78" s="7"/>
      <c r="C78" s="14" t="s">
        <v>51</v>
      </c>
      <c r="D78" s="14" t="s">
        <v>145</v>
      </c>
      <c r="E78" s="143" t="s">
        <v>61</v>
      </c>
      <c r="F78" s="103" t="s">
        <v>62</v>
      </c>
      <c r="G78" s="102">
        <v>38523</v>
      </c>
      <c r="H78" s="102">
        <v>38533</v>
      </c>
      <c r="I78" s="305" t="s">
        <v>143</v>
      </c>
      <c r="J78" s="105"/>
      <c r="K78" s="105">
        <f t="shared" si="28"/>
        <v>0</v>
      </c>
      <c r="L78" s="195">
        <f t="shared" si="29"/>
        <v>0</v>
      </c>
      <c r="M78" s="155"/>
      <c r="N78" s="7"/>
      <c r="O78" s="213">
        <f t="shared" si="30"/>
        <v>0</v>
      </c>
      <c r="P78" s="83">
        <f t="shared" si="24"/>
        <v>0</v>
      </c>
      <c r="Q78" s="83">
        <f t="shared" si="31"/>
        <v>0</v>
      </c>
      <c r="R78" s="219">
        <f t="shared" si="32"/>
        <v>0</v>
      </c>
      <c r="S78" s="341" t="s">
        <v>230</v>
      </c>
      <c r="T78" s="342"/>
    </row>
    <row r="79" spans="1:20" ht="30.75" customHeight="1">
      <c r="A79" s="61" t="s">
        <v>226</v>
      </c>
      <c r="B79" s="7"/>
      <c r="C79" s="14" t="s">
        <v>51</v>
      </c>
      <c r="D79" s="14" t="s">
        <v>53</v>
      </c>
      <c r="E79" s="126" t="s">
        <v>63</v>
      </c>
      <c r="F79" s="102" t="s">
        <v>56</v>
      </c>
      <c r="G79" s="102">
        <v>38513</v>
      </c>
      <c r="H79" s="102">
        <v>38533</v>
      </c>
      <c r="I79" s="305" t="s">
        <v>144</v>
      </c>
      <c r="J79" s="105"/>
      <c r="K79" s="105">
        <f t="shared" si="28"/>
        <v>0</v>
      </c>
      <c r="L79" s="195">
        <f t="shared" si="29"/>
        <v>0</v>
      </c>
      <c r="M79" s="100">
        <v>1400</v>
      </c>
      <c r="N79" s="7"/>
      <c r="O79" s="213">
        <f t="shared" si="30"/>
        <v>1400</v>
      </c>
      <c r="P79" s="83">
        <f t="shared" si="24"/>
        <v>910</v>
      </c>
      <c r="Q79" s="83">
        <f t="shared" si="31"/>
        <v>0</v>
      </c>
      <c r="R79" s="219">
        <f t="shared" si="32"/>
        <v>910</v>
      </c>
      <c r="S79" s="405" t="s">
        <v>332</v>
      </c>
      <c r="T79" s="406"/>
    </row>
    <row r="80" spans="1:20" ht="30.75" customHeight="1">
      <c r="A80" s="61" t="s">
        <v>226</v>
      </c>
      <c r="B80" s="7"/>
      <c r="C80" s="14" t="s">
        <v>51</v>
      </c>
      <c r="D80" s="14" t="s">
        <v>145</v>
      </c>
      <c r="E80" s="143" t="s">
        <v>61</v>
      </c>
      <c r="F80" s="103" t="s">
        <v>62</v>
      </c>
      <c r="G80" s="102">
        <v>38523</v>
      </c>
      <c r="H80" s="102">
        <v>38533</v>
      </c>
      <c r="I80" s="305" t="s">
        <v>143</v>
      </c>
      <c r="J80" s="105"/>
      <c r="K80" s="105">
        <f t="shared" si="28"/>
        <v>0</v>
      </c>
      <c r="L80" s="195">
        <f>SUM(J80:K80)</f>
        <v>0</v>
      </c>
      <c r="M80" s="155"/>
      <c r="N80" s="7"/>
      <c r="O80" s="213">
        <f>SUM(M80:N80)</f>
        <v>0</v>
      </c>
      <c r="P80" s="83">
        <f t="shared" si="24"/>
        <v>0</v>
      </c>
      <c r="Q80" s="83">
        <f>N80*0.65</f>
        <v>0</v>
      </c>
      <c r="R80" s="219">
        <f>SUM(P80:Q80)</f>
        <v>0</v>
      </c>
      <c r="S80" s="341" t="s">
        <v>230</v>
      </c>
      <c r="T80" s="342"/>
    </row>
    <row r="81" spans="1:20" ht="30.75" customHeight="1">
      <c r="A81" s="61" t="s">
        <v>226</v>
      </c>
      <c r="B81" s="7"/>
      <c r="C81" s="14" t="s">
        <v>51</v>
      </c>
      <c r="D81" s="14" t="s">
        <v>227</v>
      </c>
      <c r="E81" s="143" t="s">
        <v>61</v>
      </c>
      <c r="F81" s="103" t="s">
        <v>228</v>
      </c>
      <c r="G81" s="102">
        <v>38658</v>
      </c>
      <c r="H81" s="102">
        <v>38658</v>
      </c>
      <c r="I81" s="305" t="s">
        <v>229</v>
      </c>
      <c r="J81" s="105">
        <v>1400</v>
      </c>
      <c r="K81" s="105">
        <f>J81*0.2</f>
        <v>280</v>
      </c>
      <c r="L81" s="195">
        <f>SUM(J81:K81)</f>
        <v>1680</v>
      </c>
      <c r="M81" s="155"/>
      <c r="N81" s="7"/>
      <c r="O81" s="213">
        <f>SUM(M81:N81)</f>
        <v>0</v>
      </c>
      <c r="P81" s="83">
        <f t="shared" si="24"/>
        <v>0</v>
      </c>
      <c r="Q81" s="83">
        <f>N81*0.65</f>
        <v>0</v>
      </c>
      <c r="R81" s="219">
        <f>SUM(P81:Q81)</f>
        <v>0</v>
      </c>
      <c r="S81" s="341" t="s">
        <v>230</v>
      </c>
      <c r="T81" s="342"/>
    </row>
    <row r="82" spans="1:20" ht="34.5" customHeight="1">
      <c r="A82" s="61" t="s">
        <v>226</v>
      </c>
      <c r="B82" s="7"/>
      <c r="C82" s="14" t="s">
        <v>51</v>
      </c>
      <c r="D82" s="112" t="s">
        <v>231</v>
      </c>
      <c r="E82" s="16" t="s">
        <v>54</v>
      </c>
      <c r="F82" s="103" t="s">
        <v>232</v>
      </c>
      <c r="G82" s="146">
        <v>38649</v>
      </c>
      <c r="H82" s="102">
        <v>38658</v>
      </c>
      <c r="I82" s="104" t="s">
        <v>233</v>
      </c>
      <c r="J82" s="147">
        <f>350*3</f>
        <v>1050</v>
      </c>
      <c r="K82" s="147">
        <v>210</v>
      </c>
      <c r="L82" s="196">
        <f aca="true" t="shared" si="33" ref="L82:L89">+K82+J82</f>
        <v>1260</v>
      </c>
      <c r="M82" s="147">
        <f>350*3</f>
        <v>1050</v>
      </c>
      <c r="N82" s="7"/>
      <c r="O82" s="213">
        <f t="shared" si="23"/>
        <v>1050</v>
      </c>
      <c r="P82" s="83">
        <f aca="true" t="shared" si="34" ref="P82:P90">+M82*0.65</f>
        <v>682.5</v>
      </c>
      <c r="Q82" s="148"/>
      <c r="R82" s="219">
        <f t="shared" si="26"/>
        <v>682.5</v>
      </c>
      <c r="S82" s="405"/>
      <c r="T82" s="406"/>
    </row>
    <row r="83" spans="1:20" ht="27.75" customHeight="1">
      <c r="A83" s="61" t="s">
        <v>226</v>
      </c>
      <c r="B83" s="7"/>
      <c r="C83" s="14" t="s">
        <v>51</v>
      </c>
      <c r="D83" s="150" t="s">
        <v>231</v>
      </c>
      <c r="E83" s="16" t="s">
        <v>59</v>
      </c>
      <c r="F83" s="151" t="s">
        <v>234</v>
      </c>
      <c r="G83" s="146">
        <v>38646</v>
      </c>
      <c r="H83" s="146">
        <v>38658</v>
      </c>
      <c r="I83" s="152" t="s">
        <v>235</v>
      </c>
      <c r="J83" s="147">
        <v>700</v>
      </c>
      <c r="K83" s="147">
        <v>140</v>
      </c>
      <c r="L83" s="196">
        <f t="shared" si="33"/>
        <v>840</v>
      </c>
      <c r="M83" s="156">
        <v>700</v>
      </c>
      <c r="N83" s="7"/>
      <c r="O83" s="213">
        <f t="shared" si="23"/>
        <v>700</v>
      </c>
      <c r="P83" s="83">
        <f t="shared" si="34"/>
        <v>455</v>
      </c>
      <c r="Q83" s="148"/>
      <c r="R83" s="219">
        <f t="shared" si="26"/>
        <v>455</v>
      </c>
      <c r="S83" s="405"/>
      <c r="T83" s="406"/>
    </row>
    <row r="84" spans="1:20" ht="35.25" customHeight="1">
      <c r="A84" s="61" t="s">
        <v>226</v>
      </c>
      <c r="B84" s="7"/>
      <c r="C84" s="14" t="s">
        <v>51</v>
      </c>
      <c r="D84" s="150" t="s">
        <v>231</v>
      </c>
      <c r="E84" s="153" t="s">
        <v>236</v>
      </c>
      <c r="F84" s="151">
        <v>31</v>
      </c>
      <c r="G84" s="146">
        <v>38649</v>
      </c>
      <c r="H84" s="146">
        <v>38658</v>
      </c>
      <c r="I84" s="152" t="s">
        <v>235</v>
      </c>
      <c r="J84" s="147">
        <v>1428</v>
      </c>
      <c r="K84" s="147">
        <f>J84*0.2</f>
        <v>285.6</v>
      </c>
      <c r="L84" s="196">
        <f t="shared" si="33"/>
        <v>1713.6</v>
      </c>
      <c r="M84" s="156">
        <f>2*350</f>
        <v>700</v>
      </c>
      <c r="N84" s="7"/>
      <c r="O84" s="213">
        <f t="shared" si="23"/>
        <v>700</v>
      </c>
      <c r="P84" s="83">
        <f t="shared" si="34"/>
        <v>455</v>
      </c>
      <c r="Q84" s="148"/>
      <c r="R84" s="219">
        <f aca="true" t="shared" si="35" ref="R84:R90">SUM(P84:Q84)</f>
        <v>455</v>
      </c>
      <c r="S84" s="405" t="s">
        <v>333</v>
      </c>
      <c r="T84" s="406"/>
    </row>
    <row r="85" spans="1:20" ht="34.5" customHeight="1">
      <c r="A85" s="61" t="s">
        <v>226</v>
      </c>
      <c r="B85" s="7"/>
      <c r="C85" s="14" t="s">
        <v>51</v>
      </c>
      <c r="D85" s="150" t="s">
        <v>231</v>
      </c>
      <c r="E85" s="16" t="s">
        <v>237</v>
      </c>
      <c r="F85" s="145">
        <v>11</v>
      </c>
      <c r="G85" s="146">
        <v>38649</v>
      </c>
      <c r="H85" s="146">
        <v>38658</v>
      </c>
      <c r="I85" s="152" t="s">
        <v>235</v>
      </c>
      <c r="J85" s="147">
        <v>2450</v>
      </c>
      <c r="K85" s="147">
        <v>490</v>
      </c>
      <c r="L85" s="196">
        <f t="shared" si="33"/>
        <v>2940</v>
      </c>
      <c r="M85" s="156">
        <f>7*350</f>
        <v>2450</v>
      </c>
      <c r="N85" s="7"/>
      <c r="O85" s="213">
        <f t="shared" si="23"/>
        <v>2450</v>
      </c>
      <c r="P85" s="83">
        <f t="shared" si="34"/>
        <v>1592.5</v>
      </c>
      <c r="Q85" s="148"/>
      <c r="R85" s="219">
        <f t="shared" si="35"/>
        <v>1592.5</v>
      </c>
      <c r="S85" s="405"/>
      <c r="T85" s="406"/>
    </row>
    <row r="86" spans="1:20" ht="34.5" customHeight="1">
      <c r="A86" s="61" t="s">
        <v>226</v>
      </c>
      <c r="B86" s="7"/>
      <c r="C86" s="14" t="s">
        <v>51</v>
      </c>
      <c r="D86" s="150" t="s">
        <v>231</v>
      </c>
      <c r="E86" s="144" t="s">
        <v>57</v>
      </c>
      <c r="F86" s="145">
        <v>16</v>
      </c>
      <c r="G86" s="146">
        <v>38649</v>
      </c>
      <c r="H86" s="146">
        <v>38649</v>
      </c>
      <c r="I86" s="305" t="s">
        <v>238</v>
      </c>
      <c r="J86" s="147">
        <v>1050</v>
      </c>
      <c r="K86" s="147">
        <v>210</v>
      </c>
      <c r="L86" s="196">
        <f t="shared" si="33"/>
        <v>1260</v>
      </c>
      <c r="M86" s="156">
        <v>1050</v>
      </c>
      <c r="N86" s="7"/>
      <c r="O86" s="213">
        <f aca="true" t="shared" si="36" ref="O86:O93">SUM(M86:N86)</f>
        <v>1050</v>
      </c>
      <c r="P86" s="83">
        <f t="shared" si="34"/>
        <v>682.5</v>
      </c>
      <c r="Q86" s="148"/>
      <c r="R86" s="219">
        <f t="shared" si="35"/>
        <v>682.5</v>
      </c>
      <c r="S86" s="405"/>
      <c r="T86" s="406"/>
    </row>
    <row r="87" spans="1:20" ht="34.5" customHeight="1">
      <c r="A87" s="61" t="s">
        <v>226</v>
      </c>
      <c r="B87" s="7"/>
      <c r="C87" s="14" t="s">
        <v>51</v>
      </c>
      <c r="D87" s="150" t="s">
        <v>231</v>
      </c>
      <c r="E87" s="144" t="s">
        <v>63</v>
      </c>
      <c r="F87" s="145">
        <v>8</v>
      </c>
      <c r="G87" s="146">
        <v>38649</v>
      </c>
      <c r="H87" s="146">
        <v>38649</v>
      </c>
      <c r="I87" s="305" t="s">
        <v>239</v>
      </c>
      <c r="J87" s="147">
        <v>1050</v>
      </c>
      <c r="K87" s="147">
        <v>210</v>
      </c>
      <c r="L87" s="196">
        <f t="shared" si="33"/>
        <v>1260</v>
      </c>
      <c r="M87" s="156">
        <f>3*350</f>
        <v>1050</v>
      </c>
      <c r="N87" s="7"/>
      <c r="O87" s="213">
        <f t="shared" si="36"/>
        <v>1050</v>
      </c>
      <c r="P87" s="83">
        <f t="shared" si="34"/>
        <v>682.5</v>
      </c>
      <c r="Q87" s="148"/>
      <c r="R87" s="220">
        <f t="shared" si="35"/>
        <v>682.5</v>
      </c>
      <c r="S87" s="405"/>
      <c r="T87" s="406"/>
    </row>
    <row r="88" spans="1:20" ht="34.5" customHeight="1">
      <c r="A88" s="61" t="s">
        <v>226</v>
      </c>
      <c r="B88" s="7"/>
      <c r="C88" s="14" t="s">
        <v>51</v>
      </c>
      <c r="D88" s="150" t="s">
        <v>231</v>
      </c>
      <c r="E88" s="153" t="s">
        <v>58</v>
      </c>
      <c r="F88" s="145">
        <v>12</v>
      </c>
      <c r="G88" s="146">
        <v>38649</v>
      </c>
      <c r="H88" s="146">
        <v>38649</v>
      </c>
      <c r="I88" s="305" t="s">
        <v>240</v>
      </c>
      <c r="J88" s="147">
        <v>1050</v>
      </c>
      <c r="K88" s="147">
        <v>210</v>
      </c>
      <c r="L88" s="196">
        <f t="shared" si="33"/>
        <v>1260</v>
      </c>
      <c r="M88" s="156">
        <v>1050</v>
      </c>
      <c r="N88" s="7"/>
      <c r="O88" s="213">
        <f t="shared" si="36"/>
        <v>1050</v>
      </c>
      <c r="P88" s="83">
        <f t="shared" si="34"/>
        <v>682.5</v>
      </c>
      <c r="Q88" s="148"/>
      <c r="R88" s="220">
        <f t="shared" si="35"/>
        <v>682.5</v>
      </c>
      <c r="S88" s="405"/>
      <c r="T88" s="406"/>
    </row>
    <row r="89" spans="1:20" ht="34.5" customHeight="1">
      <c r="A89" s="61" t="s">
        <v>226</v>
      </c>
      <c r="B89" s="7"/>
      <c r="C89" s="14" t="s">
        <v>51</v>
      </c>
      <c r="D89" s="150" t="s">
        <v>231</v>
      </c>
      <c r="E89" s="144" t="s">
        <v>215</v>
      </c>
      <c r="F89" s="145">
        <v>4</v>
      </c>
      <c r="G89" s="146">
        <v>38533</v>
      </c>
      <c r="H89" s="146">
        <v>38658</v>
      </c>
      <c r="I89" s="305" t="s">
        <v>241</v>
      </c>
      <c r="J89" s="147">
        <v>1400</v>
      </c>
      <c r="K89" s="147">
        <v>280</v>
      </c>
      <c r="L89" s="196">
        <f t="shared" si="33"/>
        <v>1680</v>
      </c>
      <c r="M89" s="156">
        <v>1400</v>
      </c>
      <c r="N89" s="7"/>
      <c r="O89" s="213">
        <f t="shared" si="36"/>
        <v>1400</v>
      </c>
      <c r="P89" s="83">
        <f t="shared" si="34"/>
        <v>910</v>
      </c>
      <c r="Q89" s="148"/>
      <c r="R89" s="220">
        <f t="shared" si="35"/>
        <v>910</v>
      </c>
      <c r="S89" s="405"/>
      <c r="T89" s="406"/>
    </row>
    <row r="90" spans="1:20" ht="89.25" customHeight="1">
      <c r="A90" s="61" t="s">
        <v>226</v>
      </c>
      <c r="B90" s="7"/>
      <c r="C90" s="9" t="s">
        <v>151</v>
      </c>
      <c r="D90" s="16" t="s">
        <v>130</v>
      </c>
      <c r="E90" s="126" t="s">
        <v>68</v>
      </c>
      <c r="F90" s="145">
        <v>3</v>
      </c>
      <c r="G90" s="146">
        <v>38415</v>
      </c>
      <c r="H90" s="146">
        <v>38504</v>
      </c>
      <c r="I90" s="14" t="s">
        <v>244</v>
      </c>
      <c r="J90" s="147">
        <v>3672</v>
      </c>
      <c r="K90" s="147">
        <f>J90*0.2</f>
        <v>734.4000000000001</v>
      </c>
      <c r="L90" s="196">
        <f>+K90+J90</f>
        <v>4406.4</v>
      </c>
      <c r="M90" s="156">
        <f>180*20</f>
        <v>3600</v>
      </c>
      <c r="N90" s="7"/>
      <c r="O90" s="213">
        <f t="shared" si="36"/>
        <v>3600</v>
      </c>
      <c r="P90" s="83">
        <f t="shared" si="34"/>
        <v>2340</v>
      </c>
      <c r="Q90" s="148"/>
      <c r="R90" s="220">
        <f t="shared" si="35"/>
        <v>2340</v>
      </c>
      <c r="S90" s="343"/>
      <c r="T90" s="344"/>
    </row>
    <row r="91" spans="1:20" ht="86.25" customHeight="1">
      <c r="A91" s="61" t="s">
        <v>226</v>
      </c>
      <c r="B91" s="7"/>
      <c r="C91" s="9" t="s">
        <v>151</v>
      </c>
      <c r="D91" s="16" t="s">
        <v>130</v>
      </c>
      <c r="E91" s="126" t="s">
        <v>68</v>
      </c>
      <c r="F91" s="145">
        <v>4</v>
      </c>
      <c r="G91" s="146">
        <v>38446</v>
      </c>
      <c r="H91" s="146">
        <v>38517</v>
      </c>
      <c r="I91" s="14" t="s">
        <v>244</v>
      </c>
      <c r="J91" s="147">
        <v>3960</v>
      </c>
      <c r="K91" s="147">
        <v>720</v>
      </c>
      <c r="L91" s="196">
        <f>+K91+J91</f>
        <v>4680</v>
      </c>
      <c r="M91" s="156">
        <f>22*180</f>
        <v>3960</v>
      </c>
      <c r="N91" s="7"/>
      <c r="O91" s="213">
        <f t="shared" si="36"/>
        <v>3960</v>
      </c>
      <c r="P91" s="83">
        <f>+M91*0.65</f>
        <v>2574</v>
      </c>
      <c r="Q91" s="148"/>
      <c r="R91" s="220">
        <f aca="true" t="shared" si="37" ref="R91:R100">SUM(P91:Q91)</f>
        <v>2574</v>
      </c>
      <c r="S91" s="343"/>
      <c r="T91" s="344"/>
    </row>
    <row r="92" spans="1:20" ht="84" customHeight="1">
      <c r="A92" s="61" t="s">
        <v>226</v>
      </c>
      <c r="B92" s="7"/>
      <c r="C92" s="9" t="s">
        <v>151</v>
      </c>
      <c r="D92" s="16" t="s">
        <v>130</v>
      </c>
      <c r="E92" s="126" t="s">
        <v>68</v>
      </c>
      <c r="F92" s="145">
        <v>5</v>
      </c>
      <c r="G92" s="146">
        <v>38476</v>
      </c>
      <c r="H92" s="146">
        <v>38548</v>
      </c>
      <c r="I92" s="14" t="s">
        <v>244</v>
      </c>
      <c r="J92" s="147">
        <v>3600</v>
      </c>
      <c r="K92" s="147">
        <v>720</v>
      </c>
      <c r="L92" s="196">
        <f>+K92+J92</f>
        <v>4320</v>
      </c>
      <c r="M92" s="156">
        <f>20*180</f>
        <v>3600</v>
      </c>
      <c r="N92" s="7"/>
      <c r="O92" s="213">
        <f t="shared" si="36"/>
        <v>3600</v>
      </c>
      <c r="P92" s="83">
        <f>+M92*0.65</f>
        <v>2340</v>
      </c>
      <c r="Q92" s="148"/>
      <c r="R92" s="220">
        <f t="shared" si="37"/>
        <v>2340</v>
      </c>
      <c r="S92" s="343"/>
      <c r="T92" s="344"/>
    </row>
    <row r="93" spans="1:20" ht="35.25" customHeight="1">
      <c r="A93" s="61" t="s">
        <v>226</v>
      </c>
      <c r="B93" s="7"/>
      <c r="C93" s="9" t="s">
        <v>151</v>
      </c>
      <c r="D93" s="143" t="s">
        <v>245</v>
      </c>
      <c r="E93" s="144" t="s">
        <v>246</v>
      </c>
      <c r="F93" s="145">
        <v>2</v>
      </c>
      <c r="G93" s="146">
        <v>38523</v>
      </c>
      <c r="H93" s="146">
        <v>38618</v>
      </c>
      <c r="I93" s="14" t="s">
        <v>244</v>
      </c>
      <c r="J93" s="147">
        <v>2250</v>
      </c>
      <c r="K93" s="147">
        <v>450</v>
      </c>
      <c r="L93" s="196">
        <f>+K93+J93</f>
        <v>2700</v>
      </c>
      <c r="M93" s="156">
        <f>12*180</f>
        <v>2160</v>
      </c>
      <c r="N93" s="7"/>
      <c r="O93" s="213">
        <f t="shared" si="36"/>
        <v>2160</v>
      </c>
      <c r="P93" s="83">
        <f>+M93*0.65</f>
        <v>1404</v>
      </c>
      <c r="Q93" s="148"/>
      <c r="R93" s="220">
        <f t="shared" si="37"/>
        <v>1404</v>
      </c>
      <c r="S93" s="343"/>
      <c r="T93" s="344"/>
    </row>
    <row r="94" spans="1:20" ht="63" customHeight="1">
      <c r="A94" s="61" t="s">
        <v>226</v>
      </c>
      <c r="B94" s="8"/>
      <c r="C94" s="9" t="s">
        <v>151</v>
      </c>
      <c r="D94" s="14" t="s">
        <v>251</v>
      </c>
      <c r="E94" s="14" t="s">
        <v>250</v>
      </c>
      <c r="F94" s="9">
        <v>1</v>
      </c>
      <c r="G94" s="10">
        <v>38419</v>
      </c>
      <c r="H94" s="11">
        <v>38544</v>
      </c>
      <c r="I94" s="300" t="s">
        <v>249</v>
      </c>
      <c r="J94" s="12">
        <v>48000</v>
      </c>
      <c r="K94" s="12">
        <f>+J94*0.2</f>
        <v>9600</v>
      </c>
      <c r="L94" s="190">
        <f>SUM(J94:K94)</f>
        <v>57600</v>
      </c>
      <c r="M94" s="12">
        <f>+J94</f>
        <v>48000</v>
      </c>
      <c r="N94" s="12"/>
      <c r="O94" s="190">
        <f>SUBTOTAL(9,M94:N94)</f>
        <v>48000</v>
      </c>
      <c r="P94" s="12">
        <f>M94*0.65</f>
        <v>31200</v>
      </c>
      <c r="Q94" s="12"/>
      <c r="R94" s="220">
        <f>SUM(P94:Q94)</f>
        <v>31200</v>
      </c>
      <c r="S94" s="405" t="s">
        <v>343</v>
      </c>
      <c r="T94" s="406"/>
    </row>
    <row r="95" spans="1:20" ht="22.5" customHeight="1">
      <c r="A95" s="61" t="s">
        <v>271</v>
      </c>
      <c r="B95" s="8"/>
      <c r="C95" s="14" t="s">
        <v>51</v>
      </c>
      <c r="D95" s="164" t="s">
        <v>52</v>
      </c>
      <c r="E95" s="152" t="s">
        <v>54</v>
      </c>
      <c r="F95" s="165" t="s">
        <v>336</v>
      </c>
      <c r="G95" s="166">
        <v>38666</v>
      </c>
      <c r="H95" s="166">
        <v>38666</v>
      </c>
      <c r="I95" s="301" t="s">
        <v>337</v>
      </c>
      <c r="J95" s="246">
        <v>1750</v>
      </c>
      <c r="K95" s="246">
        <f>J95*0.2</f>
        <v>350</v>
      </c>
      <c r="L95" s="247">
        <f aca="true" t="shared" si="38" ref="L95:L106">SUM(J95:K95)</f>
        <v>2100</v>
      </c>
      <c r="M95" s="12">
        <f>350*5</f>
        <v>1750</v>
      </c>
      <c r="N95" s="12"/>
      <c r="O95" s="190">
        <f aca="true" t="shared" si="39" ref="O95:O100">SUBTOTAL(9,M95:N95)</f>
        <v>1750</v>
      </c>
      <c r="P95" s="12">
        <f aca="true" t="shared" si="40" ref="P95:Q99">M95*0.65</f>
        <v>1137.5</v>
      </c>
      <c r="Q95" s="12">
        <f t="shared" si="40"/>
        <v>0</v>
      </c>
      <c r="R95" s="220">
        <f t="shared" si="37"/>
        <v>1137.5</v>
      </c>
      <c r="S95" s="160"/>
      <c r="T95" s="162"/>
    </row>
    <row r="96" spans="1:20" ht="26.25" customHeight="1">
      <c r="A96" s="61" t="s">
        <v>271</v>
      </c>
      <c r="B96" s="8"/>
      <c r="C96" s="14" t="s">
        <v>51</v>
      </c>
      <c r="D96" s="164" t="s">
        <v>52</v>
      </c>
      <c r="E96" s="152" t="s">
        <v>237</v>
      </c>
      <c r="F96" s="165" t="s">
        <v>338</v>
      </c>
      <c r="G96" s="166">
        <v>38658</v>
      </c>
      <c r="H96" s="166">
        <v>38667</v>
      </c>
      <c r="I96" s="301" t="s">
        <v>268</v>
      </c>
      <c r="J96" s="246">
        <v>1750</v>
      </c>
      <c r="K96" s="246">
        <f aca="true" t="shared" si="41" ref="K96:K103">J96*0.2</f>
        <v>350</v>
      </c>
      <c r="L96" s="247">
        <f t="shared" si="38"/>
        <v>2100</v>
      </c>
      <c r="M96" s="12">
        <f>350*5</f>
        <v>1750</v>
      </c>
      <c r="N96" s="12"/>
      <c r="O96" s="190">
        <f t="shared" si="39"/>
        <v>1750</v>
      </c>
      <c r="P96" s="12">
        <f t="shared" si="40"/>
        <v>1137.5</v>
      </c>
      <c r="Q96" s="12">
        <f t="shared" si="40"/>
        <v>0</v>
      </c>
      <c r="R96" s="220">
        <f t="shared" si="37"/>
        <v>1137.5</v>
      </c>
      <c r="S96" s="160"/>
      <c r="T96" s="162"/>
    </row>
    <row r="97" spans="1:20" ht="22.5" customHeight="1">
      <c r="A97" s="61" t="s">
        <v>271</v>
      </c>
      <c r="B97" s="8"/>
      <c r="C97" s="14" t="s">
        <v>51</v>
      </c>
      <c r="D97" s="164" t="s">
        <v>52</v>
      </c>
      <c r="E97" s="152" t="s">
        <v>57</v>
      </c>
      <c r="F97" s="165" t="s">
        <v>339</v>
      </c>
      <c r="G97" s="166">
        <v>38667</v>
      </c>
      <c r="H97" s="166">
        <v>38667</v>
      </c>
      <c r="I97" s="301" t="s">
        <v>268</v>
      </c>
      <c r="J97" s="246">
        <v>1750</v>
      </c>
      <c r="K97" s="246">
        <f t="shared" si="41"/>
        <v>350</v>
      </c>
      <c r="L97" s="247">
        <f t="shared" si="38"/>
        <v>2100</v>
      </c>
      <c r="M97" s="12">
        <f>350*5</f>
        <v>1750</v>
      </c>
      <c r="N97" s="12"/>
      <c r="O97" s="190">
        <f t="shared" si="39"/>
        <v>1750</v>
      </c>
      <c r="P97" s="12">
        <f t="shared" si="40"/>
        <v>1137.5</v>
      </c>
      <c r="Q97" s="12">
        <f t="shared" si="40"/>
        <v>0</v>
      </c>
      <c r="R97" s="220">
        <f t="shared" si="37"/>
        <v>1137.5</v>
      </c>
      <c r="S97" s="160"/>
      <c r="T97" s="162"/>
    </row>
    <row r="98" spans="1:20" ht="23.25" customHeight="1">
      <c r="A98" s="61" t="s">
        <v>271</v>
      </c>
      <c r="B98" s="8"/>
      <c r="C98" s="14" t="s">
        <v>51</v>
      </c>
      <c r="D98" s="164" t="s">
        <v>52</v>
      </c>
      <c r="E98" s="152" t="s">
        <v>58</v>
      </c>
      <c r="F98" s="165" t="s">
        <v>340</v>
      </c>
      <c r="G98" s="166">
        <v>38666</v>
      </c>
      <c r="H98" s="166">
        <v>38666</v>
      </c>
      <c r="I98" s="301" t="s">
        <v>268</v>
      </c>
      <c r="J98" s="246">
        <v>1750</v>
      </c>
      <c r="K98" s="246">
        <f t="shared" si="41"/>
        <v>350</v>
      </c>
      <c r="L98" s="247">
        <f t="shared" si="38"/>
        <v>2100</v>
      </c>
      <c r="M98" s="12">
        <f>350*5</f>
        <v>1750</v>
      </c>
      <c r="N98" s="12"/>
      <c r="O98" s="190">
        <f t="shared" si="39"/>
        <v>1750</v>
      </c>
      <c r="P98" s="12">
        <f t="shared" si="40"/>
        <v>1137.5</v>
      </c>
      <c r="Q98" s="12">
        <f t="shared" si="40"/>
        <v>0</v>
      </c>
      <c r="R98" s="220">
        <f t="shared" si="37"/>
        <v>1137.5</v>
      </c>
      <c r="S98" s="160"/>
      <c r="T98" s="162"/>
    </row>
    <row r="99" spans="1:20" ht="21" customHeight="1">
      <c r="A99" s="61" t="s">
        <v>271</v>
      </c>
      <c r="B99" s="8"/>
      <c r="C99" s="14" t="s">
        <v>51</v>
      </c>
      <c r="D99" s="164" t="s">
        <v>52</v>
      </c>
      <c r="E99" s="152" t="s">
        <v>59</v>
      </c>
      <c r="F99" s="165" t="s">
        <v>341</v>
      </c>
      <c r="G99" s="166">
        <v>38664</v>
      </c>
      <c r="H99" s="166">
        <v>38666</v>
      </c>
      <c r="I99" s="301" t="s">
        <v>268</v>
      </c>
      <c r="J99" s="246">
        <v>1750</v>
      </c>
      <c r="K99" s="246">
        <f t="shared" si="41"/>
        <v>350</v>
      </c>
      <c r="L99" s="247">
        <f t="shared" si="38"/>
        <v>2100</v>
      </c>
      <c r="M99" s="12">
        <f>350*5</f>
        <v>1750</v>
      </c>
      <c r="N99" s="12"/>
      <c r="O99" s="190">
        <f t="shared" si="39"/>
        <v>1750</v>
      </c>
      <c r="P99" s="12">
        <f t="shared" si="40"/>
        <v>1137.5</v>
      </c>
      <c r="Q99" s="12">
        <f t="shared" si="40"/>
        <v>0</v>
      </c>
      <c r="R99" s="220">
        <f t="shared" si="37"/>
        <v>1137.5</v>
      </c>
      <c r="S99" s="160"/>
      <c r="T99" s="162"/>
    </row>
    <row r="100" spans="1:20" s="232" customFormat="1" ht="23.25" customHeight="1">
      <c r="A100" s="227" t="s">
        <v>271</v>
      </c>
      <c r="B100" s="97"/>
      <c r="C100" s="161" t="s">
        <v>51</v>
      </c>
      <c r="D100" s="228" t="s">
        <v>52</v>
      </c>
      <c r="E100" s="229" t="s">
        <v>269</v>
      </c>
      <c r="F100" s="230"/>
      <c r="G100" s="231"/>
      <c r="H100" s="231"/>
      <c r="I100" s="301" t="s">
        <v>268</v>
      </c>
      <c r="J100" s="248">
        <v>1750</v>
      </c>
      <c r="K100" s="248">
        <f t="shared" si="41"/>
        <v>350</v>
      </c>
      <c r="L100" s="247">
        <f t="shared" si="38"/>
        <v>2100</v>
      </c>
      <c r="M100" s="31"/>
      <c r="N100" s="31"/>
      <c r="O100" s="190">
        <f t="shared" si="39"/>
        <v>0</v>
      </c>
      <c r="P100" s="31">
        <v>0</v>
      </c>
      <c r="Q100" s="31">
        <v>0</v>
      </c>
      <c r="R100" s="220">
        <f t="shared" si="37"/>
        <v>0</v>
      </c>
      <c r="S100" s="414" t="s">
        <v>344</v>
      </c>
      <c r="T100" s="338"/>
    </row>
    <row r="101" spans="1:20" s="232" customFormat="1" ht="23.25" customHeight="1">
      <c r="A101" s="227" t="s">
        <v>271</v>
      </c>
      <c r="B101" s="97"/>
      <c r="C101" s="161" t="s">
        <v>51</v>
      </c>
      <c r="D101" s="233" t="s">
        <v>53</v>
      </c>
      <c r="E101" s="234" t="s">
        <v>61</v>
      </c>
      <c r="F101" s="230" t="s">
        <v>342</v>
      </c>
      <c r="G101" s="231">
        <v>38667</v>
      </c>
      <c r="H101" s="231">
        <v>38667</v>
      </c>
      <c r="I101" s="301" t="s">
        <v>268</v>
      </c>
      <c r="J101" s="248">
        <v>1750</v>
      </c>
      <c r="K101" s="248">
        <f t="shared" si="41"/>
        <v>350</v>
      </c>
      <c r="L101" s="247">
        <f t="shared" si="38"/>
        <v>2100</v>
      </c>
      <c r="M101" s="31">
        <v>0</v>
      </c>
      <c r="N101" s="31"/>
      <c r="O101" s="190"/>
      <c r="P101" s="31"/>
      <c r="Q101" s="31"/>
      <c r="R101" s="220"/>
      <c r="S101" s="414" t="s">
        <v>272</v>
      </c>
      <c r="T101" s="338"/>
    </row>
    <row r="102" spans="1:20" ht="24.75" customHeight="1">
      <c r="A102" s="61" t="s">
        <v>271</v>
      </c>
      <c r="B102" s="8"/>
      <c r="C102" s="14" t="s">
        <v>51</v>
      </c>
      <c r="D102" s="152" t="s">
        <v>53</v>
      </c>
      <c r="E102" s="169" t="s">
        <v>63</v>
      </c>
      <c r="F102" s="165" t="s">
        <v>345</v>
      </c>
      <c r="G102" s="166">
        <v>38666</v>
      </c>
      <c r="H102" s="166">
        <v>38667</v>
      </c>
      <c r="I102" s="301" t="s">
        <v>268</v>
      </c>
      <c r="J102" s="246">
        <v>1750</v>
      </c>
      <c r="K102" s="246">
        <f t="shared" si="41"/>
        <v>350</v>
      </c>
      <c r="L102" s="247">
        <f t="shared" si="38"/>
        <v>2100</v>
      </c>
      <c r="M102" s="12">
        <f>350*5</f>
        <v>1750</v>
      </c>
      <c r="N102" s="12"/>
      <c r="O102" s="190">
        <f aca="true" t="shared" si="42" ref="O102:O107">SUBTOTAL(9,M102:N102)</f>
        <v>1750</v>
      </c>
      <c r="P102" s="12">
        <f aca="true" t="shared" si="43" ref="P102:Q109">M102*0.65</f>
        <v>1137.5</v>
      </c>
      <c r="Q102" s="12">
        <f t="shared" si="43"/>
        <v>0</v>
      </c>
      <c r="R102" s="220">
        <f aca="true" t="shared" si="44" ref="R102:R109">SUM(P102:Q102)</f>
        <v>1137.5</v>
      </c>
      <c r="S102" s="339"/>
      <c r="T102" s="340"/>
    </row>
    <row r="103" spans="1:20" ht="22.5" customHeight="1">
      <c r="A103" s="61" t="s">
        <v>271</v>
      </c>
      <c r="B103" s="8"/>
      <c r="C103" s="14" t="s">
        <v>51</v>
      </c>
      <c r="D103" s="152" t="s">
        <v>270</v>
      </c>
      <c r="E103" s="169" t="s">
        <v>215</v>
      </c>
      <c r="F103" s="165" t="s">
        <v>303</v>
      </c>
      <c r="G103" s="166" t="s">
        <v>346</v>
      </c>
      <c r="H103" s="166">
        <v>38667</v>
      </c>
      <c r="I103" s="301" t="s">
        <v>268</v>
      </c>
      <c r="J103" s="246">
        <v>2100</v>
      </c>
      <c r="K103" s="246">
        <f t="shared" si="41"/>
        <v>420</v>
      </c>
      <c r="L103" s="247">
        <f t="shared" si="38"/>
        <v>2520</v>
      </c>
      <c r="M103" s="12">
        <f>350*6</f>
        <v>2100</v>
      </c>
      <c r="N103" s="12"/>
      <c r="O103" s="190">
        <f t="shared" si="42"/>
        <v>2100</v>
      </c>
      <c r="P103" s="12">
        <f t="shared" si="43"/>
        <v>1365</v>
      </c>
      <c r="Q103" s="12">
        <f t="shared" si="43"/>
        <v>0</v>
      </c>
      <c r="R103" s="220">
        <f t="shared" si="44"/>
        <v>1365</v>
      </c>
      <c r="S103" s="339"/>
      <c r="T103" s="340"/>
    </row>
    <row r="104" spans="1:20" ht="69" customHeight="1">
      <c r="A104" s="61" t="s">
        <v>271</v>
      </c>
      <c r="B104" s="8"/>
      <c r="C104" s="9" t="s">
        <v>151</v>
      </c>
      <c r="D104" s="293" t="s">
        <v>294</v>
      </c>
      <c r="E104" s="175" t="s">
        <v>68</v>
      </c>
      <c r="F104" s="180" t="s">
        <v>299</v>
      </c>
      <c r="G104" s="177">
        <v>38507</v>
      </c>
      <c r="H104" s="177">
        <v>38573</v>
      </c>
      <c r="I104" s="302" t="s">
        <v>69</v>
      </c>
      <c r="J104" s="249">
        <f>3960+79.2</f>
        <v>4039.2</v>
      </c>
      <c r="K104" s="249">
        <f>+J104*20/100</f>
        <v>807.84</v>
      </c>
      <c r="L104" s="250">
        <f t="shared" si="38"/>
        <v>4847.04</v>
      </c>
      <c r="M104" s="12">
        <f>22*180</f>
        <v>3960</v>
      </c>
      <c r="N104" s="12"/>
      <c r="O104" s="190">
        <f t="shared" si="42"/>
        <v>3960</v>
      </c>
      <c r="P104" s="12">
        <f t="shared" si="43"/>
        <v>2574</v>
      </c>
      <c r="Q104" s="12">
        <f t="shared" si="43"/>
        <v>0</v>
      </c>
      <c r="R104" s="220">
        <f t="shared" si="44"/>
        <v>2574</v>
      </c>
      <c r="S104" s="419" t="s">
        <v>304</v>
      </c>
      <c r="T104" s="356"/>
    </row>
    <row r="105" spans="1:20" ht="66.75" customHeight="1">
      <c r="A105" s="61" t="s">
        <v>271</v>
      </c>
      <c r="B105" s="8"/>
      <c r="C105" s="9" t="s">
        <v>151</v>
      </c>
      <c r="D105" s="293" t="s">
        <v>294</v>
      </c>
      <c r="E105" s="175" t="s">
        <v>68</v>
      </c>
      <c r="F105" s="180" t="s">
        <v>300</v>
      </c>
      <c r="G105" s="177">
        <v>38537</v>
      </c>
      <c r="H105" s="177">
        <v>38632</v>
      </c>
      <c r="I105" s="294" t="s">
        <v>95</v>
      </c>
      <c r="J105" s="249">
        <v>3855.6</v>
      </c>
      <c r="K105" s="249">
        <f>+J105*20/100</f>
        <v>771.12</v>
      </c>
      <c r="L105" s="250">
        <f t="shared" si="38"/>
        <v>4626.72</v>
      </c>
      <c r="M105" s="12">
        <f>21*180</f>
        <v>3780</v>
      </c>
      <c r="N105" s="12"/>
      <c r="O105" s="190">
        <f t="shared" si="42"/>
        <v>3780</v>
      </c>
      <c r="P105" s="12">
        <f t="shared" si="43"/>
        <v>2457</v>
      </c>
      <c r="Q105" s="12">
        <f t="shared" si="43"/>
        <v>0</v>
      </c>
      <c r="R105" s="220">
        <f t="shared" si="44"/>
        <v>2457</v>
      </c>
      <c r="S105" s="357"/>
      <c r="T105" s="358"/>
    </row>
    <row r="106" spans="1:20" ht="68.25" customHeight="1">
      <c r="A106" s="61" t="s">
        <v>271</v>
      </c>
      <c r="B106" s="8"/>
      <c r="C106" s="9" t="s">
        <v>151</v>
      </c>
      <c r="D106" s="293" t="s">
        <v>294</v>
      </c>
      <c r="E106" s="175" t="s">
        <v>68</v>
      </c>
      <c r="F106" s="180" t="s">
        <v>302</v>
      </c>
      <c r="G106" s="177">
        <v>38568</v>
      </c>
      <c r="H106" s="177">
        <v>38665</v>
      </c>
      <c r="I106" s="302" t="s">
        <v>69</v>
      </c>
      <c r="J106" s="249">
        <v>3855.6</v>
      </c>
      <c r="K106" s="249">
        <f>+J106*20/100</f>
        <v>771.12</v>
      </c>
      <c r="L106" s="250">
        <f t="shared" si="38"/>
        <v>4626.72</v>
      </c>
      <c r="M106" s="12">
        <f>21*180</f>
        <v>3780</v>
      </c>
      <c r="N106" s="12"/>
      <c r="O106" s="190">
        <f t="shared" si="42"/>
        <v>3780</v>
      </c>
      <c r="P106" s="12">
        <f t="shared" si="43"/>
        <v>2457</v>
      </c>
      <c r="Q106" s="12">
        <f t="shared" si="43"/>
        <v>0</v>
      </c>
      <c r="R106" s="220">
        <f t="shared" si="44"/>
        <v>2457</v>
      </c>
      <c r="S106" s="359"/>
      <c r="T106" s="360"/>
    </row>
    <row r="107" spans="1:20" ht="24.75" customHeight="1">
      <c r="A107" s="61" t="s">
        <v>271</v>
      </c>
      <c r="B107" s="7"/>
      <c r="C107" s="9" t="s">
        <v>151</v>
      </c>
      <c r="D107" s="294" t="s">
        <v>295</v>
      </c>
      <c r="E107" s="179" t="s">
        <v>296</v>
      </c>
      <c r="F107" s="176" t="s">
        <v>297</v>
      </c>
      <c r="G107" s="177">
        <v>38651</v>
      </c>
      <c r="H107" s="181">
        <v>38626</v>
      </c>
      <c r="I107" s="294" t="s">
        <v>301</v>
      </c>
      <c r="J107" s="249">
        <v>1200</v>
      </c>
      <c r="K107" s="251"/>
      <c r="L107" s="252">
        <f>J107</f>
        <v>1200</v>
      </c>
      <c r="M107" s="12">
        <v>1200</v>
      </c>
      <c r="N107" s="7"/>
      <c r="O107" s="190">
        <f t="shared" si="42"/>
        <v>1200</v>
      </c>
      <c r="P107" s="12">
        <f t="shared" si="43"/>
        <v>780</v>
      </c>
      <c r="Q107" s="12">
        <f t="shared" si="43"/>
        <v>0</v>
      </c>
      <c r="R107" s="220">
        <f t="shared" si="44"/>
        <v>780</v>
      </c>
      <c r="S107" s="405" t="s">
        <v>566</v>
      </c>
      <c r="T107" s="406"/>
    </row>
    <row r="108" spans="1:20" ht="39" customHeight="1">
      <c r="A108" s="61" t="s">
        <v>271</v>
      </c>
      <c r="B108" s="7"/>
      <c r="C108" s="9" t="s">
        <v>151</v>
      </c>
      <c r="D108" s="293" t="s">
        <v>245</v>
      </c>
      <c r="E108" s="178" t="s">
        <v>298</v>
      </c>
      <c r="F108" s="182" t="s">
        <v>303</v>
      </c>
      <c r="G108" s="177">
        <v>38649</v>
      </c>
      <c r="H108" s="177">
        <v>38666</v>
      </c>
      <c r="I108" s="302" t="s">
        <v>69</v>
      </c>
      <c r="J108" s="249">
        <f>2250+90+46.8</f>
        <v>2386.8</v>
      </c>
      <c r="K108" s="253">
        <f>+J108*20/100</f>
        <v>477.36</v>
      </c>
      <c r="L108" s="250">
        <f>SUM(J108:K108)</f>
        <v>2864.1600000000003</v>
      </c>
      <c r="M108" s="156">
        <f>13*180</f>
        <v>2340</v>
      </c>
      <c r="N108" s="7"/>
      <c r="O108" s="190">
        <f>SUBTOTAL(9,M108:N108)</f>
        <v>2340</v>
      </c>
      <c r="P108" s="12">
        <f t="shared" si="43"/>
        <v>1521</v>
      </c>
      <c r="Q108" s="12">
        <f t="shared" si="43"/>
        <v>0</v>
      </c>
      <c r="R108" s="220">
        <f t="shared" si="44"/>
        <v>1521</v>
      </c>
      <c r="S108" s="405" t="s">
        <v>304</v>
      </c>
      <c r="T108" s="406"/>
    </row>
    <row r="109" spans="1:20" ht="45" customHeight="1">
      <c r="A109" s="61" t="s">
        <v>354</v>
      </c>
      <c r="B109" s="7"/>
      <c r="C109" s="14" t="s">
        <v>51</v>
      </c>
      <c r="D109" s="295" t="s">
        <v>356</v>
      </c>
      <c r="E109" s="243" t="s">
        <v>54</v>
      </c>
      <c r="F109" s="244"/>
      <c r="G109" s="245"/>
      <c r="H109" s="245" t="s">
        <v>357</v>
      </c>
      <c r="I109" s="303" t="s">
        <v>358</v>
      </c>
      <c r="J109" s="254">
        <v>2450</v>
      </c>
      <c r="K109" s="254">
        <f>J109*0.2</f>
        <v>490</v>
      </c>
      <c r="L109" s="286">
        <f>J109+K109</f>
        <v>2940</v>
      </c>
      <c r="M109" s="156">
        <f aca="true" t="shared" si="45" ref="M109:M115">7*350</f>
        <v>2450</v>
      </c>
      <c r="N109" s="7"/>
      <c r="O109" s="190">
        <f aca="true" t="shared" si="46" ref="O109:O123">+N109+M109</f>
        <v>2450</v>
      </c>
      <c r="P109" s="12">
        <f t="shared" si="43"/>
        <v>1592.5</v>
      </c>
      <c r="Q109" s="12">
        <f t="shared" si="43"/>
        <v>0</v>
      </c>
      <c r="R109" s="220">
        <f t="shared" si="44"/>
        <v>1592.5</v>
      </c>
      <c r="S109" s="239"/>
      <c r="T109" s="240"/>
    </row>
    <row r="110" spans="1:20" ht="45" customHeight="1">
      <c r="A110" s="61" t="s">
        <v>354</v>
      </c>
      <c r="B110" s="7"/>
      <c r="C110" s="14" t="s">
        <v>51</v>
      </c>
      <c r="D110" s="295" t="str">
        <f>D109</f>
        <v>Gruppo di coordinamento tecnico</v>
      </c>
      <c r="E110" s="243" t="s">
        <v>359</v>
      </c>
      <c r="F110" s="244"/>
      <c r="G110" s="245"/>
      <c r="H110" s="245" t="s">
        <v>357</v>
      </c>
      <c r="I110" s="303" t="s">
        <v>360</v>
      </c>
      <c r="J110" s="254">
        <v>2450</v>
      </c>
      <c r="K110" s="254">
        <f aca="true" t="shared" si="47" ref="K110:K115">J110*0.2</f>
        <v>490</v>
      </c>
      <c r="L110" s="286">
        <f aca="true" t="shared" si="48" ref="L110:L115">J110+K110</f>
        <v>2940</v>
      </c>
      <c r="M110" s="156">
        <f t="shared" si="45"/>
        <v>2450</v>
      </c>
      <c r="N110" s="7"/>
      <c r="O110" s="190">
        <f t="shared" si="46"/>
        <v>2450</v>
      </c>
      <c r="P110" s="12">
        <f aca="true" t="shared" si="49" ref="P110:Q114">M110*0.65</f>
        <v>1592.5</v>
      </c>
      <c r="Q110" s="12">
        <f t="shared" si="49"/>
        <v>0</v>
      </c>
      <c r="R110" s="220">
        <f aca="true" t="shared" si="50" ref="R110:R123">SUM(P110:Q110)</f>
        <v>1592.5</v>
      </c>
      <c r="S110" s="239"/>
      <c r="T110" s="240"/>
    </row>
    <row r="111" spans="1:20" ht="35.25" customHeight="1">
      <c r="A111" s="61" t="s">
        <v>354</v>
      </c>
      <c r="B111" s="7"/>
      <c r="C111" s="14" t="s">
        <v>51</v>
      </c>
      <c r="D111" s="295" t="str">
        <f>D110</f>
        <v>Gruppo di coordinamento tecnico</v>
      </c>
      <c r="E111" s="243" t="s">
        <v>57</v>
      </c>
      <c r="F111" s="244"/>
      <c r="G111" s="245"/>
      <c r="H111" s="245">
        <v>38750</v>
      </c>
      <c r="I111" s="303" t="s">
        <v>361</v>
      </c>
      <c r="J111" s="254">
        <v>2450</v>
      </c>
      <c r="K111" s="254">
        <f t="shared" si="47"/>
        <v>490</v>
      </c>
      <c r="L111" s="286">
        <f t="shared" si="48"/>
        <v>2940</v>
      </c>
      <c r="M111" s="156">
        <f t="shared" si="45"/>
        <v>2450</v>
      </c>
      <c r="N111" s="7"/>
      <c r="O111" s="190">
        <f t="shared" si="46"/>
        <v>2450</v>
      </c>
      <c r="P111" s="12">
        <f t="shared" si="49"/>
        <v>1592.5</v>
      </c>
      <c r="Q111" s="12">
        <f t="shared" si="49"/>
        <v>0</v>
      </c>
      <c r="R111" s="220">
        <f t="shared" si="50"/>
        <v>1592.5</v>
      </c>
      <c r="S111" s="239"/>
      <c r="T111" s="240"/>
    </row>
    <row r="112" spans="1:20" ht="45" customHeight="1">
      <c r="A112" s="61" t="s">
        <v>354</v>
      </c>
      <c r="B112" s="7"/>
      <c r="C112" s="14" t="s">
        <v>51</v>
      </c>
      <c r="D112" s="295" t="str">
        <f>D111</f>
        <v>Gruppo di coordinamento tecnico</v>
      </c>
      <c r="E112" s="243" t="s">
        <v>58</v>
      </c>
      <c r="F112" s="244"/>
      <c r="G112" s="245"/>
      <c r="H112" s="245" t="s">
        <v>357</v>
      </c>
      <c r="I112" s="303" t="s">
        <v>362</v>
      </c>
      <c r="J112" s="254">
        <v>2450</v>
      </c>
      <c r="K112" s="254">
        <f t="shared" si="47"/>
        <v>490</v>
      </c>
      <c r="L112" s="286">
        <f t="shared" si="48"/>
        <v>2940</v>
      </c>
      <c r="M112" s="156">
        <f t="shared" si="45"/>
        <v>2450</v>
      </c>
      <c r="N112" s="7"/>
      <c r="O112" s="190">
        <f t="shared" si="46"/>
        <v>2450</v>
      </c>
      <c r="P112" s="12">
        <f t="shared" si="49"/>
        <v>1592.5</v>
      </c>
      <c r="Q112" s="12">
        <f t="shared" si="49"/>
        <v>0</v>
      </c>
      <c r="R112" s="220">
        <f t="shared" si="50"/>
        <v>1592.5</v>
      </c>
      <c r="S112" s="239"/>
      <c r="T112" s="240"/>
    </row>
    <row r="113" spans="1:20" ht="45" customHeight="1">
      <c r="A113" s="61" t="s">
        <v>354</v>
      </c>
      <c r="B113" s="7"/>
      <c r="C113" s="14" t="s">
        <v>51</v>
      </c>
      <c r="D113" s="295" t="str">
        <f>D112</f>
        <v>Gruppo di coordinamento tecnico</v>
      </c>
      <c r="E113" s="243" t="s">
        <v>237</v>
      </c>
      <c r="F113" s="244"/>
      <c r="G113" s="245"/>
      <c r="H113" s="245" t="s">
        <v>357</v>
      </c>
      <c r="I113" s="303" t="s">
        <v>363</v>
      </c>
      <c r="J113" s="254">
        <v>2450</v>
      </c>
      <c r="K113" s="254">
        <f t="shared" si="47"/>
        <v>490</v>
      </c>
      <c r="L113" s="286">
        <f t="shared" si="48"/>
        <v>2940</v>
      </c>
      <c r="M113" s="156">
        <f t="shared" si="45"/>
        <v>2450</v>
      </c>
      <c r="N113" s="7"/>
      <c r="O113" s="190">
        <f t="shared" si="46"/>
        <v>2450</v>
      </c>
      <c r="P113" s="12">
        <f t="shared" si="49"/>
        <v>1592.5</v>
      </c>
      <c r="Q113" s="12">
        <f t="shared" si="49"/>
        <v>0</v>
      </c>
      <c r="R113" s="220">
        <f t="shared" si="50"/>
        <v>1592.5</v>
      </c>
      <c r="S113" s="239"/>
      <c r="T113" s="240"/>
    </row>
    <row r="114" spans="1:20" ht="45" customHeight="1">
      <c r="A114" s="61" t="s">
        <v>354</v>
      </c>
      <c r="B114" s="7"/>
      <c r="C114" s="14" t="s">
        <v>51</v>
      </c>
      <c r="D114" s="295" t="str">
        <f>D113</f>
        <v>Gruppo di coordinamento tecnico</v>
      </c>
      <c r="E114" s="243" t="s">
        <v>364</v>
      </c>
      <c r="F114" s="244"/>
      <c r="G114" s="245"/>
      <c r="H114" s="245" t="s">
        <v>357</v>
      </c>
      <c r="I114" s="303" t="s">
        <v>365</v>
      </c>
      <c r="J114" s="254">
        <v>2450</v>
      </c>
      <c r="K114" s="254">
        <f t="shared" si="47"/>
        <v>490</v>
      </c>
      <c r="L114" s="286">
        <f t="shared" si="48"/>
        <v>2940</v>
      </c>
      <c r="M114" s="156">
        <f t="shared" si="45"/>
        <v>2450</v>
      </c>
      <c r="N114" s="7"/>
      <c r="O114" s="190">
        <f t="shared" si="46"/>
        <v>2450</v>
      </c>
      <c r="P114" s="12">
        <f t="shared" si="49"/>
        <v>1592.5</v>
      </c>
      <c r="Q114" s="12">
        <f t="shared" si="49"/>
        <v>0</v>
      </c>
      <c r="R114" s="220">
        <f t="shared" si="50"/>
        <v>1592.5</v>
      </c>
      <c r="S114" s="405" t="s">
        <v>452</v>
      </c>
      <c r="T114" s="406"/>
    </row>
    <row r="115" spans="1:20" ht="45" customHeight="1">
      <c r="A115" s="61" t="s">
        <v>354</v>
      </c>
      <c r="B115" s="7"/>
      <c r="C115" s="14" t="s">
        <v>51</v>
      </c>
      <c r="D115" s="296" t="s">
        <v>366</v>
      </c>
      <c r="E115" s="257" t="s">
        <v>367</v>
      </c>
      <c r="F115" s="285" t="s">
        <v>454</v>
      </c>
      <c r="G115" s="258">
        <v>38776</v>
      </c>
      <c r="H115" s="258" t="s">
        <v>357</v>
      </c>
      <c r="I115" s="304" t="s">
        <v>368</v>
      </c>
      <c r="J115" s="259">
        <v>2450</v>
      </c>
      <c r="K115" s="259">
        <f t="shared" si="47"/>
        <v>490</v>
      </c>
      <c r="L115" s="287">
        <f t="shared" si="48"/>
        <v>2940</v>
      </c>
      <c r="M115" s="156">
        <f t="shared" si="45"/>
        <v>2450</v>
      </c>
      <c r="N115" s="7"/>
      <c r="O115" s="190">
        <f t="shared" si="46"/>
        <v>2450</v>
      </c>
      <c r="P115" s="12">
        <f aca="true" t="shared" si="51" ref="P115:P123">M115*0.65</f>
        <v>1592.5</v>
      </c>
      <c r="Q115" s="12"/>
      <c r="R115" s="220">
        <f t="shared" si="50"/>
        <v>1592.5</v>
      </c>
      <c r="S115" s="239"/>
      <c r="T115" s="240"/>
    </row>
    <row r="116" spans="1:20" ht="50.25" customHeight="1">
      <c r="A116" s="61" t="s">
        <v>354</v>
      </c>
      <c r="B116" s="7"/>
      <c r="C116" s="9" t="s">
        <v>151</v>
      </c>
      <c r="D116" s="16" t="s">
        <v>383</v>
      </c>
      <c r="E116" s="260" t="s">
        <v>68</v>
      </c>
      <c r="F116" s="260">
        <v>10</v>
      </c>
      <c r="G116" s="18">
        <v>38610</v>
      </c>
      <c r="H116" s="18">
        <v>38701</v>
      </c>
      <c r="I116" s="16" t="s">
        <v>126</v>
      </c>
      <c r="J116" s="263">
        <v>2160</v>
      </c>
      <c r="K116" s="264">
        <v>440.64</v>
      </c>
      <c r="L116" s="288">
        <f>J116+K116+43.2</f>
        <v>2643.8399999999997</v>
      </c>
      <c r="M116" s="156">
        <f>12*180</f>
        <v>2160</v>
      </c>
      <c r="N116" s="7"/>
      <c r="O116" s="190">
        <f t="shared" si="46"/>
        <v>2160</v>
      </c>
      <c r="P116" s="12">
        <f t="shared" si="51"/>
        <v>1404</v>
      </c>
      <c r="Q116" s="12">
        <f aca="true" t="shared" si="52" ref="Q116:Q123">N116*0.65</f>
        <v>0</v>
      </c>
      <c r="R116" s="220">
        <f t="shared" si="50"/>
        <v>1404</v>
      </c>
      <c r="S116" s="239"/>
      <c r="T116" s="240"/>
    </row>
    <row r="117" spans="1:20" ht="45.75" customHeight="1">
      <c r="A117" s="61" t="s">
        <v>354</v>
      </c>
      <c r="B117" s="7"/>
      <c r="C117" s="9" t="s">
        <v>151</v>
      </c>
      <c r="D117" s="16" t="s">
        <v>384</v>
      </c>
      <c r="E117" s="260" t="s">
        <v>68</v>
      </c>
      <c r="F117" s="260">
        <v>11</v>
      </c>
      <c r="G117" s="18">
        <v>38629</v>
      </c>
      <c r="H117" s="18">
        <v>38709</v>
      </c>
      <c r="I117" s="16" t="s">
        <v>126</v>
      </c>
      <c r="J117" s="263">
        <v>3960</v>
      </c>
      <c r="K117" s="264">
        <v>807.84</v>
      </c>
      <c r="L117" s="288">
        <f>J117+K117+79.2</f>
        <v>4847.04</v>
      </c>
      <c r="M117" s="156">
        <f>22*180</f>
        <v>3960</v>
      </c>
      <c r="N117" s="7"/>
      <c r="O117" s="190">
        <f t="shared" si="46"/>
        <v>3960</v>
      </c>
      <c r="P117" s="12">
        <f t="shared" si="51"/>
        <v>2574</v>
      </c>
      <c r="Q117" s="12">
        <f t="shared" si="52"/>
        <v>0</v>
      </c>
      <c r="R117" s="220">
        <f t="shared" si="50"/>
        <v>2574</v>
      </c>
      <c r="S117" s="239"/>
      <c r="T117" s="240"/>
    </row>
    <row r="118" spans="1:20" ht="49.5" customHeight="1">
      <c r="A118" s="61" t="s">
        <v>354</v>
      </c>
      <c r="B118" s="7"/>
      <c r="C118" s="9" t="s">
        <v>151</v>
      </c>
      <c r="D118" s="16" t="s">
        <v>383</v>
      </c>
      <c r="E118" s="260" t="s">
        <v>68</v>
      </c>
      <c r="F118" s="260">
        <v>12</v>
      </c>
      <c r="G118" s="18">
        <v>38658</v>
      </c>
      <c r="H118" s="18">
        <v>38729</v>
      </c>
      <c r="I118" s="262" t="s">
        <v>196</v>
      </c>
      <c r="J118" s="263">
        <v>3780</v>
      </c>
      <c r="K118" s="264">
        <v>771.12</v>
      </c>
      <c r="L118" s="288">
        <f>+J118+K118+75.6</f>
        <v>4626.72</v>
      </c>
      <c r="M118" s="156">
        <f>21*180</f>
        <v>3780</v>
      </c>
      <c r="N118" s="7"/>
      <c r="O118" s="190">
        <f t="shared" si="46"/>
        <v>3780</v>
      </c>
      <c r="P118" s="12">
        <f t="shared" si="51"/>
        <v>2457</v>
      </c>
      <c r="Q118" s="12">
        <f t="shared" si="52"/>
        <v>0</v>
      </c>
      <c r="R118" s="220">
        <f t="shared" si="50"/>
        <v>2457</v>
      </c>
      <c r="S118" s="239"/>
      <c r="T118" s="240"/>
    </row>
    <row r="119" spans="1:20" ht="49.5" customHeight="1">
      <c r="A119" s="61" t="s">
        <v>354</v>
      </c>
      <c r="B119" s="7"/>
      <c r="C119" s="9" t="s">
        <v>151</v>
      </c>
      <c r="D119" s="262" t="s">
        <v>383</v>
      </c>
      <c r="E119" s="261" t="s">
        <v>68</v>
      </c>
      <c r="F119" s="261">
        <v>13</v>
      </c>
      <c r="G119" s="183">
        <v>38709</v>
      </c>
      <c r="H119" s="183">
        <v>38789</v>
      </c>
      <c r="I119" s="262" t="s">
        <v>126</v>
      </c>
      <c r="J119" s="263">
        <v>3780</v>
      </c>
      <c r="K119" s="264">
        <v>771.12</v>
      </c>
      <c r="L119" s="288">
        <f>J119+K119+75.6</f>
        <v>4626.72</v>
      </c>
      <c r="M119" s="156">
        <f>21*180</f>
        <v>3780</v>
      </c>
      <c r="N119" s="7"/>
      <c r="O119" s="190">
        <f t="shared" si="46"/>
        <v>3780</v>
      </c>
      <c r="P119" s="12">
        <f t="shared" si="51"/>
        <v>2457</v>
      </c>
      <c r="Q119" s="12">
        <f t="shared" si="52"/>
        <v>0</v>
      </c>
      <c r="R119" s="220">
        <f t="shared" si="50"/>
        <v>2457</v>
      </c>
      <c r="S119" s="239"/>
      <c r="T119" s="240"/>
    </row>
    <row r="120" spans="1:20" ht="67.5" customHeight="1">
      <c r="A120" s="61" t="s">
        <v>354</v>
      </c>
      <c r="B120" s="7"/>
      <c r="C120" s="9" t="s">
        <v>151</v>
      </c>
      <c r="D120" s="14" t="s">
        <v>375</v>
      </c>
      <c r="E120" s="260" t="s">
        <v>376</v>
      </c>
      <c r="F120" s="260">
        <v>14</v>
      </c>
      <c r="G120" s="18">
        <v>38701</v>
      </c>
      <c r="H120" s="183">
        <v>38791</v>
      </c>
      <c r="I120" s="262" t="s">
        <v>196</v>
      </c>
      <c r="J120" s="263">
        <v>3750</v>
      </c>
      <c r="K120" s="264">
        <v>765</v>
      </c>
      <c r="L120" s="288">
        <v>4590</v>
      </c>
      <c r="M120" s="156">
        <v>3750</v>
      </c>
      <c r="N120" s="7"/>
      <c r="O120" s="190">
        <f t="shared" si="46"/>
        <v>3750</v>
      </c>
      <c r="P120" s="12">
        <f t="shared" si="51"/>
        <v>2437.5</v>
      </c>
      <c r="Q120" s="12">
        <f t="shared" si="52"/>
        <v>0</v>
      </c>
      <c r="R120" s="220">
        <f t="shared" si="50"/>
        <v>2437.5</v>
      </c>
      <c r="S120" s="405"/>
      <c r="T120" s="406"/>
    </row>
    <row r="121" spans="1:20" ht="41.25" customHeight="1">
      <c r="A121" s="61" t="s">
        <v>354</v>
      </c>
      <c r="B121" s="7"/>
      <c r="C121" s="9" t="s">
        <v>151</v>
      </c>
      <c r="D121" s="14" t="s">
        <v>377</v>
      </c>
      <c r="E121" s="260" t="s">
        <v>378</v>
      </c>
      <c r="F121" s="260">
        <v>2</v>
      </c>
      <c r="G121" s="18">
        <v>38764</v>
      </c>
      <c r="H121" s="183">
        <v>38791</v>
      </c>
      <c r="I121" s="262" t="s">
        <v>379</v>
      </c>
      <c r="J121" s="263">
        <v>2450</v>
      </c>
      <c r="K121" s="264">
        <v>499.8</v>
      </c>
      <c r="L121" s="288">
        <f>2450+49+499.8</f>
        <v>2998.8</v>
      </c>
      <c r="M121" s="156">
        <f>350*7</f>
        <v>2450</v>
      </c>
      <c r="N121" s="7"/>
      <c r="O121" s="190">
        <f t="shared" si="46"/>
        <v>2450</v>
      </c>
      <c r="P121" s="12">
        <f t="shared" si="51"/>
        <v>1592.5</v>
      </c>
      <c r="Q121" s="12">
        <f t="shared" si="52"/>
        <v>0</v>
      </c>
      <c r="R121" s="220">
        <f t="shared" si="50"/>
        <v>1592.5</v>
      </c>
      <c r="S121" s="239"/>
      <c r="T121" s="240"/>
    </row>
    <row r="122" spans="1:20" ht="140.25" customHeight="1">
      <c r="A122" s="61" t="s">
        <v>354</v>
      </c>
      <c r="B122" s="7"/>
      <c r="C122" s="9" t="s">
        <v>151</v>
      </c>
      <c r="D122" s="14" t="s">
        <v>380</v>
      </c>
      <c r="E122" s="260" t="s">
        <v>381</v>
      </c>
      <c r="F122" s="260">
        <v>2</v>
      </c>
      <c r="G122" s="18">
        <v>38755</v>
      </c>
      <c r="H122" s="183">
        <v>38790</v>
      </c>
      <c r="I122" s="262" t="s">
        <v>382</v>
      </c>
      <c r="J122" s="263">
        <v>3500</v>
      </c>
      <c r="K122" s="264">
        <f>+J122*20/100</f>
        <v>700</v>
      </c>
      <c r="L122" s="288">
        <v>4284</v>
      </c>
      <c r="M122" s="156">
        <f>350*10</f>
        <v>3500</v>
      </c>
      <c r="N122" s="7"/>
      <c r="O122" s="190">
        <f t="shared" si="46"/>
        <v>3500</v>
      </c>
      <c r="P122" s="12">
        <f t="shared" si="51"/>
        <v>2275</v>
      </c>
      <c r="Q122" s="12">
        <f t="shared" si="52"/>
        <v>0</v>
      </c>
      <c r="R122" s="220">
        <f t="shared" si="50"/>
        <v>2275</v>
      </c>
      <c r="S122" s="239"/>
      <c r="T122" s="240"/>
    </row>
    <row r="123" spans="1:20" ht="27.75" customHeight="1">
      <c r="A123" s="61" t="s">
        <v>354</v>
      </c>
      <c r="B123" s="7"/>
      <c r="C123" s="9" t="s">
        <v>151</v>
      </c>
      <c r="D123" s="14" t="s">
        <v>245</v>
      </c>
      <c r="E123" s="260" t="s">
        <v>246</v>
      </c>
      <c r="F123" s="260">
        <v>2</v>
      </c>
      <c r="G123" s="18">
        <v>38776</v>
      </c>
      <c r="H123" s="183">
        <v>38793</v>
      </c>
      <c r="I123" s="262" t="s">
        <v>196</v>
      </c>
      <c r="J123" s="263">
        <v>2250</v>
      </c>
      <c r="K123" s="264">
        <v>477.36</v>
      </c>
      <c r="L123" s="288">
        <v>2864.16</v>
      </c>
      <c r="M123" s="156">
        <v>2250</v>
      </c>
      <c r="N123" s="7"/>
      <c r="O123" s="190">
        <f t="shared" si="46"/>
        <v>2250</v>
      </c>
      <c r="P123" s="12">
        <f t="shared" si="51"/>
        <v>1462.5</v>
      </c>
      <c r="Q123" s="12">
        <f t="shared" si="52"/>
        <v>0</v>
      </c>
      <c r="R123" s="220">
        <f t="shared" si="50"/>
        <v>1462.5</v>
      </c>
      <c r="S123" s="239"/>
      <c r="T123" s="240"/>
    </row>
    <row r="124" spans="1:20" ht="37.5" customHeight="1">
      <c r="A124" s="61" t="s">
        <v>479</v>
      </c>
      <c r="B124" s="7"/>
      <c r="C124" s="14" t="s">
        <v>51</v>
      </c>
      <c r="D124" s="14" t="s">
        <v>480</v>
      </c>
      <c r="E124" s="260" t="s">
        <v>237</v>
      </c>
      <c r="F124" s="260" t="s">
        <v>481</v>
      </c>
      <c r="G124" s="18">
        <v>38852</v>
      </c>
      <c r="H124" s="183">
        <v>38897</v>
      </c>
      <c r="I124" s="262" t="s">
        <v>482</v>
      </c>
      <c r="J124" s="263">
        <v>2100</v>
      </c>
      <c r="K124" s="264">
        <v>428</v>
      </c>
      <c r="L124" s="288">
        <v>2528</v>
      </c>
      <c r="M124" s="156">
        <f>350*6</f>
        <v>2100</v>
      </c>
      <c r="N124" s="7"/>
      <c r="O124" s="190">
        <f>+N124+M124</f>
        <v>2100</v>
      </c>
      <c r="P124" s="12">
        <f>M124*0.65</f>
        <v>1365</v>
      </c>
      <c r="Q124" s="12">
        <f>N124*0.65</f>
        <v>0</v>
      </c>
      <c r="R124" s="220">
        <f>SUM(P124:Q124)</f>
        <v>1365</v>
      </c>
      <c r="S124" s="239"/>
      <c r="T124" s="240"/>
    </row>
    <row r="125" spans="1:20" ht="27.75" customHeight="1">
      <c r="A125" s="61" t="s">
        <v>479</v>
      </c>
      <c r="B125" s="7"/>
      <c r="C125" s="14" t="s">
        <v>51</v>
      </c>
      <c r="D125" s="14" t="s">
        <v>487</v>
      </c>
      <c r="E125" s="260" t="s">
        <v>488</v>
      </c>
      <c r="F125" s="260" t="s">
        <v>489</v>
      </c>
      <c r="G125" s="18">
        <v>38867</v>
      </c>
      <c r="H125" s="183">
        <v>38764</v>
      </c>
      <c r="I125" s="262" t="s">
        <v>490</v>
      </c>
      <c r="J125" s="263">
        <v>2000</v>
      </c>
      <c r="K125" s="264">
        <v>400</v>
      </c>
      <c r="L125" s="288">
        <v>2400</v>
      </c>
      <c r="M125" s="156"/>
      <c r="N125" s="7"/>
      <c r="O125" s="190">
        <f aca="true" t="shared" si="53" ref="O125:O134">+N125+M125</f>
        <v>0</v>
      </c>
      <c r="P125" s="12">
        <f aca="true" t="shared" si="54" ref="P125:Q132">M125*0.65</f>
        <v>0</v>
      </c>
      <c r="Q125" s="12">
        <f t="shared" si="54"/>
        <v>0</v>
      </c>
      <c r="R125" s="220">
        <f aca="true" t="shared" si="55" ref="R125:R134">SUM(P125:Q125)</f>
        <v>0</v>
      </c>
      <c r="S125" s="405" t="s">
        <v>578</v>
      </c>
      <c r="T125" s="406"/>
    </row>
    <row r="126" spans="1:20" ht="49.5" customHeight="1">
      <c r="A126" s="61" t="s">
        <v>479</v>
      </c>
      <c r="B126" s="7"/>
      <c r="C126" s="14" t="s">
        <v>51</v>
      </c>
      <c r="D126" s="14" t="s">
        <v>491</v>
      </c>
      <c r="E126" s="260" t="s">
        <v>488</v>
      </c>
      <c r="F126" s="260" t="s">
        <v>492</v>
      </c>
      <c r="G126" s="18">
        <v>38867</v>
      </c>
      <c r="H126" s="183">
        <v>38897</v>
      </c>
      <c r="I126" s="262" t="s">
        <v>493</v>
      </c>
      <c r="J126" s="263">
        <v>6000</v>
      </c>
      <c r="K126" s="264">
        <v>1200</v>
      </c>
      <c r="L126" s="288">
        <v>7200</v>
      </c>
      <c r="M126" s="156">
        <v>6000</v>
      </c>
      <c r="N126" s="156">
        <v>1200</v>
      </c>
      <c r="O126" s="190">
        <f t="shared" si="53"/>
        <v>7200</v>
      </c>
      <c r="P126" s="12">
        <f t="shared" si="54"/>
        <v>3900</v>
      </c>
      <c r="Q126" s="12">
        <f t="shared" si="54"/>
        <v>780</v>
      </c>
      <c r="R126" s="220">
        <f t="shared" si="55"/>
        <v>4680</v>
      </c>
      <c r="S126" s="405" t="s">
        <v>564</v>
      </c>
      <c r="T126" s="406"/>
    </row>
    <row r="127" spans="1:20" ht="49.5" customHeight="1">
      <c r="A127" s="61" t="s">
        <v>479</v>
      </c>
      <c r="B127" s="7"/>
      <c r="C127" s="9" t="s">
        <v>151</v>
      </c>
      <c r="D127" s="14" t="s">
        <v>504</v>
      </c>
      <c r="E127" s="260" t="s">
        <v>68</v>
      </c>
      <c r="F127" s="260">
        <v>1</v>
      </c>
      <c r="G127" s="18">
        <v>38747</v>
      </c>
      <c r="H127" s="183">
        <v>38821</v>
      </c>
      <c r="I127" s="262" t="s">
        <v>505</v>
      </c>
      <c r="J127" s="263">
        <v>3600</v>
      </c>
      <c r="K127" s="264">
        <v>734.4</v>
      </c>
      <c r="L127" s="288">
        <v>3686.4</v>
      </c>
      <c r="M127" s="263">
        <v>3600</v>
      </c>
      <c r="N127" s="7"/>
      <c r="O127" s="190">
        <f t="shared" si="53"/>
        <v>3600</v>
      </c>
      <c r="P127" s="12">
        <f t="shared" si="54"/>
        <v>2340</v>
      </c>
      <c r="Q127" s="12">
        <f t="shared" si="54"/>
        <v>0</v>
      </c>
      <c r="R127" s="220">
        <f t="shared" si="55"/>
        <v>2340</v>
      </c>
      <c r="S127" s="239"/>
      <c r="T127" s="240"/>
    </row>
    <row r="128" spans="1:20" ht="49.5" customHeight="1">
      <c r="A128" s="61" t="s">
        <v>479</v>
      </c>
      <c r="B128" s="7"/>
      <c r="C128" s="9" t="s">
        <v>151</v>
      </c>
      <c r="D128" s="14" t="s">
        <v>506</v>
      </c>
      <c r="E128" s="260" t="s">
        <v>68</v>
      </c>
      <c r="F128" s="260">
        <v>2</v>
      </c>
      <c r="G128" s="18">
        <v>38756</v>
      </c>
      <c r="H128" s="183">
        <v>38852</v>
      </c>
      <c r="I128" s="262" t="s">
        <v>505</v>
      </c>
      <c r="J128" s="263">
        <v>3060</v>
      </c>
      <c r="K128" s="264">
        <v>624.24</v>
      </c>
      <c r="L128" s="288">
        <v>3133.44</v>
      </c>
      <c r="M128" s="263">
        <v>3060</v>
      </c>
      <c r="N128" s="7"/>
      <c r="O128" s="190">
        <f t="shared" si="53"/>
        <v>3060</v>
      </c>
      <c r="P128" s="12">
        <f t="shared" si="54"/>
        <v>1989</v>
      </c>
      <c r="Q128" s="12">
        <f t="shared" si="54"/>
        <v>0</v>
      </c>
      <c r="R128" s="220">
        <f t="shared" si="55"/>
        <v>1989</v>
      </c>
      <c r="S128" s="239"/>
      <c r="T128" s="240"/>
    </row>
    <row r="129" spans="1:20" ht="49.5" customHeight="1">
      <c r="A129" s="61" t="s">
        <v>479</v>
      </c>
      <c r="B129" s="7"/>
      <c r="C129" s="9" t="s">
        <v>151</v>
      </c>
      <c r="D129" s="14" t="s">
        <v>506</v>
      </c>
      <c r="E129" s="260" t="s">
        <v>68</v>
      </c>
      <c r="F129" s="260">
        <v>3</v>
      </c>
      <c r="G129" s="18">
        <v>38799</v>
      </c>
      <c r="H129" s="183">
        <v>38881</v>
      </c>
      <c r="I129" s="262" t="s">
        <v>505</v>
      </c>
      <c r="J129" s="263">
        <v>3600</v>
      </c>
      <c r="K129" s="264">
        <v>734.4</v>
      </c>
      <c r="L129" s="288">
        <v>4847.04</v>
      </c>
      <c r="M129" s="263">
        <v>3600</v>
      </c>
      <c r="N129" s="7"/>
      <c r="O129" s="190">
        <f t="shared" si="53"/>
        <v>3600</v>
      </c>
      <c r="P129" s="12">
        <f t="shared" si="54"/>
        <v>2340</v>
      </c>
      <c r="Q129" s="12">
        <f t="shared" si="54"/>
        <v>0</v>
      </c>
      <c r="R129" s="220">
        <f t="shared" si="55"/>
        <v>2340</v>
      </c>
      <c r="S129" s="239"/>
      <c r="T129" s="240"/>
    </row>
    <row r="130" spans="1:20" ht="49.5" customHeight="1">
      <c r="A130" s="61" t="s">
        <v>479</v>
      </c>
      <c r="B130" s="7"/>
      <c r="C130" s="9" t="s">
        <v>151</v>
      </c>
      <c r="D130" s="14" t="s">
        <v>506</v>
      </c>
      <c r="E130" s="260" t="s">
        <v>68</v>
      </c>
      <c r="F130" s="260">
        <v>4</v>
      </c>
      <c r="G130" s="18">
        <v>38832</v>
      </c>
      <c r="H130" s="183">
        <v>38917</v>
      </c>
      <c r="I130" s="262" t="s">
        <v>507</v>
      </c>
      <c r="J130" s="263">
        <v>4140</v>
      </c>
      <c r="K130" s="264">
        <v>844.56</v>
      </c>
      <c r="L130" s="288">
        <v>4239.36</v>
      </c>
      <c r="M130" s="263">
        <v>4140</v>
      </c>
      <c r="N130" s="7"/>
      <c r="O130" s="190">
        <f t="shared" si="53"/>
        <v>4140</v>
      </c>
      <c r="P130" s="12">
        <f t="shared" si="54"/>
        <v>2691</v>
      </c>
      <c r="Q130" s="12">
        <f t="shared" si="54"/>
        <v>0</v>
      </c>
      <c r="R130" s="220">
        <f t="shared" si="55"/>
        <v>2691</v>
      </c>
      <c r="S130" s="239"/>
      <c r="T130" s="240"/>
    </row>
    <row r="131" spans="1:20" ht="49.5" customHeight="1">
      <c r="A131" s="61" t="s">
        <v>479</v>
      </c>
      <c r="B131" s="7"/>
      <c r="C131" s="9" t="s">
        <v>151</v>
      </c>
      <c r="D131" s="14" t="s">
        <v>506</v>
      </c>
      <c r="E131" s="260" t="s">
        <v>68</v>
      </c>
      <c r="F131" s="260">
        <v>6</v>
      </c>
      <c r="G131" s="18">
        <v>38858</v>
      </c>
      <c r="H131" s="183">
        <v>38917</v>
      </c>
      <c r="I131" s="262" t="s">
        <v>507</v>
      </c>
      <c r="J131" s="263">
        <v>3240</v>
      </c>
      <c r="K131" s="264">
        <v>660.96</v>
      </c>
      <c r="L131" s="288">
        <v>3317.76</v>
      </c>
      <c r="M131" s="263">
        <v>3240</v>
      </c>
      <c r="N131" s="7"/>
      <c r="O131" s="190">
        <f t="shared" si="53"/>
        <v>3240</v>
      </c>
      <c r="P131" s="12">
        <f t="shared" si="54"/>
        <v>2106</v>
      </c>
      <c r="Q131" s="12">
        <f t="shared" si="54"/>
        <v>0</v>
      </c>
      <c r="R131" s="220">
        <f t="shared" si="55"/>
        <v>2106</v>
      </c>
      <c r="S131" s="239"/>
      <c r="T131" s="240"/>
    </row>
    <row r="132" spans="1:20" ht="49.5" customHeight="1">
      <c r="A132" s="61" t="s">
        <v>479</v>
      </c>
      <c r="B132" s="7"/>
      <c r="C132" s="9" t="s">
        <v>151</v>
      </c>
      <c r="D132" s="14" t="s">
        <v>508</v>
      </c>
      <c r="E132" s="260" t="s">
        <v>509</v>
      </c>
      <c r="F132" s="260"/>
      <c r="G132" s="18">
        <v>38884</v>
      </c>
      <c r="H132" s="183">
        <v>38915</v>
      </c>
      <c r="I132" s="262" t="s">
        <v>510</v>
      </c>
      <c r="J132" s="263">
        <v>3200</v>
      </c>
      <c r="K132" s="264"/>
      <c r="L132" s="288">
        <v>3200</v>
      </c>
      <c r="M132" s="156">
        <v>3200</v>
      </c>
      <c r="N132" s="7"/>
      <c r="O132" s="190">
        <f t="shared" si="53"/>
        <v>3200</v>
      </c>
      <c r="P132" s="12">
        <f t="shared" si="54"/>
        <v>2080</v>
      </c>
      <c r="Q132" s="12">
        <f t="shared" si="54"/>
        <v>0</v>
      </c>
      <c r="R132" s="220">
        <f t="shared" si="55"/>
        <v>2080</v>
      </c>
      <c r="S132" s="239"/>
      <c r="T132" s="240"/>
    </row>
    <row r="133" spans="1:20" ht="49.5" customHeight="1">
      <c r="A133" s="61" t="s">
        <v>479</v>
      </c>
      <c r="B133" s="7"/>
      <c r="C133" s="9" t="s">
        <v>151</v>
      </c>
      <c r="D133" s="14" t="s">
        <v>245</v>
      </c>
      <c r="E133" s="260" t="s">
        <v>246</v>
      </c>
      <c r="F133" s="260">
        <v>3</v>
      </c>
      <c r="G133" s="18">
        <v>38896</v>
      </c>
      <c r="H133" s="183">
        <v>38917</v>
      </c>
      <c r="I133" s="262" t="s">
        <v>507</v>
      </c>
      <c r="J133" s="263">
        <v>2250</v>
      </c>
      <c r="K133" s="264">
        <v>477.36</v>
      </c>
      <c r="L133" s="288">
        <v>2864.16</v>
      </c>
      <c r="M133" s="156">
        <v>2250</v>
      </c>
      <c r="N133" s="7"/>
      <c r="O133" s="190">
        <f t="shared" si="53"/>
        <v>2250</v>
      </c>
      <c r="P133" s="12">
        <f aca="true" t="shared" si="56" ref="P133:P138">M133*0.65</f>
        <v>1462.5</v>
      </c>
      <c r="Q133" s="12"/>
      <c r="R133" s="220">
        <f t="shared" si="55"/>
        <v>1462.5</v>
      </c>
      <c r="S133" s="239"/>
      <c r="T133" s="240"/>
    </row>
    <row r="134" spans="1:20" ht="101.25">
      <c r="A134" s="61" t="s">
        <v>479</v>
      </c>
      <c r="B134" s="7"/>
      <c r="C134" s="9" t="s">
        <v>151</v>
      </c>
      <c r="D134" s="14" t="s">
        <v>375</v>
      </c>
      <c r="E134" s="260" t="s">
        <v>376</v>
      </c>
      <c r="F134" s="260">
        <v>3</v>
      </c>
      <c r="G134" s="18">
        <v>38776</v>
      </c>
      <c r="H134" s="183">
        <v>38916</v>
      </c>
      <c r="I134" s="262" t="s">
        <v>505</v>
      </c>
      <c r="J134" s="263">
        <v>3750</v>
      </c>
      <c r="K134" s="264">
        <v>765</v>
      </c>
      <c r="L134" s="288">
        <v>3840</v>
      </c>
      <c r="M134" s="156">
        <v>3750</v>
      </c>
      <c r="N134" s="156"/>
      <c r="O134" s="190">
        <f t="shared" si="53"/>
        <v>3750</v>
      </c>
      <c r="P134" s="12">
        <f t="shared" si="56"/>
        <v>2437.5</v>
      </c>
      <c r="Q134" s="12"/>
      <c r="R134" s="220">
        <f t="shared" si="55"/>
        <v>2437.5</v>
      </c>
      <c r="S134" s="405"/>
      <c r="T134" s="406"/>
    </row>
    <row r="135" spans="1:20" ht="49.5" customHeight="1">
      <c r="A135" s="61" t="s">
        <v>479</v>
      </c>
      <c r="B135" s="7"/>
      <c r="C135" s="9" t="s">
        <v>151</v>
      </c>
      <c r="D135" s="14" t="s">
        <v>511</v>
      </c>
      <c r="E135" s="260" t="s">
        <v>512</v>
      </c>
      <c r="F135" s="260">
        <v>26</v>
      </c>
      <c r="G135" s="18">
        <v>38863</v>
      </c>
      <c r="H135" s="183">
        <v>38848</v>
      </c>
      <c r="I135" s="262" t="s">
        <v>513</v>
      </c>
      <c r="J135" s="263">
        <v>9765.63</v>
      </c>
      <c r="K135" s="264">
        <v>1992.19</v>
      </c>
      <c r="L135" s="288">
        <v>10000</v>
      </c>
      <c r="M135" s="263">
        <v>9765.63</v>
      </c>
      <c r="N135" s="7"/>
      <c r="O135" s="190">
        <f aca="true" t="shared" si="57" ref="O135:O141">+N135+M135</f>
        <v>9765.63</v>
      </c>
      <c r="P135" s="12">
        <f t="shared" si="56"/>
        <v>6347.6595</v>
      </c>
      <c r="Q135" s="12"/>
      <c r="R135" s="220">
        <f aca="true" t="shared" si="58" ref="R135:R141">SUM(P135:Q135)</f>
        <v>6347.6595</v>
      </c>
      <c r="S135" s="239"/>
      <c r="T135" s="240"/>
    </row>
    <row r="136" spans="1:20" ht="21" customHeight="1">
      <c r="A136" s="61" t="s">
        <v>479</v>
      </c>
      <c r="B136" s="7"/>
      <c r="C136" s="9" t="s">
        <v>151</v>
      </c>
      <c r="D136" s="407" t="s">
        <v>514</v>
      </c>
      <c r="E136" s="260" t="s">
        <v>515</v>
      </c>
      <c r="F136" s="260">
        <v>235</v>
      </c>
      <c r="G136" s="18">
        <v>38562</v>
      </c>
      <c r="H136" s="183">
        <v>38576</v>
      </c>
      <c r="I136" s="262" t="s">
        <v>505</v>
      </c>
      <c r="J136" s="263">
        <v>3500</v>
      </c>
      <c r="K136" s="264">
        <v>700</v>
      </c>
      <c r="L136" s="288">
        <f>+K136+J136</f>
        <v>4200</v>
      </c>
      <c r="M136" s="263">
        <v>3500</v>
      </c>
      <c r="N136" s="7"/>
      <c r="O136" s="190">
        <f t="shared" si="57"/>
        <v>3500</v>
      </c>
      <c r="P136" s="12">
        <f t="shared" si="56"/>
        <v>2275</v>
      </c>
      <c r="Q136" s="12"/>
      <c r="R136" s="220">
        <f t="shared" si="58"/>
        <v>2275</v>
      </c>
      <c r="S136" s="239"/>
      <c r="T136" s="240"/>
    </row>
    <row r="137" spans="1:20" ht="21" customHeight="1">
      <c r="A137" s="61" t="s">
        <v>479</v>
      </c>
      <c r="B137" s="7"/>
      <c r="C137" s="9" t="s">
        <v>151</v>
      </c>
      <c r="D137" s="408"/>
      <c r="E137" s="260" t="s">
        <v>515</v>
      </c>
      <c r="F137" s="260">
        <v>235</v>
      </c>
      <c r="G137" s="18">
        <v>38562</v>
      </c>
      <c r="H137" s="183">
        <v>38630</v>
      </c>
      <c r="I137" s="262" t="s">
        <v>507</v>
      </c>
      <c r="J137" s="263">
        <v>5000</v>
      </c>
      <c r="K137" s="264">
        <v>1000</v>
      </c>
      <c r="L137" s="288">
        <f>+K137+J137</f>
        <v>6000</v>
      </c>
      <c r="M137" s="263">
        <v>5000</v>
      </c>
      <c r="N137" s="7"/>
      <c r="O137" s="190">
        <f t="shared" si="57"/>
        <v>5000</v>
      </c>
      <c r="P137" s="12">
        <f t="shared" si="56"/>
        <v>3250</v>
      </c>
      <c r="Q137" s="12"/>
      <c r="R137" s="220">
        <f t="shared" si="58"/>
        <v>3250</v>
      </c>
      <c r="S137" s="239"/>
      <c r="T137" s="240"/>
    </row>
    <row r="138" spans="1:20" ht="21" customHeight="1">
      <c r="A138" s="61" t="s">
        <v>479</v>
      </c>
      <c r="B138" s="7"/>
      <c r="C138" s="9" t="s">
        <v>151</v>
      </c>
      <c r="D138" s="409"/>
      <c r="E138" s="260" t="s">
        <v>515</v>
      </c>
      <c r="F138" s="260">
        <v>235</v>
      </c>
      <c r="G138" s="18">
        <v>38562</v>
      </c>
      <c r="H138" s="183">
        <v>38666</v>
      </c>
      <c r="I138" s="262" t="s">
        <v>505</v>
      </c>
      <c r="J138" s="263">
        <v>5000</v>
      </c>
      <c r="K138" s="264">
        <v>1000</v>
      </c>
      <c r="L138" s="288">
        <f>+K138+J138</f>
        <v>6000</v>
      </c>
      <c r="M138" s="263">
        <v>5000</v>
      </c>
      <c r="N138" s="7"/>
      <c r="O138" s="190">
        <f t="shared" si="57"/>
        <v>5000</v>
      </c>
      <c r="P138" s="12">
        <f t="shared" si="56"/>
        <v>3250</v>
      </c>
      <c r="Q138" s="12"/>
      <c r="R138" s="220">
        <f t="shared" si="58"/>
        <v>3250</v>
      </c>
      <c r="S138" s="239"/>
      <c r="T138" s="240"/>
    </row>
    <row r="139" spans="1:20" ht="21" customHeight="1">
      <c r="A139" s="61" t="s">
        <v>590</v>
      </c>
      <c r="B139" s="7"/>
      <c r="C139" s="14" t="s">
        <v>51</v>
      </c>
      <c r="D139" s="143" t="s">
        <v>591</v>
      </c>
      <c r="E139" s="260" t="s">
        <v>592</v>
      </c>
      <c r="F139" s="260" t="s">
        <v>297</v>
      </c>
      <c r="G139" s="18">
        <v>39008</v>
      </c>
      <c r="H139" s="183">
        <v>39008</v>
      </c>
      <c r="I139" s="262" t="s">
        <v>593</v>
      </c>
      <c r="J139" s="263">
        <v>7000</v>
      </c>
      <c r="K139" s="264"/>
      <c r="L139" s="288">
        <v>7000</v>
      </c>
      <c r="M139" s="263">
        <v>7000</v>
      </c>
      <c r="N139" s="264"/>
      <c r="O139" s="190">
        <f t="shared" si="57"/>
        <v>7000</v>
      </c>
      <c r="P139" s="12">
        <f aca="true" t="shared" si="59" ref="P139:Q141">M139*0.65</f>
        <v>4550</v>
      </c>
      <c r="Q139" s="12">
        <f t="shared" si="59"/>
        <v>0</v>
      </c>
      <c r="R139" s="220">
        <f t="shared" si="58"/>
        <v>4550</v>
      </c>
      <c r="S139" s="239"/>
      <c r="T139" s="240"/>
    </row>
    <row r="140" spans="1:20" ht="21" customHeight="1">
      <c r="A140" s="61" t="s">
        <v>590</v>
      </c>
      <c r="B140" s="7"/>
      <c r="C140" s="14" t="s">
        <v>51</v>
      </c>
      <c r="D140" s="143" t="s">
        <v>594</v>
      </c>
      <c r="E140" s="260" t="s">
        <v>595</v>
      </c>
      <c r="F140" s="260" t="s">
        <v>596</v>
      </c>
      <c r="G140" s="18">
        <v>39007</v>
      </c>
      <c r="H140" s="183">
        <v>39007</v>
      </c>
      <c r="I140" s="262" t="s">
        <v>593</v>
      </c>
      <c r="J140" s="263">
        <v>3000</v>
      </c>
      <c r="K140" s="264">
        <v>600</v>
      </c>
      <c r="L140" s="288">
        <v>3600</v>
      </c>
      <c r="M140" s="263">
        <v>3000</v>
      </c>
      <c r="N140" s="264">
        <v>600</v>
      </c>
      <c r="O140" s="190">
        <f t="shared" si="57"/>
        <v>3600</v>
      </c>
      <c r="P140" s="12">
        <f t="shared" si="59"/>
        <v>1950</v>
      </c>
      <c r="Q140" s="12">
        <f t="shared" si="59"/>
        <v>390</v>
      </c>
      <c r="R140" s="220">
        <f t="shared" si="58"/>
        <v>2340</v>
      </c>
      <c r="S140" s="239"/>
      <c r="T140" s="240"/>
    </row>
    <row r="141" spans="1:20" ht="21" customHeight="1">
      <c r="A141" s="61" t="s">
        <v>590</v>
      </c>
      <c r="B141" s="7"/>
      <c r="C141" s="14" t="s">
        <v>51</v>
      </c>
      <c r="D141" s="143" t="s">
        <v>597</v>
      </c>
      <c r="E141" s="260" t="s">
        <v>286</v>
      </c>
      <c r="F141" s="260" t="s">
        <v>598</v>
      </c>
      <c r="G141" s="18">
        <v>39000</v>
      </c>
      <c r="H141" s="183">
        <v>39008</v>
      </c>
      <c r="I141" s="262" t="s">
        <v>593</v>
      </c>
      <c r="J141" s="263">
        <v>3500</v>
      </c>
      <c r="K141" s="264">
        <v>700</v>
      </c>
      <c r="L141" s="288">
        <v>4200</v>
      </c>
      <c r="M141" s="263">
        <v>3500</v>
      </c>
      <c r="N141" s="264">
        <v>700</v>
      </c>
      <c r="O141" s="190">
        <f t="shared" si="57"/>
        <v>4200</v>
      </c>
      <c r="P141" s="12">
        <f t="shared" si="59"/>
        <v>2275</v>
      </c>
      <c r="Q141" s="12">
        <f t="shared" si="59"/>
        <v>455</v>
      </c>
      <c r="R141" s="220">
        <f t="shared" si="58"/>
        <v>2730</v>
      </c>
      <c r="S141" s="239"/>
      <c r="T141" s="240"/>
    </row>
    <row r="142" spans="1:20" ht="21" customHeight="1">
      <c r="A142" s="61" t="s">
        <v>590</v>
      </c>
      <c r="B142" s="7"/>
      <c r="C142" s="9" t="s">
        <v>151</v>
      </c>
      <c r="D142" s="143" t="s">
        <v>504</v>
      </c>
      <c r="E142" s="260" t="s">
        <v>68</v>
      </c>
      <c r="F142" s="260">
        <v>7</v>
      </c>
      <c r="G142" s="18">
        <v>38874</v>
      </c>
      <c r="H142" s="183">
        <v>38952</v>
      </c>
      <c r="I142" s="262" t="s">
        <v>196</v>
      </c>
      <c r="J142" s="263">
        <v>3960</v>
      </c>
      <c r="K142" s="264">
        <v>807.4</v>
      </c>
      <c r="L142" s="288">
        <v>4847.04</v>
      </c>
      <c r="M142" s="263">
        <v>3960</v>
      </c>
      <c r="N142" s="264"/>
      <c r="O142" s="190">
        <f aca="true" t="shared" si="60" ref="O142:O149">+N142+M142</f>
        <v>3960</v>
      </c>
      <c r="P142" s="12">
        <f aca="true" t="shared" si="61" ref="P142:P148">M142*0.65</f>
        <v>2574</v>
      </c>
      <c r="Q142" s="12">
        <f aca="true" t="shared" si="62" ref="Q142:Q148">N142*0.65</f>
        <v>0</v>
      </c>
      <c r="R142" s="220">
        <f aca="true" t="shared" si="63" ref="R142:R148">SUM(P142:Q142)</f>
        <v>2574</v>
      </c>
      <c r="S142" s="239"/>
      <c r="T142" s="240"/>
    </row>
    <row r="143" spans="1:20" ht="21" customHeight="1">
      <c r="A143" s="61" t="s">
        <v>590</v>
      </c>
      <c r="B143" s="7"/>
      <c r="C143" s="9" t="s">
        <v>151</v>
      </c>
      <c r="D143" s="143" t="s">
        <v>504</v>
      </c>
      <c r="E143" s="260" t="s">
        <v>68</v>
      </c>
      <c r="F143" s="260">
        <v>9</v>
      </c>
      <c r="G143" s="18">
        <v>38926</v>
      </c>
      <c r="H143" s="183">
        <v>38996</v>
      </c>
      <c r="I143" s="262" t="s">
        <v>126</v>
      </c>
      <c r="J143" s="263">
        <v>3600</v>
      </c>
      <c r="K143" s="264">
        <v>734</v>
      </c>
      <c r="L143" s="288">
        <v>4406.4</v>
      </c>
      <c r="M143" s="263">
        <v>3600</v>
      </c>
      <c r="N143" s="264"/>
      <c r="O143" s="190">
        <f t="shared" si="60"/>
        <v>3600</v>
      </c>
      <c r="P143" s="12">
        <f t="shared" si="61"/>
        <v>2340</v>
      </c>
      <c r="Q143" s="12">
        <f t="shared" si="62"/>
        <v>0</v>
      </c>
      <c r="R143" s="220">
        <f t="shared" si="63"/>
        <v>2340</v>
      </c>
      <c r="S143" s="239"/>
      <c r="T143" s="240"/>
    </row>
    <row r="144" spans="1:20" ht="21" customHeight="1">
      <c r="A144" s="61" t="s">
        <v>590</v>
      </c>
      <c r="B144" s="7"/>
      <c r="C144" s="9" t="s">
        <v>151</v>
      </c>
      <c r="D144" s="143" t="s">
        <v>504</v>
      </c>
      <c r="E144" s="260" t="s">
        <v>68</v>
      </c>
      <c r="F144" s="260">
        <v>10</v>
      </c>
      <c r="G144" s="18">
        <v>38978</v>
      </c>
      <c r="H144" s="183">
        <v>39016</v>
      </c>
      <c r="I144" s="262" t="s">
        <v>126</v>
      </c>
      <c r="J144" s="263">
        <v>3060</v>
      </c>
      <c r="K144" s="264">
        <v>624.24</v>
      </c>
      <c r="L144" s="288">
        <v>3745.44</v>
      </c>
      <c r="M144" s="263">
        <v>3060</v>
      </c>
      <c r="N144" s="264"/>
      <c r="O144" s="190">
        <f t="shared" si="60"/>
        <v>3060</v>
      </c>
      <c r="P144" s="12">
        <f t="shared" si="61"/>
        <v>1989</v>
      </c>
      <c r="Q144" s="12">
        <f t="shared" si="62"/>
        <v>0</v>
      </c>
      <c r="R144" s="220">
        <f t="shared" si="63"/>
        <v>1989</v>
      </c>
      <c r="S144" s="239"/>
      <c r="T144" s="240"/>
    </row>
    <row r="145" spans="1:20" ht="21" customHeight="1">
      <c r="A145" s="61" t="s">
        <v>590</v>
      </c>
      <c r="B145" s="7"/>
      <c r="C145" s="9" t="s">
        <v>151</v>
      </c>
      <c r="D145" s="143" t="s">
        <v>504</v>
      </c>
      <c r="E145" s="260" t="s">
        <v>68</v>
      </c>
      <c r="F145" s="260">
        <v>12</v>
      </c>
      <c r="G145" s="18">
        <v>39014</v>
      </c>
      <c r="H145" s="183">
        <v>39035</v>
      </c>
      <c r="I145" s="262" t="s">
        <v>196</v>
      </c>
      <c r="J145" s="263">
        <v>3600</v>
      </c>
      <c r="K145" s="264">
        <v>734</v>
      </c>
      <c r="L145" s="288">
        <v>4406.4</v>
      </c>
      <c r="M145" s="263">
        <v>3600</v>
      </c>
      <c r="N145" s="7"/>
      <c r="O145" s="190">
        <f t="shared" si="60"/>
        <v>3600</v>
      </c>
      <c r="P145" s="12">
        <f t="shared" si="61"/>
        <v>2340</v>
      </c>
      <c r="Q145" s="12">
        <f t="shared" si="62"/>
        <v>0</v>
      </c>
      <c r="R145" s="220">
        <f t="shared" si="63"/>
        <v>2340</v>
      </c>
      <c r="S145" s="239"/>
      <c r="T145" s="240"/>
    </row>
    <row r="146" spans="1:20" ht="21" customHeight="1">
      <c r="A146" s="61" t="s">
        <v>590</v>
      </c>
      <c r="B146" s="7"/>
      <c r="C146" s="9" t="s">
        <v>151</v>
      </c>
      <c r="D146" s="143" t="s">
        <v>245</v>
      </c>
      <c r="E146" s="260" t="s">
        <v>246</v>
      </c>
      <c r="F146" s="260">
        <v>5</v>
      </c>
      <c r="G146" s="18">
        <v>39020</v>
      </c>
      <c r="H146" s="183">
        <v>39035</v>
      </c>
      <c r="I146" s="262" t="s">
        <v>95</v>
      </c>
      <c r="J146" s="263">
        <v>2250</v>
      </c>
      <c r="K146" s="264">
        <v>477.36</v>
      </c>
      <c r="L146" s="288">
        <v>2864.16</v>
      </c>
      <c r="M146" s="263">
        <v>2250</v>
      </c>
      <c r="N146" s="7"/>
      <c r="O146" s="190">
        <f t="shared" si="60"/>
        <v>2250</v>
      </c>
      <c r="P146" s="12">
        <f t="shared" si="61"/>
        <v>1462.5</v>
      </c>
      <c r="Q146" s="12">
        <f t="shared" si="62"/>
        <v>0</v>
      </c>
      <c r="R146" s="220">
        <f t="shared" si="63"/>
        <v>1462.5</v>
      </c>
      <c r="S146" s="239"/>
      <c r="T146" s="240"/>
    </row>
    <row r="147" spans="1:20" ht="21" customHeight="1">
      <c r="A147" s="61" t="s">
        <v>590</v>
      </c>
      <c r="B147" s="7"/>
      <c r="C147" s="9" t="s">
        <v>151</v>
      </c>
      <c r="D147" s="143" t="s">
        <v>607</v>
      </c>
      <c r="E147" s="260" t="s">
        <v>608</v>
      </c>
      <c r="F147" s="260">
        <v>13</v>
      </c>
      <c r="G147" s="18">
        <v>39002</v>
      </c>
      <c r="H147" s="183">
        <v>39037</v>
      </c>
      <c r="I147" s="262" t="s">
        <v>196</v>
      </c>
      <c r="J147" s="263">
        <v>7350</v>
      </c>
      <c r="K147" s="264">
        <v>1470</v>
      </c>
      <c r="L147" s="288">
        <v>8820</v>
      </c>
      <c r="M147" s="263">
        <v>7350</v>
      </c>
      <c r="N147" s="7"/>
      <c r="O147" s="190">
        <f t="shared" si="60"/>
        <v>7350</v>
      </c>
      <c r="P147" s="12">
        <f t="shared" si="61"/>
        <v>4777.5</v>
      </c>
      <c r="Q147" s="12">
        <f t="shared" si="62"/>
        <v>0</v>
      </c>
      <c r="R147" s="220">
        <f t="shared" si="63"/>
        <v>4777.5</v>
      </c>
      <c r="S147" s="239"/>
      <c r="T147" s="240"/>
    </row>
    <row r="148" spans="1:20" ht="21" customHeight="1">
      <c r="A148" s="61" t="s">
        <v>644</v>
      </c>
      <c r="B148" s="7"/>
      <c r="C148" s="14" t="s">
        <v>51</v>
      </c>
      <c r="D148" s="143" t="s">
        <v>645</v>
      </c>
      <c r="E148" s="260" t="s">
        <v>592</v>
      </c>
      <c r="F148" s="260" t="s">
        <v>646</v>
      </c>
      <c r="G148" s="18">
        <v>39080</v>
      </c>
      <c r="H148" s="183">
        <v>39080</v>
      </c>
      <c r="I148" s="262" t="s">
        <v>593</v>
      </c>
      <c r="J148" s="263">
        <v>2500</v>
      </c>
      <c r="K148" s="264"/>
      <c r="L148" s="288">
        <v>2500</v>
      </c>
      <c r="M148" s="263">
        <f>180*8</f>
        <v>1440</v>
      </c>
      <c r="N148" s="7"/>
      <c r="O148" s="190">
        <f>+N148+M148</f>
        <v>1440</v>
      </c>
      <c r="P148" s="12">
        <f t="shared" si="61"/>
        <v>936</v>
      </c>
      <c r="Q148" s="12">
        <f t="shared" si="62"/>
        <v>0</v>
      </c>
      <c r="R148" s="220">
        <f t="shared" si="63"/>
        <v>936</v>
      </c>
      <c r="S148" s="405" t="s">
        <v>697</v>
      </c>
      <c r="T148" s="406"/>
    </row>
    <row r="149" spans="1:20" ht="21" customHeight="1">
      <c r="A149" s="61" t="s">
        <v>644</v>
      </c>
      <c r="B149" s="7"/>
      <c r="C149" s="14" t="s">
        <v>51</v>
      </c>
      <c r="D149" s="143" t="s">
        <v>647</v>
      </c>
      <c r="E149" s="260" t="s">
        <v>286</v>
      </c>
      <c r="F149" s="260" t="s">
        <v>648</v>
      </c>
      <c r="G149" s="18">
        <v>39082</v>
      </c>
      <c r="H149" s="183" t="s">
        <v>649</v>
      </c>
      <c r="I149" s="262" t="s">
        <v>650</v>
      </c>
      <c r="J149" s="263">
        <v>5500</v>
      </c>
      <c r="K149" s="264">
        <v>1100</v>
      </c>
      <c r="L149" s="288">
        <v>6600</v>
      </c>
      <c r="M149" s="263">
        <f>16*180</f>
        <v>2880</v>
      </c>
      <c r="N149" s="7"/>
      <c r="O149" s="190">
        <f t="shared" si="60"/>
        <v>2880</v>
      </c>
      <c r="P149" s="12">
        <f>M149*0.65</f>
        <v>1872</v>
      </c>
      <c r="Q149" s="12">
        <f>N149*0.65</f>
        <v>0</v>
      </c>
      <c r="R149" s="220">
        <f>SUM(P149:Q149)</f>
        <v>1872</v>
      </c>
      <c r="S149" s="405" t="s">
        <v>697</v>
      </c>
      <c r="T149" s="406"/>
    </row>
    <row r="150" spans="1:20" ht="21" customHeight="1">
      <c r="A150" s="61" t="s">
        <v>644</v>
      </c>
      <c r="B150" s="7"/>
      <c r="C150" s="14" t="s">
        <v>51</v>
      </c>
      <c r="D150" s="143" t="s">
        <v>651</v>
      </c>
      <c r="E150" s="260" t="s">
        <v>652</v>
      </c>
      <c r="F150" s="323" t="s">
        <v>297</v>
      </c>
      <c r="G150" s="18">
        <v>39082</v>
      </c>
      <c r="H150" s="183">
        <v>39080</v>
      </c>
      <c r="I150" s="262" t="s">
        <v>593</v>
      </c>
      <c r="J150" s="263">
        <v>800</v>
      </c>
      <c r="K150" s="264"/>
      <c r="L150" s="288">
        <v>800</v>
      </c>
      <c r="M150" s="263"/>
      <c r="N150" s="7"/>
      <c r="O150" s="190">
        <f>+N150+M150</f>
        <v>0</v>
      </c>
      <c r="P150" s="12">
        <f>M150*0.65</f>
        <v>0</v>
      </c>
      <c r="Q150" s="12">
        <f>N150*0.65</f>
        <v>0</v>
      </c>
      <c r="R150" s="220">
        <f>SUM(P150:Q150)</f>
        <v>0</v>
      </c>
      <c r="S150" s="405" t="s">
        <v>696</v>
      </c>
      <c r="T150" s="406"/>
    </row>
    <row r="151" spans="1:20" ht="21" customHeight="1">
      <c r="A151" s="61" t="s">
        <v>644</v>
      </c>
      <c r="B151" s="7"/>
      <c r="C151" s="14" t="s">
        <v>51</v>
      </c>
      <c r="D151" s="143" t="s">
        <v>647</v>
      </c>
      <c r="E151" s="260" t="s">
        <v>286</v>
      </c>
      <c r="F151" s="260" t="s">
        <v>653</v>
      </c>
      <c r="G151" s="18">
        <v>39141</v>
      </c>
      <c r="H151" s="183">
        <v>39220</v>
      </c>
      <c r="I151" s="262" t="s">
        <v>654</v>
      </c>
      <c r="J151" s="263">
        <v>-1500</v>
      </c>
      <c r="K151" s="264">
        <v>-300</v>
      </c>
      <c r="L151" s="288">
        <v>-1800</v>
      </c>
      <c r="M151" s="263"/>
      <c r="N151" s="7"/>
      <c r="O151" s="190"/>
      <c r="P151" s="12"/>
      <c r="Q151" s="12"/>
      <c r="R151" s="220"/>
      <c r="S151" s="405"/>
      <c r="T151" s="406"/>
    </row>
    <row r="152" spans="1:20" ht="21" customHeight="1">
      <c r="A152" s="61" t="s">
        <v>644</v>
      </c>
      <c r="B152" s="7"/>
      <c r="C152" s="9" t="s">
        <v>151</v>
      </c>
      <c r="D152" s="143" t="s">
        <v>663</v>
      </c>
      <c r="E152" s="260" t="s">
        <v>68</v>
      </c>
      <c r="F152" s="260">
        <v>14</v>
      </c>
      <c r="G152" s="18">
        <v>39066</v>
      </c>
      <c r="H152" s="183">
        <v>39073</v>
      </c>
      <c r="I152" s="262" t="s">
        <v>659</v>
      </c>
      <c r="J152" s="263">
        <v>2520</v>
      </c>
      <c r="K152" s="264">
        <v>514.08</v>
      </c>
      <c r="L152" s="288">
        <v>3084.48</v>
      </c>
      <c r="M152" s="263">
        <v>2520</v>
      </c>
      <c r="N152" s="7"/>
      <c r="O152" s="190">
        <f aca="true" t="shared" si="64" ref="O152:O162">+N152+M152</f>
        <v>2520</v>
      </c>
      <c r="P152" s="12">
        <f aca="true" t="shared" si="65" ref="P152:Q156">M152*0.65</f>
        <v>1638</v>
      </c>
      <c r="Q152" s="12">
        <f t="shared" si="65"/>
        <v>0</v>
      </c>
      <c r="R152" s="220">
        <f>SUM(P152:Q152)</f>
        <v>1638</v>
      </c>
      <c r="S152" s="239"/>
      <c r="T152" s="240"/>
    </row>
    <row r="153" spans="1:20" ht="21" customHeight="1">
      <c r="A153" s="61" t="s">
        <v>644</v>
      </c>
      <c r="B153" s="7"/>
      <c r="C153" s="9" t="s">
        <v>151</v>
      </c>
      <c r="D153" s="143" t="s">
        <v>663</v>
      </c>
      <c r="E153" s="260" t="s">
        <v>68</v>
      </c>
      <c r="F153" s="260">
        <v>2</v>
      </c>
      <c r="G153" s="18">
        <v>39097</v>
      </c>
      <c r="H153" s="183">
        <v>39107</v>
      </c>
      <c r="I153" s="262" t="s">
        <v>659</v>
      </c>
      <c r="J153" s="263">
        <v>3060</v>
      </c>
      <c r="K153" s="264">
        <v>624.24</v>
      </c>
      <c r="L153" s="288">
        <v>3745.44</v>
      </c>
      <c r="M153" s="263">
        <v>3060</v>
      </c>
      <c r="N153" s="7"/>
      <c r="O153" s="190">
        <f t="shared" si="64"/>
        <v>3060</v>
      </c>
      <c r="P153" s="12">
        <f t="shared" si="65"/>
        <v>1989</v>
      </c>
      <c r="Q153" s="12">
        <f t="shared" si="65"/>
        <v>0</v>
      </c>
      <c r="R153" s="220">
        <f>SUM(P153:Q153)</f>
        <v>1989</v>
      </c>
      <c r="S153" s="239"/>
      <c r="T153" s="240"/>
    </row>
    <row r="154" spans="1:20" ht="21" customHeight="1">
      <c r="A154" s="61" t="s">
        <v>644</v>
      </c>
      <c r="B154" s="7"/>
      <c r="C154" s="9" t="s">
        <v>151</v>
      </c>
      <c r="D154" s="143" t="s">
        <v>663</v>
      </c>
      <c r="E154" s="260" t="s">
        <v>68</v>
      </c>
      <c r="F154" s="260">
        <v>5</v>
      </c>
      <c r="G154" s="18">
        <v>39134</v>
      </c>
      <c r="H154" s="183">
        <v>39153</v>
      </c>
      <c r="I154" s="262" t="s">
        <v>659</v>
      </c>
      <c r="J154" s="263">
        <v>2700</v>
      </c>
      <c r="K154" s="264">
        <v>550.8</v>
      </c>
      <c r="L154" s="288">
        <v>3304.8</v>
      </c>
      <c r="M154" s="263">
        <v>2700</v>
      </c>
      <c r="N154" s="7"/>
      <c r="O154" s="190">
        <f t="shared" si="64"/>
        <v>2700</v>
      </c>
      <c r="P154" s="12">
        <f t="shared" si="65"/>
        <v>1755</v>
      </c>
      <c r="Q154" s="12">
        <f t="shared" si="65"/>
        <v>0</v>
      </c>
      <c r="R154" s="220">
        <f>SUM(P154:Q154)</f>
        <v>1755</v>
      </c>
      <c r="S154" s="239"/>
      <c r="T154" s="240"/>
    </row>
    <row r="155" spans="1:20" ht="21" customHeight="1">
      <c r="A155" s="61" t="s">
        <v>644</v>
      </c>
      <c r="B155" s="7"/>
      <c r="C155" s="9" t="s">
        <v>151</v>
      </c>
      <c r="D155" s="143" t="s">
        <v>660</v>
      </c>
      <c r="E155" s="260" t="s">
        <v>509</v>
      </c>
      <c r="F155" s="260"/>
      <c r="G155" s="18">
        <v>39139</v>
      </c>
      <c r="H155" s="183">
        <v>39167</v>
      </c>
      <c r="I155" s="262" t="s">
        <v>661</v>
      </c>
      <c r="J155" s="263">
        <v>1600</v>
      </c>
      <c r="K155" s="264"/>
      <c r="L155" s="288">
        <v>1600</v>
      </c>
      <c r="M155" s="263">
        <v>1600</v>
      </c>
      <c r="N155" s="7"/>
      <c r="O155" s="190">
        <f t="shared" si="64"/>
        <v>1600</v>
      </c>
      <c r="P155" s="12">
        <f t="shared" si="65"/>
        <v>1040</v>
      </c>
      <c r="Q155" s="12">
        <f t="shared" si="65"/>
        <v>0</v>
      </c>
      <c r="R155" s="220">
        <f>SUM(P155:Q155)</f>
        <v>1040</v>
      </c>
      <c r="S155" s="405" t="s">
        <v>700</v>
      </c>
      <c r="T155" s="406"/>
    </row>
    <row r="156" spans="1:20" ht="21" customHeight="1">
      <c r="A156" s="61" t="s">
        <v>644</v>
      </c>
      <c r="B156" s="7"/>
      <c r="C156" s="9" t="s">
        <v>151</v>
      </c>
      <c r="D156" s="143" t="s">
        <v>245</v>
      </c>
      <c r="E156" s="260" t="s">
        <v>246</v>
      </c>
      <c r="F156" s="260">
        <v>2</v>
      </c>
      <c r="G156" s="18">
        <v>39141</v>
      </c>
      <c r="H156" s="183">
        <v>39168</v>
      </c>
      <c r="I156" s="262" t="s">
        <v>662</v>
      </c>
      <c r="J156" s="263">
        <v>2250</v>
      </c>
      <c r="K156" s="264">
        <v>477.36</v>
      </c>
      <c r="L156" s="288">
        <v>2864.16</v>
      </c>
      <c r="M156" s="263">
        <v>2250</v>
      </c>
      <c r="N156" s="7"/>
      <c r="O156" s="190">
        <f t="shared" si="64"/>
        <v>2250</v>
      </c>
      <c r="P156" s="12">
        <f t="shared" si="65"/>
        <v>1462.5</v>
      </c>
      <c r="Q156" s="12">
        <f t="shared" si="65"/>
        <v>0</v>
      </c>
      <c r="R156" s="220">
        <f>SUM(P156:Q156)</f>
        <v>1462.5</v>
      </c>
      <c r="S156" s="239"/>
      <c r="T156" s="240"/>
    </row>
    <row r="157" spans="1:20" ht="21" customHeight="1">
      <c r="A157" s="61" t="s">
        <v>710</v>
      </c>
      <c r="B157" s="7"/>
      <c r="C157" s="9" t="s">
        <v>151</v>
      </c>
      <c r="D157" s="143" t="s">
        <v>663</v>
      </c>
      <c r="E157" s="260" t="s">
        <v>68</v>
      </c>
      <c r="F157" s="260">
        <v>6</v>
      </c>
      <c r="G157" s="18">
        <v>39174</v>
      </c>
      <c r="H157" s="183">
        <v>39177</v>
      </c>
      <c r="I157" s="262" t="s">
        <v>659</v>
      </c>
      <c r="J157" s="263">
        <v>3060</v>
      </c>
      <c r="K157" s="264">
        <v>624.24</v>
      </c>
      <c r="L157" s="288">
        <v>3745.44</v>
      </c>
      <c r="M157" s="263">
        <v>3060</v>
      </c>
      <c r="N157" s="7"/>
      <c r="O157" s="190">
        <f t="shared" si="64"/>
        <v>3060</v>
      </c>
      <c r="P157" s="12">
        <f aca="true" t="shared" si="66" ref="P157:P162">M157*0.65</f>
        <v>1989</v>
      </c>
      <c r="Q157" s="12">
        <f aca="true" t="shared" si="67" ref="Q157:Q162">N157*0.65</f>
        <v>0</v>
      </c>
      <c r="R157" s="220">
        <f aca="true" t="shared" si="68" ref="R157:R162">SUM(P157:Q157)</f>
        <v>1989</v>
      </c>
      <c r="S157" s="405" t="s">
        <v>717</v>
      </c>
      <c r="T157" s="406"/>
    </row>
    <row r="158" spans="1:20" ht="21" customHeight="1">
      <c r="A158" s="61" t="s">
        <v>710</v>
      </c>
      <c r="B158" s="7"/>
      <c r="C158" s="9" t="s">
        <v>151</v>
      </c>
      <c r="D158" s="143" t="s">
        <v>663</v>
      </c>
      <c r="E158" s="260" t="s">
        <v>68</v>
      </c>
      <c r="F158" s="260">
        <v>11</v>
      </c>
      <c r="G158" s="18">
        <v>39239</v>
      </c>
      <c r="H158" s="183">
        <v>39241</v>
      </c>
      <c r="I158" s="262" t="s">
        <v>711</v>
      </c>
      <c r="J158" s="263">
        <v>2700</v>
      </c>
      <c r="K158" s="264">
        <v>550.8</v>
      </c>
      <c r="L158" s="288">
        <v>3304.8</v>
      </c>
      <c r="M158" s="263">
        <v>2700</v>
      </c>
      <c r="N158" s="7"/>
      <c r="O158" s="190">
        <f t="shared" si="64"/>
        <v>2700</v>
      </c>
      <c r="P158" s="12">
        <f t="shared" si="66"/>
        <v>1755</v>
      </c>
      <c r="Q158" s="12">
        <f t="shared" si="67"/>
        <v>0</v>
      </c>
      <c r="R158" s="220">
        <f t="shared" si="68"/>
        <v>1755</v>
      </c>
      <c r="S158" s="405" t="s">
        <v>717</v>
      </c>
      <c r="T158" s="406"/>
    </row>
    <row r="159" spans="1:20" ht="21" customHeight="1">
      <c r="A159" s="61" t="s">
        <v>710</v>
      </c>
      <c r="B159" s="7"/>
      <c r="C159" s="9" t="s">
        <v>151</v>
      </c>
      <c r="D159" s="143"/>
      <c r="E159" s="260" t="s">
        <v>68</v>
      </c>
      <c r="F159" s="260">
        <v>13</v>
      </c>
      <c r="G159" s="18">
        <v>39269</v>
      </c>
      <c r="H159" s="183">
        <v>39272</v>
      </c>
      <c r="I159" s="262" t="s">
        <v>662</v>
      </c>
      <c r="J159" s="263">
        <v>2700</v>
      </c>
      <c r="K159" s="264">
        <v>550.8</v>
      </c>
      <c r="L159" s="288">
        <v>3304.8</v>
      </c>
      <c r="M159" s="263">
        <v>2700</v>
      </c>
      <c r="N159" s="7"/>
      <c r="O159" s="190">
        <f t="shared" si="64"/>
        <v>2700</v>
      </c>
      <c r="P159" s="12">
        <f t="shared" si="66"/>
        <v>1755</v>
      </c>
      <c r="Q159" s="12">
        <f t="shared" si="67"/>
        <v>0</v>
      </c>
      <c r="R159" s="220">
        <f t="shared" si="68"/>
        <v>1755</v>
      </c>
      <c r="S159" s="405" t="s">
        <v>717</v>
      </c>
      <c r="T159" s="406"/>
    </row>
    <row r="160" spans="1:20" ht="21" customHeight="1">
      <c r="A160" s="61" t="s">
        <v>710</v>
      </c>
      <c r="B160" s="7"/>
      <c r="C160" s="9" t="s">
        <v>151</v>
      </c>
      <c r="D160" s="143" t="s">
        <v>663</v>
      </c>
      <c r="E160" s="260" t="s">
        <v>712</v>
      </c>
      <c r="F160" s="260">
        <v>34</v>
      </c>
      <c r="G160" s="18">
        <v>39265</v>
      </c>
      <c r="H160" s="183" t="s">
        <v>713</v>
      </c>
      <c r="I160" s="262" t="s">
        <v>714</v>
      </c>
      <c r="J160" s="263">
        <v>10500</v>
      </c>
      <c r="K160" s="264">
        <v>2142</v>
      </c>
      <c r="L160" s="288">
        <v>12852</v>
      </c>
      <c r="M160" s="263">
        <v>10500</v>
      </c>
      <c r="N160" s="7"/>
      <c r="O160" s="190">
        <f t="shared" si="64"/>
        <v>10500</v>
      </c>
      <c r="P160" s="12">
        <f t="shared" si="66"/>
        <v>6825</v>
      </c>
      <c r="Q160" s="12">
        <f t="shared" si="67"/>
        <v>0</v>
      </c>
      <c r="R160" s="220">
        <f t="shared" si="68"/>
        <v>6825</v>
      </c>
      <c r="S160" s="405" t="s">
        <v>717</v>
      </c>
      <c r="T160" s="406"/>
    </row>
    <row r="161" spans="1:20" ht="21" customHeight="1">
      <c r="A161" s="61" t="s">
        <v>710</v>
      </c>
      <c r="B161" s="7"/>
      <c r="C161" s="9" t="s">
        <v>151</v>
      </c>
      <c r="D161" s="143" t="s">
        <v>245</v>
      </c>
      <c r="E161" s="260" t="s">
        <v>246</v>
      </c>
      <c r="F161" s="260">
        <v>8</v>
      </c>
      <c r="G161" s="18">
        <v>39258</v>
      </c>
      <c r="H161" s="183">
        <v>39335</v>
      </c>
      <c r="I161" s="262" t="s">
        <v>659</v>
      </c>
      <c r="J161" s="263">
        <v>2250</v>
      </c>
      <c r="K161" s="264">
        <v>477.36</v>
      </c>
      <c r="L161" s="288">
        <v>2864.16</v>
      </c>
      <c r="M161" s="263">
        <v>2250</v>
      </c>
      <c r="N161" s="7"/>
      <c r="O161" s="190">
        <f t="shared" si="64"/>
        <v>2250</v>
      </c>
      <c r="P161" s="12">
        <f t="shared" si="66"/>
        <v>1462.5</v>
      </c>
      <c r="Q161" s="12">
        <f t="shared" si="67"/>
        <v>0</v>
      </c>
      <c r="R161" s="220">
        <f t="shared" si="68"/>
        <v>1462.5</v>
      </c>
      <c r="S161" s="405" t="s">
        <v>717</v>
      </c>
      <c r="T161" s="406"/>
    </row>
    <row r="162" spans="1:20" ht="21" customHeight="1">
      <c r="A162" s="61" t="s">
        <v>710</v>
      </c>
      <c r="B162" s="7"/>
      <c r="C162" s="9" t="s">
        <v>151</v>
      </c>
      <c r="D162" s="143" t="s">
        <v>715</v>
      </c>
      <c r="E162" s="260" t="s">
        <v>716</v>
      </c>
      <c r="F162" s="260">
        <v>14</v>
      </c>
      <c r="G162" s="18">
        <v>39301</v>
      </c>
      <c r="H162" s="183">
        <v>39335</v>
      </c>
      <c r="I162" s="262" t="s">
        <v>659</v>
      </c>
      <c r="J162" s="263">
        <v>1700</v>
      </c>
      <c r="K162" s="264">
        <v>340</v>
      </c>
      <c r="L162" s="288">
        <v>2040</v>
      </c>
      <c r="M162" s="263">
        <v>1700</v>
      </c>
      <c r="N162" s="7"/>
      <c r="O162" s="190">
        <f t="shared" si="64"/>
        <v>1700</v>
      </c>
      <c r="P162" s="12">
        <f t="shared" si="66"/>
        <v>1105</v>
      </c>
      <c r="Q162" s="12">
        <f t="shared" si="67"/>
        <v>0</v>
      </c>
      <c r="R162" s="220">
        <f t="shared" si="68"/>
        <v>1105</v>
      </c>
      <c r="S162" s="405" t="s">
        <v>717</v>
      </c>
      <c r="T162" s="406"/>
    </row>
    <row r="163" spans="1:20" ht="21" customHeight="1">
      <c r="A163" s="61" t="s">
        <v>710</v>
      </c>
      <c r="B163" s="7"/>
      <c r="C163" s="14" t="s">
        <v>51</v>
      </c>
      <c r="D163" s="143" t="s">
        <v>748</v>
      </c>
      <c r="E163" s="260" t="s">
        <v>749</v>
      </c>
      <c r="F163" s="260">
        <v>4</v>
      </c>
      <c r="G163" s="18">
        <v>39503</v>
      </c>
      <c r="H163" s="183">
        <v>39692</v>
      </c>
      <c r="I163" s="262" t="s">
        <v>275</v>
      </c>
      <c r="J163" s="263">
        <v>1715.7</v>
      </c>
      <c r="K163" s="264">
        <v>343.14</v>
      </c>
      <c r="L163" s="288">
        <v>2058.84</v>
      </c>
      <c r="M163" s="263">
        <v>1715.7</v>
      </c>
      <c r="N163" s="264">
        <v>343.14</v>
      </c>
      <c r="O163" s="288">
        <v>2058.84</v>
      </c>
      <c r="P163" s="12">
        <f aca="true" t="shared" si="69" ref="P163:Q166">M163*0.65</f>
        <v>1115.2050000000002</v>
      </c>
      <c r="Q163" s="12">
        <f t="shared" si="69"/>
        <v>223.041</v>
      </c>
      <c r="R163" s="220">
        <f>SUM(P163:Q163)</f>
        <v>1338.246</v>
      </c>
      <c r="S163" s="405" t="s">
        <v>717</v>
      </c>
      <c r="T163" s="406"/>
    </row>
    <row r="164" spans="1:20" ht="21" customHeight="1">
      <c r="A164" s="61" t="s">
        <v>710</v>
      </c>
      <c r="B164" s="7"/>
      <c r="C164" s="14" t="s">
        <v>51</v>
      </c>
      <c r="D164" s="143" t="s">
        <v>748</v>
      </c>
      <c r="E164" s="260" t="s">
        <v>750</v>
      </c>
      <c r="F164" s="260">
        <v>8</v>
      </c>
      <c r="G164" s="18">
        <v>39506</v>
      </c>
      <c r="H164" s="183">
        <v>39692</v>
      </c>
      <c r="I164" s="262" t="s">
        <v>275</v>
      </c>
      <c r="J164" s="263">
        <v>2287.6</v>
      </c>
      <c r="K164" s="264">
        <v>457.52</v>
      </c>
      <c r="L164" s="288">
        <v>2745.12</v>
      </c>
      <c r="M164" s="263">
        <v>2287.6</v>
      </c>
      <c r="N164" s="264">
        <v>457.52</v>
      </c>
      <c r="O164" s="288">
        <v>2745.12</v>
      </c>
      <c r="P164" s="12">
        <f t="shared" si="69"/>
        <v>1486.94</v>
      </c>
      <c r="Q164" s="12">
        <f t="shared" si="69"/>
        <v>297.388</v>
      </c>
      <c r="R164" s="220">
        <f>SUM(P164:Q164)</f>
        <v>1784.328</v>
      </c>
      <c r="S164" s="405" t="s">
        <v>717</v>
      </c>
      <c r="T164" s="406"/>
    </row>
    <row r="165" spans="1:20" ht="21" customHeight="1">
      <c r="A165" s="61" t="s">
        <v>710</v>
      </c>
      <c r="B165" s="7"/>
      <c r="C165" s="14" t="s">
        <v>51</v>
      </c>
      <c r="D165" s="143" t="s">
        <v>748</v>
      </c>
      <c r="E165" s="260" t="s">
        <v>751</v>
      </c>
      <c r="F165" s="260">
        <v>14</v>
      </c>
      <c r="G165" s="18">
        <v>39504</v>
      </c>
      <c r="H165" s="183">
        <v>39692</v>
      </c>
      <c r="I165" s="262" t="s">
        <v>275</v>
      </c>
      <c r="J165" s="263">
        <v>1715.69</v>
      </c>
      <c r="K165" s="264">
        <v>343.13800000000003</v>
      </c>
      <c r="L165" s="288">
        <v>2058.828</v>
      </c>
      <c r="M165" s="263">
        <v>1715.69</v>
      </c>
      <c r="N165" s="264">
        <v>343.13800000000003</v>
      </c>
      <c r="O165" s="288">
        <v>2058.828</v>
      </c>
      <c r="P165" s="12">
        <f t="shared" si="69"/>
        <v>1115.1985</v>
      </c>
      <c r="Q165" s="12">
        <f t="shared" si="69"/>
        <v>223.03970000000004</v>
      </c>
      <c r="R165" s="220">
        <f>SUM(P165:Q165)</f>
        <v>1338.2382</v>
      </c>
      <c r="S165" s="405" t="s">
        <v>717</v>
      </c>
      <c r="T165" s="406"/>
    </row>
    <row r="166" spans="1:20" ht="21" customHeight="1">
      <c r="A166" s="61" t="s">
        <v>710</v>
      </c>
      <c r="B166" s="7"/>
      <c r="C166" s="14" t="s">
        <v>51</v>
      </c>
      <c r="D166" s="143" t="s">
        <v>748</v>
      </c>
      <c r="E166" s="260" t="s">
        <v>752</v>
      </c>
      <c r="F166" s="260">
        <v>3</v>
      </c>
      <c r="G166" s="18">
        <v>39506</v>
      </c>
      <c r="H166" s="183">
        <v>39692</v>
      </c>
      <c r="I166" s="262" t="s">
        <v>275</v>
      </c>
      <c r="J166" s="263">
        <v>1166.77</v>
      </c>
      <c r="K166" s="264">
        <v>233.354</v>
      </c>
      <c r="L166" s="288">
        <v>1400.124</v>
      </c>
      <c r="M166" s="263">
        <v>1166.77</v>
      </c>
      <c r="N166" s="264">
        <v>233.354</v>
      </c>
      <c r="O166" s="288">
        <v>1400.124</v>
      </c>
      <c r="P166" s="12">
        <f t="shared" si="69"/>
        <v>758.4005</v>
      </c>
      <c r="Q166" s="12">
        <f t="shared" si="69"/>
        <v>151.6801</v>
      </c>
      <c r="R166" s="220">
        <f>SUM(P166:Q166)</f>
        <v>910.0806</v>
      </c>
      <c r="S166" s="405" t="s">
        <v>717</v>
      </c>
      <c r="T166" s="406"/>
    </row>
    <row r="167" spans="1:20" ht="21" customHeight="1">
      <c r="A167" s="61" t="s">
        <v>710</v>
      </c>
      <c r="B167" s="7"/>
      <c r="C167" s="9" t="s">
        <v>151</v>
      </c>
      <c r="D167" s="143" t="s">
        <v>504</v>
      </c>
      <c r="E167" s="260" t="s">
        <v>68</v>
      </c>
      <c r="F167" s="260" t="s">
        <v>756</v>
      </c>
      <c r="G167" s="18">
        <v>39491</v>
      </c>
      <c r="H167" s="183">
        <v>39590</v>
      </c>
      <c r="I167" s="262" t="s">
        <v>69</v>
      </c>
      <c r="J167" s="263">
        <v>2520</v>
      </c>
      <c r="K167" s="264">
        <v>514.08</v>
      </c>
      <c r="L167" s="288">
        <v>3084.48</v>
      </c>
      <c r="M167" s="263">
        <v>2520</v>
      </c>
      <c r="N167" s="264"/>
      <c r="O167" s="288">
        <f>+N167+M167</f>
        <v>2520</v>
      </c>
      <c r="P167" s="12">
        <f>M167*0.65</f>
        <v>1638</v>
      </c>
      <c r="Q167" s="12"/>
      <c r="R167" s="220">
        <f>+Q167+P167</f>
        <v>1638</v>
      </c>
      <c r="S167" s="405" t="s">
        <v>717</v>
      </c>
      <c r="T167" s="406"/>
    </row>
    <row r="168" spans="1:20" ht="21" customHeight="1">
      <c r="A168" s="61" t="s">
        <v>710</v>
      </c>
      <c r="B168" s="7"/>
      <c r="C168" s="9" t="s">
        <v>151</v>
      </c>
      <c r="D168" s="143" t="s">
        <v>504</v>
      </c>
      <c r="E168" s="260" t="s">
        <v>68</v>
      </c>
      <c r="F168" s="260">
        <v>15</v>
      </c>
      <c r="G168" s="18">
        <v>39300</v>
      </c>
      <c r="H168" s="183">
        <v>39329</v>
      </c>
      <c r="I168" s="262" t="s">
        <v>69</v>
      </c>
      <c r="J168" s="263">
        <v>2160</v>
      </c>
      <c r="K168" s="264">
        <v>440.64</v>
      </c>
      <c r="L168" s="288">
        <v>2643.84</v>
      </c>
      <c r="M168" s="263">
        <v>2160</v>
      </c>
      <c r="N168" s="264"/>
      <c r="O168" s="288">
        <f aca="true" t="shared" si="70" ref="O168:O174">+N168+M168</f>
        <v>2160</v>
      </c>
      <c r="P168" s="12">
        <f aca="true" t="shared" si="71" ref="P168:P174">M168*0.65</f>
        <v>1404</v>
      </c>
      <c r="Q168" s="12"/>
      <c r="R168" s="220">
        <f aca="true" t="shared" si="72" ref="R168:R174">+Q168+P168</f>
        <v>1404</v>
      </c>
      <c r="S168" s="405" t="s">
        <v>717</v>
      </c>
      <c r="T168" s="406"/>
    </row>
    <row r="169" spans="1:20" ht="21" customHeight="1">
      <c r="A169" s="61" t="s">
        <v>710</v>
      </c>
      <c r="B169" s="7"/>
      <c r="C169" s="9" t="s">
        <v>151</v>
      </c>
      <c r="D169" s="143" t="s">
        <v>504</v>
      </c>
      <c r="E169" s="260" t="s">
        <v>68</v>
      </c>
      <c r="F169" s="260">
        <v>19</v>
      </c>
      <c r="G169" s="18">
        <v>39398</v>
      </c>
      <c r="H169" s="183">
        <v>39405</v>
      </c>
      <c r="I169" s="262" t="s">
        <v>70</v>
      </c>
      <c r="J169" s="263">
        <v>2880</v>
      </c>
      <c r="K169" s="264">
        <v>587.52</v>
      </c>
      <c r="L169" s="288">
        <v>3525.12</v>
      </c>
      <c r="M169" s="263">
        <v>2880</v>
      </c>
      <c r="N169" s="264"/>
      <c r="O169" s="288">
        <f t="shared" si="70"/>
        <v>2880</v>
      </c>
      <c r="P169" s="12">
        <f t="shared" si="71"/>
        <v>1872</v>
      </c>
      <c r="Q169" s="12"/>
      <c r="R169" s="220">
        <f t="shared" si="72"/>
        <v>1872</v>
      </c>
      <c r="S169" s="405" t="s">
        <v>717</v>
      </c>
      <c r="T169" s="406"/>
    </row>
    <row r="170" spans="1:20" ht="21" customHeight="1">
      <c r="A170" s="61" t="s">
        <v>710</v>
      </c>
      <c r="B170" s="7"/>
      <c r="C170" s="9" t="s">
        <v>151</v>
      </c>
      <c r="D170" s="143" t="s">
        <v>245</v>
      </c>
      <c r="E170" s="260" t="s">
        <v>246</v>
      </c>
      <c r="F170" s="260" t="s">
        <v>757</v>
      </c>
      <c r="G170" s="18">
        <v>39493</v>
      </c>
      <c r="H170" s="183">
        <v>39671</v>
      </c>
      <c r="I170" s="262" t="s">
        <v>69</v>
      </c>
      <c r="J170" s="263">
        <v>3600</v>
      </c>
      <c r="K170" s="264">
        <v>763.78</v>
      </c>
      <c r="L170" s="288">
        <v>4582.66</v>
      </c>
      <c r="M170" s="263">
        <v>3600</v>
      </c>
      <c r="N170" s="264"/>
      <c r="O170" s="288">
        <f t="shared" si="70"/>
        <v>3600</v>
      </c>
      <c r="P170" s="12">
        <f t="shared" si="71"/>
        <v>2340</v>
      </c>
      <c r="Q170" s="12"/>
      <c r="R170" s="220">
        <f t="shared" si="72"/>
        <v>2340</v>
      </c>
      <c r="S170" s="405" t="s">
        <v>717</v>
      </c>
      <c r="T170" s="406"/>
    </row>
    <row r="171" spans="1:20" ht="21" customHeight="1">
      <c r="A171" s="61" t="s">
        <v>710</v>
      </c>
      <c r="B171" s="7"/>
      <c r="C171" s="9" t="s">
        <v>151</v>
      </c>
      <c r="D171" s="143" t="s">
        <v>245</v>
      </c>
      <c r="E171" s="260" t="s">
        <v>246</v>
      </c>
      <c r="F171" s="260">
        <v>9</v>
      </c>
      <c r="G171" s="18">
        <v>39363</v>
      </c>
      <c r="H171" s="183">
        <v>39428</v>
      </c>
      <c r="I171" s="262" t="s">
        <v>70</v>
      </c>
      <c r="J171" s="263">
        <v>1350</v>
      </c>
      <c r="K171" s="264">
        <v>286.42</v>
      </c>
      <c r="L171" s="288">
        <v>1718.5</v>
      </c>
      <c r="M171" s="263">
        <v>1350</v>
      </c>
      <c r="N171" s="264"/>
      <c r="O171" s="288">
        <f t="shared" si="70"/>
        <v>1350</v>
      </c>
      <c r="P171" s="12">
        <f t="shared" si="71"/>
        <v>877.5</v>
      </c>
      <c r="Q171" s="12"/>
      <c r="R171" s="220">
        <f t="shared" si="72"/>
        <v>877.5</v>
      </c>
      <c r="S171" s="405" t="s">
        <v>717</v>
      </c>
      <c r="T171" s="406"/>
    </row>
    <row r="172" spans="1:20" ht="21" customHeight="1">
      <c r="A172" s="61" t="s">
        <v>710</v>
      </c>
      <c r="B172" s="7"/>
      <c r="C172" s="9" t="s">
        <v>151</v>
      </c>
      <c r="D172" s="143" t="s">
        <v>758</v>
      </c>
      <c r="E172" s="260" t="s">
        <v>759</v>
      </c>
      <c r="F172" s="260" t="s">
        <v>760</v>
      </c>
      <c r="G172" s="18"/>
      <c r="H172" s="183"/>
      <c r="I172" s="262"/>
      <c r="J172" s="263">
        <v>71000</v>
      </c>
      <c r="K172" s="264"/>
      <c r="L172" s="288">
        <f>+K172+J172</f>
        <v>71000</v>
      </c>
      <c r="M172" s="263">
        <v>71000</v>
      </c>
      <c r="N172" s="264"/>
      <c r="O172" s="288">
        <f t="shared" si="70"/>
        <v>71000</v>
      </c>
      <c r="P172" s="12">
        <f t="shared" si="71"/>
        <v>46150</v>
      </c>
      <c r="Q172" s="12"/>
      <c r="R172" s="220">
        <f t="shared" si="72"/>
        <v>46150</v>
      </c>
      <c r="S172" s="405" t="s">
        <v>717</v>
      </c>
      <c r="T172" s="406"/>
    </row>
    <row r="173" spans="1:20" ht="21" customHeight="1">
      <c r="A173" s="61" t="s">
        <v>710</v>
      </c>
      <c r="B173" s="7"/>
      <c r="C173" s="9" t="s">
        <v>151</v>
      </c>
      <c r="D173" s="143" t="s">
        <v>377</v>
      </c>
      <c r="E173" s="260" t="s">
        <v>61</v>
      </c>
      <c r="F173" s="260">
        <v>3</v>
      </c>
      <c r="G173" s="18">
        <v>39504</v>
      </c>
      <c r="H173" s="183">
        <v>39671</v>
      </c>
      <c r="I173" s="262" t="s">
        <v>69</v>
      </c>
      <c r="J173" s="263">
        <v>4900</v>
      </c>
      <c r="K173" s="264">
        <v>999.6</v>
      </c>
      <c r="L173" s="288">
        <v>5997</v>
      </c>
      <c r="M173" s="263">
        <v>4900</v>
      </c>
      <c r="N173" s="264"/>
      <c r="O173" s="288">
        <f t="shared" si="70"/>
        <v>4900</v>
      </c>
      <c r="P173" s="12">
        <f t="shared" si="71"/>
        <v>3185</v>
      </c>
      <c r="Q173" s="12"/>
      <c r="R173" s="220">
        <f t="shared" si="72"/>
        <v>3185</v>
      </c>
      <c r="S173" s="405" t="s">
        <v>717</v>
      </c>
      <c r="T173" s="406"/>
    </row>
    <row r="174" spans="1:20" ht="21" customHeight="1">
      <c r="A174" s="61" t="s">
        <v>710</v>
      </c>
      <c r="B174" s="7"/>
      <c r="C174" s="9" t="s">
        <v>151</v>
      </c>
      <c r="D174" s="143" t="s">
        <v>761</v>
      </c>
      <c r="E174" s="260" t="s">
        <v>762</v>
      </c>
      <c r="F174" s="260" t="s">
        <v>763</v>
      </c>
      <c r="G174" s="18">
        <v>39365</v>
      </c>
      <c r="H174" s="183">
        <v>39407</v>
      </c>
      <c r="I174" s="262" t="s">
        <v>70</v>
      </c>
      <c r="J174" s="263">
        <v>1443.75</v>
      </c>
      <c r="K174" s="264"/>
      <c r="L174" s="288">
        <v>1443.75</v>
      </c>
      <c r="M174" s="263">
        <v>1443.75</v>
      </c>
      <c r="N174" s="264"/>
      <c r="O174" s="288">
        <f t="shared" si="70"/>
        <v>1443.75</v>
      </c>
      <c r="P174" s="12">
        <f t="shared" si="71"/>
        <v>938.4375</v>
      </c>
      <c r="Q174" s="12"/>
      <c r="R174" s="220">
        <f t="shared" si="72"/>
        <v>938.4375</v>
      </c>
      <c r="S174" s="405" t="s">
        <v>717</v>
      </c>
      <c r="T174" s="406"/>
    </row>
    <row r="175" spans="1:20" ht="10.5" customHeight="1">
      <c r="A175" s="61"/>
      <c r="B175" s="8"/>
      <c r="C175" s="9"/>
      <c r="D175" s="14"/>
      <c r="E175" s="9"/>
      <c r="F175" s="14"/>
      <c r="G175" s="10"/>
      <c r="H175" s="15"/>
      <c r="I175" s="15"/>
      <c r="J175" s="12"/>
      <c r="K175" s="12">
        <f>+J175*0.2</f>
        <v>0</v>
      </c>
      <c r="L175" s="190">
        <f>SUM(J175:K175)</f>
        <v>0</v>
      </c>
      <c r="M175" s="31">
        <v>0</v>
      </c>
      <c r="N175" s="31"/>
      <c r="O175" s="190"/>
      <c r="P175" s="12">
        <f>M175*0.65</f>
        <v>0</v>
      </c>
      <c r="Q175" s="12"/>
      <c r="R175" s="190"/>
      <c r="S175" s="405"/>
      <c r="T175" s="406"/>
    </row>
    <row r="177" spans="1:20" ht="11.25">
      <c r="A177" s="430" t="s">
        <v>1</v>
      </c>
      <c r="B177" s="431"/>
      <c r="C177" s="431"/>
      <c r="D177" s="431"/>
      <c r="E177" s="431"/>
      <c r="F177" s="431"/>
      <c r="G177" s="431"/>
      <c r="H177" s="431"/>
      <c r="I177" s="431"/>
      <c r="J177" s="431"/>
      <c r="K177" s="431"/>
      <c r="L177" s="432"/>
      <c r="M177" s="96" t="s">
        <v>44</v>
      </c>
      <c r="N177" s="28" t="s">
        <v>39</v>
      </c>
      <c r="O177" s="211" t="s">
        <v>45</v>
      </c>
      <c r="P177" s="28" t="s">
        <v>46</v>
      </c>
      <c r="Q177" s="28" t="s">
        <v>47</v>
      </c>
      <c r="R177" s="211" t="s">
        <v>41</v>
      </c>
      <c r="S177" s="32" t="s">
        <v>24</v>
      </c>
      <c r="T177" s="33" t="s">
        <v>25</v>
      </c>
    </row>
    <row r="178" spans="1:21" ht="11.25">
      <c r="A178" s="349"/>
      <c r="B178" s="350"/>
      <c r="C178" s="433"/>
      <c r="D178" s="434"/>
      <c r="E178" s="434"/>
      <c r="F178" s="434"/>
      <c r="G178" s="434"/>
      <c r="H178" s="434"/>
      <c r="I178" s="434"/>
      <c r="J178" s="434"/>
      <c r="K178" s="435"/>
      <c r="L178" s="186" t="s">
        <v>12</v>
      </c>
      <c r="M178" s="3">
        <f>200*1000</f>
        <v>200000</v>
      </c>
      <c r="N178" s="3">
        <f>M178*0.2</f>
        <v>40000</v>
      </c>
      <c r="O178" s="212">
        <f>N178+M178</f>
        <v>240000</v>
      </c>
      <c r="P178" s="3">
        <f>M178*0.65</f>
        <v>130000</v>
      </c>
      <c r="Q178" s="3">
        <f>N178*0.65</f>
        <v>26000</v>
      </c>
      <c r="R178" s="218">
        <f>SUM(P178:Q178)</f>
        <v>156000</v>
      </c>
      <c r="S178" s="52"/>
      <c r="T178" s="52"/>
      <c r="U178" s="29"/>
    </row>
    <row r="179" spans="1:21" ht="11.25">
      <c r="A179" s="349"/>
      <c r="B179" s="350"/>
      <c r="C179" s="45"/>
      <c r="D179" s="44"/>
      <c r="E179" s="44"/>
      <c r="F179" s="44"/>
      <c r="G179" s="44"/>
      <c r="H179" s="44"/>
      <c r="I179" s="44"/>
      <c r="J179" s="44"/>
      <c r="K179" s="4"/>
      <c r="L179" s="187" t="s">
        <v>27</v>
      </c>
      <c r="M179" s="13"/>
      <c r="N179" s="13"/>
      <c r="O179" s="214"/>
      <c r="P179" s="13"/>
      <c r="Q179" s="90"/>
      <c r="R179" s="221"/>
      <c r="S179" s="5">
        <f>R179*0.375</f>
        <v>0</v>
      </c>
      <c r="T179" s="5">
        <f>R179-S179</f>
        <v>0</v>
      </c>
      <c r="U179" s="29"/>
    </row>
    <row r="180" spans="1:21" ht="11.25">
      <c r="A180" s="349"/>
      <c r="B180" s="350"/>
      <c r="C180" s="45"/>
      <c r="D180" s="44"/>
      <c r="E180" s="44"/>
      <c r="F180" s="44"/>
      <c r="G180" s="44"/>
      <c r="H180" s="44"/>
      <c r="I180" s="44"/>
      <c r="J180" s="44"/>
      <c r="K180" s="158"/>
      <c r="L180" s="187" t="s">
        <v>28</v>
      </c>
      <c r="M180" s="13"/>
      <c r="N180" s="13"/>
      <c r="O180" s="214"/>
      <c r="P180" s="13"/>
      <c r="Q180" s="90"/>
      <c r="R180" s="221"/>
      <c r="S180" s="53"/>
      <c r="T180" s="5"/>
      <c r="U180" s="29"/>
    </row>
    <row r="181" spans="1:21" ht="11.25">
      <c r="A181" s="349"/>
      <c r="B181" s="350"/>
      <c r="C181" s="45"/>
      <c r="D181" s="44"/>
      <c r="E181" s="44"/>
      <c r="F181" s="44"/>
      <c r="G181" s="44"/>
      <c r="H181" s="44"/>
      <c r="I181" s="44"/>
      <c r="J181" s="44"/>
      <c r="K181" s="46"/>
      <c r="L181" s="193" t="s">
        <v>266</v>
      </c>
      <c r="M181" s="4"/>
      <c r="N181" s="4"/>
      <c r="O181" s="209"/>
      <c r="P181" s="4"/>
      <c r="Q181" s="4"/>
      <c r="R181" s="209"/>
      <c r="S181" s="53">
        <f>P181*0.375</f>
        <v>0</v>
      </c>
      <c r="T181" s="5">
        <f>P181-S181</f>
        <v>0</v>
      </c>
      <c r="U181" s="29"/>
    </row>
    <row r="182" spans="1:21" ht="11.25">
      <c r="A182" s="349"/>
      <c r="B182" s="350"/>
      <c r="C182" s="45"/>
      <c r="D182" s="44"/>
      <c r="E182" s="44"/>
      <c r="F182" s="44"/>
      <c r="G182" s="44"/>
      <c r="H182" s="44"/>
      <c r="I182" s="44"/>
      <c r="J182" s="44"/>
      <c r="K182" s="46"/>
      <c r="L182" s="193" t="s">
        <v>329</v>
      </c>
      <c r="M182" s="4"/>
      <c r="N182" s="4"/>
      <c r="O182" s="209"/>
      <c r="P182" s="4"/>
      <c r="Q182" s="4"/>
      <c r="R182" s="209"/>
      <c r="S182" s="53">
        <f>P182*0.375</f>
        <v>0</v>
      </c>
      <c r="T182" s="5">
        <f>P182-S182</f>
        <v>0</v>
      </c>
      <c r="U182" s="29"/>
    </row>
    <row r="183" spans="1:21" ht="11.25">
      <c r="A183" s="349"/>
      <c r="B183" s="350"/>
      <c r="C183" s="45"/>
      <c r="D183" s="44"/>
      <c r="E183" s="44"/>
      <c r="F183" s="44"/>
      <c r="G183" s="44"/>
      <c r="H183" s="44"/>
      <c r="I183" s="44"/>
      <c r="J183" s="44"/>
      <c r="K183" s="46"/>
      <c r="L183" s="187" t="s">
        <v>352</v>
      </c>
      <c r="M183" s="4"/>
      <c r="N183" s="4"/>
      <c r="O183" s="209"/>
      <c r="P183" s="4"/>
      <c r="Q183" s="4"/>
      <c r="R183" s="209"/>
      <c r="S183" s="53">
        <f>P183*0.375</f>
        <v>0</v>
      </c>
      <c r="T183" s="5">
        <f>P183-S183</f>
        <v>0</v>
      </c>
      <c r="U183" s="29"/>
    </row>
    <row r="184" spans="1:21" ht="11.25">
      <c r="A184" s="349"/>
      <c r="B184" s="350"/>
      <c r="C184" s="45"/>
      <c r="D184" s="44"/>
      <c r="E184" s="44"/>
      <c r="F184" s="44"/>
      <c r="G184" s="44"/>
      <c r="H184" s="44"/>
      <c r="I184" s="44"/>
      <c r="J184" s="44"/>
      <c r="K184" s="46"/>
      <c r="L184" s="187" t="s">
        <v>565</v>
      </c>
      <c r="M184" s="4"/>
      <c r="N184" s="4"/>
      <c r="O184" s="209"/>
      <c r="P184" s="4"/>
      <c r="Q184" s="4"/>
      <c r="R184" s="209"/>
      <c r="S184" s="53">
        <f>P184*0.375</f>
        <v>0</v>
      </c>
      <c r="T184" s="5">
        <f>P184-S184</f>
        <v>0</v>
      </c>
      <c r="U184" s="29"/>
    </row>
    <row r="185" spans="1:21" ht="11.25">
      <c r="A185" s="349"/>
      <c r="B185" s="350"/>
      <c r="C185" s="45"/>
      <c r="D185" s="44"/>
      <c r="E185" s="44"/>
      <c r="F185" s="44"/>
      <c r="G185" s="44"/>
      <c r="H185" s="44"/>
      <c r="I185" s="44"/>
      <c r="J185" s="44"/>
      <c r="K185" s="46"/>
      <c r="L185" s="187" t="s">
        <v>588</v>
      </c>
      <c r="M185" s="4"/>
      <c r="N185" s="4"/>
      <c r="O185" s="209"/>
      <c r="P185" s="4"/>
      <c r="Q185" s="4"/>
      <c r="R185" s="209"/>
      <c r="S185" s="53">
        <f>P185*0.375</f>
        <v>0</v>
      </c>
      <c r="T185" s="5">
        <f>P185-S185</f>
        <v>0</v>
      </c>
      <c r="U185" s="29"/>
    </row>
    <row r="186" spans="1:21" ht="11.25">
      <c r="A186" s="349"/>
      <c r="B186" s="350"/>
      <c r="C186" s="45"/>
      <c r="D186" s="44"/>
      <c r="E186" s="44"/>
      <c r="F186" s="44"/>
      <c r="G186" s="44"/>
      <c r="H186" s="44"/>
      <c r="I186" s="44"/>
      <c r="J186" s="44"/>
      <c r="K186" s="46"/>
      <c r="L186" s="187" t="s">
        <v>695</v>
      </c>
      <c r="M186" s="4">
        <f>+M190</f>
        <v>270.09</v>
      </c>
      <c r="N186" s="4"/>
      <c r="O186" s="209">
        <f>+N186+M186</f>
        <v>270.09</v>
      </c>
      <c r="P186" s="4">
        <f>+P190</f>
        <v>175.55849999999998</v>
      </c>
      <c r="Q186" s="4"/>
      <c r="R186" s="209">
        <f>+Q186+P186</f>
        <v>175.55849999999998</v>
      </c>
      <c r="S186" s="53">
        <f>R186*0.375</f>
        <v>65.83443749999999</v>
      </c>
      <c r="T186" s="5">
        <f>R186-S186</f>
        <v>109.72406249999999</v>
      </c>
      <c r="U186" s="1">
        <f>+M186*0.65-P186</f>
        <v>0</v>
      </c>
    </row>
    <row r="187" spans="1:21" ht="11.25">
      <c r="A187" s="349"/>
      <c r="B187" s="350"/>
      <c r="C187" s="45"/>
      <c r="D187" s="44"/>
      <c r="E187" s="44"/>
      <c r="F187" s="44"/>
      <c r="G187" s="44"/>
      <c r="H187" s="44"/>
      <c r="I187" s="44"/>
      <c r="J187" s="44"/>
      <c r="K187" s="46"/>
      <c r="L187" s="187" t="s">
        <v>843</v>
      </c>
      <c r="M187" s="4">
        <f>SUM(M191:M198)</f>
        <v>80320.2</v>
      </c>
      <c r="N187" s="4">
        <f>SUM(N191:N198)</f>
        <v>0</v>
      </c>
      <c r="O187" s="209">
        <f>+N187+M187</f>
        <v>80320.2</v>
      </c>
      <c r="P187" s="4">
        <f>SUM(P191:P198)</f>
        <v>52208.130000000005</v>
      </c>
      <c r="Q187" s="4">
        <f>SUM(Q191:Q198)</f>
        <v>0</v>
      </c>
      <c r="R187" s="209">
        <f>+Q187+P187</f>
        <v>52208.130000000005</v>
      </c>
      <c r="S187" s="53">
        <f>R187*0.375</f>
        <v>19578.04875</v>
      </c>
      <c r="T187" s="5">
        <f>R187-S187</f>
        <v>32630.081250000003</v>
      </c>
      <c r="U187" s="1"/>
    </row>
    <row r="188" spans="1:21" ht="11.25">
      <c r="A188" s="326"/>
      <c r="B188" s="327"/>
      <c r="C188" s="331"/>
      <c r="D188" s="332"/>
      <c r="E188" s="332"/>
      <c r="F188" s="332"/>
      <c r="G188" s="332"/>
      <c r="H188" s="332"/>
      <c r="I188" s="332"/>
      <c r="J188" s="332"/>
      <c r="K188" s="333"/>
      <c r="L188" s="188" t="s">
        <v>13</v>
      </c>
      <c r="M188" s="6">
        <f>M178-M179-M180-M181-M182-M183-M184-M185-M186-M187</f>
        <v>119409.71</v>
      </c>
      <c r="N188" s="6">
        <f>N178-N179-N180-N181-N182</f>
        <v>40000</v>
      </c>
      <c r="O188" s="210">
        <f>O178-O179-O180-O181-O182</f>
        <v>240000</v>
      </c>
      <c r="P188" s="6">
        <f>P178-P179-P180-P181-P182</f>
        <v>130000</v>
      </c>
      <c r="Q188" s="6">
        <f>Q178-Q179-Q180-Q181-Q182</f>
        <v>26000</v>
      </c>
      <c r="R188" s="210">
        <f>R178-R179-R180-R181-R182</f>
        <v>156000</v>
      </c>
      <c r="S188" s="54"/>
      <c r="T188" s="1"/>
      <c r="U188" s="29"/>
    </row>
    <row r="189" spans="1:20" ht="22.5">
      <c r="A189" s="7" t="s">
        <v>14</v>
      </c>
      <c r="B189" s="7" t="s">
        <v>11</v>
      </c>
      <c r="C189" s="34" t="s">
        <v>23</v>
      </c>
      <c r="D189" s="34" t="s">
        <v>19</v>
      </c>
      <c r="E189" s="42" t="s">
        <v>2</v>
      </c>
      <c r="F189" s="34" t="s">
        <v>18</v>
      </c>
      <c r="G189" s="34" t="s">
        <v>17</v>
      </c>
      <c r="H189" s="42" t="s">
        <v>16</v>
      </c>
      <c r="I189" s="42" t="s">
        <v>15</v>
      </c>
      <c r="J189" s="34" t="s">
        <v>3</v>
      </c>
      <c r="K189" s="34" t="s">
        <v>4</v>
      </c>
      <c r="L189" s="185" t="s">
        <v>5</v>
      </c>
      <c r="M189" s="7" t="s">
        <v>20</v>
      </c>
      <c r="N189" s="7" t="s">
        <v>39</v>
      </c>
      <c r="O189" s="185" t="s">
        <v>42</v>
      </c>
      <c r="P189" s="7" t="s">
        <v>21</v>
      </c>
      <c r="Q189" s="27" t="s">
        <v>40</v>
      </c>
      <c r="R189" s="217" t="s">
        <v>41</v>
      </c>
      <c r="S189" s="418" t="s">
        <v>26</v>
      </c>
      <c r="T189" s="418"/>
    </row>
    <row r="190" spans="1:20" ht="22.5">
      <c r="A190" s="61" t="s">
        <v>644</v>
      </c>
      <c r="B190" s="7"/>
      <c r="C190" s="9" t="s">
        <v>151</v>
      </c>
      <c r="D190" s="164" t="s">
        <v>664</v>
      </c>
      <c r="E190" s="152" t="s">
        <v>665</v>
      </c>
      <c r="F190" s="165" t="s">
        <v>666</v>
      </c>
      <c r="G190" s="166">
        <v>39069</v>
      </c>
      <c r="H190" s="166">
        <v>39069</v>
      </c>
      <c r="I190" s="167" t="s">
        <v>667</v>
      </c>
      <c r="J190" s="246">
        <v>270.09</v>
      </c>
      <c r="K190" s="246"/>
      <c r="L190" s="247">
        <v>270.09</v>
      </c>
      <c r="M190" s="246">
        <v>270.09</v>
      </c>
      <c r="N190" s="12"/>
      <c r="O190" s="190">
        <f>+N190+M190</f>
        <v>270.09</v>
      </c>
      <c r="P190" s="12">
        <f>M190*0.65</f>
        <v>175.55849999999998</v>
      </c>
      <c r="Q190" s="12">
        <f>N190*0.65</f>
        <v>0</v>
      </c>
      <c r="R190" s="220">
        <f>SUM(P190:Q190)</f>
        <v>175.55849999999998</v>
      </c>
      <c r="S190" s="160"/>
      <c r="T190" s="162"/>
    </row>
    <row r="191" spans="1:20" ht="22.5">
      <c r="A191" s="61" t="s">
        <v>710</v>
      </c>
      <c r="B191" s="7"/>
      <c r="C191" s="9" t="s">
        <v>151</v>
      </c>
      <c r="D191" s="164" t="s">
        <v>764</v>
      </c>
      <c r="E191" s="152" t="s">
        <v>765</v>
      </c>
      <c r="F191" s="165" t="s">
        <v>766</v>
      </c>
      <c r="G191" s="166">
        <v>39533</v>
      </c>
      <c r="H191" s="166"/>
      <c r="I191" s="167"/>
      <c r="J191" s="246">
        <v>120000</v>
      </c>
      <c r="K191" s="246">
        <v>24000</v>
      </c>
      <c r="L191" s="247">
        <v>144000</v>
      </c>
      <c r="M191" s="246"/>
      <c r="N191" s="12"/>
      <c r="O191" s="190"/>
      <c r="P191" s="12"/>
      <c r="Q191" s="12"/>
      <c r="R191" s="220"/>
      <c r="S191" s="343" t="s">
        <v>717</v>
      </c>
      <c r="T191" s="344"/>
    </row>
    <row r="192" spans="1:20" ht="22.5">
      <c r="A192" s="61" t="s">
        <v>710</v>
      </c>
      <c r="B192" s="7"/>
      <c r="C192" s="9" t="s">
        <v>151</v>
      </c>
      <c r="D192" s="164" t="s">
        <v>767</v>
      </c>
      <c r="E192" s="152"/>
      <c r="F192" s="165"/>
      <c r="G192" s="166"/>
      <c r="H192" s="166" t="s">
        <v>768</v>
      </c>
      <c r="I192" s="167" t="s">
        <v>769</v>
      </c>
      <c r="J192" s="246">
        <v>50000</v>
      </c>
      <c r="K192" s="246">
        <v>10000</v>
      </c>
      <c r="L192" s="247"/>
      <c r="M192" s="246"/>
      <c r="N192" s="12"/>
      <c r="O192" s="190"/>
      <c r="P192" s="12"/>
      <c r="Q192" s="12"/>
      <c r="R192" s="220"/>
      <c r="S192" s="343" t="s">
        <v>717</v>
      </c>
      <c r="T192" s="344"/>
    </row>
    <row r="193" spans="1:20" ht="22.5">
      <c r="A193" s="61" t="s">
        <v>710</v>
      </c>
      <c r="B193" s="7"/>
      <c r="C193" s="9" t="s">
        <v>151</v>
      </c>
      <c r="D193" s="164" t="s">
        <v>770</v>
      </c>
      <c r="E193" s="152" t="s">
        <v>771</v>
      </c>
      <c r="F193" s="165" t="s">
        <v>772</v>
      </c>
      <c r="G193" s="166">
        <v>39213</v>
      </c>
      <c r="H193" s="166" t="s">
        <v>773</v>
      </c>
      <c r="I193" s="167" t="s">
        <v>69</v>
      </c>
      <c r="J193" s="246">
        <v>11800</v>
      </c>
      <c r="K193" s="246"/>
      <c r="L193" s="247">
        <v>11800</v>
      </c>
      <c r="M193" s="246">
        <v>11800</v>
      </c>
      <c r="N193" s="12"/>
      <c r="O193" s="190">
        <f aca="true" t="shared" si="73" ref="O193:O198">+N193+M193</f>
        <v>11800</v>
      </c>
      <c r="P193" s="12">
        <f aca="true" t="shared" si="74" ref="P193:Q198">M193*0.65</f>
        <v>7670</v>
      </c>
      <c r="Q193" s="12">
        <f t="shared" si="74"/>
        <v>0</v>
      </c>
      <c r="R193" s="220">
        <f aca="true" t="shared" si="75" ref="R193:R198">SUM(P193:Q193)</f>
        <v>7670</v>
      </c>
      <c r="S193" s="343" t="s">
        <v>717</v>
      </c>
      <c r="T193" s="344"/>
    </row>
    <row r="194" spans="1:20" ht="33.75">
      <c r="A194" s="61" t="s">
        <v>710</v>
      </c>
      <c r="B194" s="7"/>
      <c r="C194" s="9" t="s">
        <v>151</v>
      </c>
      <c r="D194" s="164" t="s">
        <v>774</v>
      </c>
      <c r="E194" s="152" t="s">
        <v>775</v>
      </c>
      <c r="F194" s="165" t="s">
        <v>772</v>
      </c>
      <c r="G194" s="166">
        <v>39528</v>
      </c>
      <c r="H194" s="166">
        <v>39625</v>
      </c>
      <c r="I194" s="167" t="s">
        <v>69</v>
      </c>
      <c r="J194" s="246">
        <v>20000</v>
      </c>
      <c r="K194" s="246"/>
      <c r="L194" s="247">
        <v>20000</v>
      </c>
      <c r="M194" s="246">
        <v>20000</v>
      </c>
      <c r="N194" s="12"/>
      <c r="O194" s="190">
        <f t="shared" si="73"/>
        <v>20000</v>
      </c>
      <c r="P194" s="12">
        <f t="shared" si="74"/>
        <v>13000</v>
      </c>
      <c r="Q194" s="12">
        <f t="shared" si="74"/>
        <v>0</v>
      </c>
      <c r="R194" s="220">
        <f t="shared" si="75"/>
        <v>13000</v>
      </c>
      <c r="S194" s="343" t="s">
        <v>717</v>
      </c>
      <c r="T194" s="344"/>
    </row>
    <row r="195" spans="1:20" ht="33.75">
      <c r="A195" s="61" t="s">
        <v>710</v>
      </c>
      <c r="B195" s="7"/>
      <c r="C195" s="9" t="s">
        <v>151</v>
      </c>
      <c r="D195" s="164" t="s">
        <v>774</v>
      </c>
      <c r="E195" s="152" t="s">
        <v>776</v>
      </c>
      <c r="F195" s="165" t="s">
        <v>772</v>
      </c>
      <c r="G195" s="166">
        <v>39528</v>
      </c>
      <c r="H195" s="166">
        <v>39625</v>
      </c>
      <c r="I195" s="167" t="s">
        <v>69</v>
      </c>
      <c r="J195" s="246">
        <v>2000</v>
      </c>
      <c r="K195" s="246"/>
      <c r="L195" s="247">
        <v>2000</v>
      </c>
      <c r="M195" s="246">
        <v>2000</v>
      </c>
      <c r="N195" s="12"/>
      <c r="O195" s="190">
        <f t="shared" si="73"/>
        <v>2000</v>
      </c>
      <c r="P195" s="12">
        <f t="shared" si="74"/>
        <v>1300</v>
      </c>
      <c r="Q195" s="12">
        <f t="shared" si="74"/>
        <v>0</v>
      </c>
      <c r="R195" s="220">
        <f t="shared" si="75"/>
        <v>1300</v>
      </c>
      <c r="S195" s="343" t="s">
        <v>717</v>
      </c>
      <c r="T195" s="344"/>
    </row>
    <row r="196" spans="1:20" ht="33.75">
      <c r="A196" s="61" t="s">
        <v>710</v>
      </c>
      <c r="B196" s="7"/>
      <c r="C196" s="9" t="s">
        <v>151</v>
      </c>
      <c r="D196" s="164" t="s">
        <v>774</v>
      </c>
      <c r="E196" s="152" t="s">
        <v>777</v>
      </c>
      <c r="F196" s="165" t="s">
        <v>772</v>
      </c>
      <c r="G196" s="166">
        <v>39528</v>
      </c>
      <c r="H196" s="166">
        <v>39625</v>
      </c>
      <c r="I196" s="167" t="s">
        <v>69</v>
      </c>
      <c r="J196" s="246">
        <v>5000</v>
      </c>
      <c r="K196" s="246"/>
      <c r="L196" s="247">
        <v>5000</v>
      </c>
      <c r="M196" s="246">
        <v>5000</v>
      </c>
      <c r="N196" s="12"/>
      <c r="O196" s="190">
        <f t="shared" si="73"/>
        <v>5000</v>
      </c>
      <c r="P196" s="12">
        <f t="shared" si="74"/>
        <v>3250</v>
      </c>
      <c r="Q196" s="12">
        <f t="shared" si="74"/>
        <v>0</v>
      </c>
      <c r="R196" s="220">
        <f t="shared" si="75"/>
        <v>3250</v>
      </c>
      <c r="S196" s="343" t="s">
        <v>717</v>
      </c>
      <c r="T196" s="344"/>
    </row>
    <row r="197" spans="1:20" ht="11.25">
      <c r="A197" s="61" t="s">
        <v>710</v>
      </c>
      <c r="B197" s="7"/>
      <c r="C197" s="9" t="s">
        <v>151</v>
      </c>
      <c r="D197" s="164" t="s">
        <v>778</v>
      </c>
      <c r="E197" s="152" t="s">
        <v>779</v>
      </c>
      <c r="F197" s="165" t="s">
        <v>780</v>
      </c>
      <c r="G197" s="166">
        <v>39667</v>
      </c>
      <c r="H197" s="166">
        <v>39672</v>
      </c>
      <c r="I197" s="167" t="s">
        <v>69</v>
      </c>
      <c r="J197" s="246">
        <v>5000</v>
      </c>
      <c r="K197" s="246">
        <v>1020.2</v>
      </c>
      <c r="L197" s="247">
        <v>6120.2</v>
      </c>
      <c r="M197" s="246">
        <v>6120.2</v>
      </c>
      <c r="N197" s="12"/>
      <c r="O197" s="190">
        <f t="shared" si="73"/>
        <v>6120.2</v>
      </c>
      <c r="P197" s="12">
        <f t="shared" si="74"/>
        <v>3978.13</v>
      </c>
      <c r="Q197" s="12">
        <f t="shared" si="74"/>
        <v>0</v>
      </c>
      <c r="R197" s="220">
        <f t="shared" si="75"/>
        <v>3978.13</v>
      </c>
      <c r="S197" s="343" t="s">
        <v>717</v>
      </c>
      <c r="T197" s="344"/>
    </row>
    <row r="198" spans="1:20" ht="22.5">
      <c r="A198" s="61" t="s">
        <v>710</v>
      </c>
      <c r="B198" s="7"/>
      <c r="C198" s="9" t="s">
        <v>151</v>
      </c>
      <c r="D198" s="164" t="s">
        <v>781</v>
      </c>
      <c r="E198" s="152" t="s">
        <v>782</v>
      </c>
      <c r="F198" s="165" t="s">
        <v>783</v>
      </c>
      <c r="G198" s="166">
        <v>39288</v>
      </c>
      <c r="H198" s="166" t="s">
        <v>784</v>
      </c>
      <c r="I198" s="167" t="s">
        <v>785</v>
      </c>
      <c r="J198" s="246">
        <v>29500</v>
      </c>
      <c r="K198" s="246">
        <v>5900</v>
      </c>
      <c r="L198" s="247">
        <v>35400</v>
      </c>
      <c r="M198" s="246">
        <v>35400</v>
      </c>
      <c r="N198" s="12"/>
      <c r="O198" s="190">
        <f t="shared" si="73"/>
        <v>35400</v>
      </c>
      <c r="P198" s="12">
        <f t="shared" si="74"/>
        <v>23010</v>
      </c>
      <c r="Q198" s="12">
        <f t="shared" si="74"/>
        <v>0</v>
      </c>
      <c r="R198" s="220">
        <f t="shared" si="75"/>
        <v>23010</v>
      </c>
      <c r="S198" s="343" t="s">
        <v>717</v>
      </c>
      <c r="T198" s="344"/>
    </row>
    <row r="199" spans="1:20" ht="11.25">
      <c r="A199" s="61"/>
      <c r="B199" s="7"/>
      <c r="C199" s="9"/>
      <c r="D199" s="164"/>
      <c r="E199" s="152"/>
      <c r="F199" s="165"/>
      <c r="G199" s="166"/>
      <c r="H199" s="166"/>
      <c r="I199" s="167"/>
      <c r="J199" s="246"/>
      <c r="K199" s="246"/>
      <c r="L199" s="247"/>
      <c r="M199" s="246"/>
      <c r="N199" s="12"/>
      <c r="O199" s="190"/>
      <c r="P199" s="12"/>
      <c r="Q199" s="12"/>
      <c r="R199" s="220"/>
      <c r="S199" s="160"/>
      <c r="T199" s="162"/>
    </row>
    <row r="200" spans="1:20" ht="11.25">
      <c r="A200" s="61"/>
      <c r="B200" s="7"/>
      <c r="C200" s="9"/>
      <c r="D200" s="164"/>
      <c r="E200" s="152"/>
      <c r="F200" s="165"/>
      <c r="G200" s="166"/>
      <c r="H200" s="166"/>
      <c r="I200" s="167"/>
      <c r="J200" s="246"/>
      <c r="K200" s="246"/>
      <c r="L200" s="247"/>
      <c r="M200" s="246"/>
      <c r="N200" s="12"/>
      <c r="O200" s="190"/>
      <c r="P200" s="12"/>
      <c r="Q200" s="12"/>
      <c r="R200" s="220"/>
      <c r="S200" s="160"/>
      <c r="T200" s="162"/>
    </row>
    <row r="201" spans="1:20" ht="11.25">
      <c r="A201" s="61"/>
      <c r="B201" s="7"/>
      <c r="C201" s="9"/>
      <c r="D201" s="164"/>
      <c r="E201" s="152"/>
      <c r="F201" s="165"/>
      <c r="G201" s="166"/>
      <c r="H201" s="166"/>
      <c r="I201" s="167"/>
      <c r="J201" s="246"/>
      <c r="K201" s="246"/>
      <c r="L201" s="247"/>
      <c r="M201" s="246"/>
      <c r="N201" s="12"/>
      <c r="O201" s="190"/>
      <c r="P201" s="12"/>
      <c r="Q201" s="12"/>
      <c r="R201" s="220"/>
      <c r="S201" s="160"/>
      <c r="T201" s="162"/>
    </row>
    <row r="202" spans="1:20" ht="11.25">
      <c r="A202" s="61"/>
      <c r="B202" s="7"/>
      <c r="C202" s="9"/>
      <c r="D202" s="164"/>
      <c r="E202" s="152"/>
      <c r="F202" s="165"/>
      <c r="G202" s="166"/>
      <c r="H202" s="166"/>
      <c r="I202" s="167"/>
      <c r="J202" s="246"/>
      <c r="K202" s="246"/>
      <c r="L202" s="247"/>
      <c r="M202" s="246"/>
      <c r="N202" s="12"/>
      <c r="O202" s="190"/>
      <c r="P202" s="12"/>
      <c r="Q202" s="12"/>
      <c r="R202" s="220"/>
      <c r="S202" s="160"/>
      <c r="T202" s="162"/>
    </row>
    <row r="203" spans="1:20" ht="11.25">
      <c r="A203" s="61"/>
      <c r="B203" s="8"/>
      <c r="C203" s="14"/>
      <c r="D203" s="164"/>
      <c r="E203" s="152"/>
      <c r="F203" s="165"/>
      <c r="G203" s="166"/>
      <c r="H203" s="166"/>
      <c r="I203" s="167"/>
      <c r="J203" s="168"/>
      <c r="K203" s="168"/>
      <c r="L203" s="197"/>
      <c r="M203" s="12"/>
      <c r="N203" s="12"/>
      <c r="O203" s="190"/>
      <c r="P203" s="12"/>
      <c r="Q203" s="12"/>
      <c r="R203" s="213"/>
      <c r="S203" s="160"/>
      <c r="T203" s="162"/>
    </row>
    <row r="205" spans="1:20" ht="11.25">
      <c r="A205" s="430" t="s">
        <v>8</v>
      </c>
      <c r="B205" s="431"/>
      <c r="C205" s="431"/>
      <c r="D205" s="431"/>
      <c r="E205" s="431"/>
      <c r="F205" s="431"/>
      <c r="G205" s="431"/>
      <c r="H205" s="431"/>
      <c r="I205" s="431"/>
      <c r="J205" s="431"/>
      <c r="K205" s="431"/>
      <c r="L205" s="432"/>
      <c r="M205" s="96" t="s">
        <v>44</v>
      </c>
      <c r="N205" s="28" t="s">
        <v>39</v>
      </c>
      <c r="O205" s="211" t="s">
        <v>45</v>
      </c>
      <c r="P205" s="28" t="s">
        <v>46</v>
      </c>
      <c r="Q205" s="28" t="s">
        <v>47</v>
      </c>
      <c r="R205" s="211" t="s">
        <v>41</v>
      </c>
      <c r="S205" s="32" t="s">
        <v>24</v>
      </c>
      <c r="T205" s="33" t="s">
        <v>25</v>
      </c>
    </row>
    <row r="206" spans="1:21" ht="11.25">
      <c r="A206" s="349"/>
      <c r="B206" s="350"/>
      <c r="C206" s="433"/>
      <c r="D206" s="434"/>
      <c r="E206" s="434"/>
      <c r="F206" s="434"/>
      <c r="G206" s="434"/>
      <c r="H206" s="434"/>
      <c r="I206" s="434"/>
      <c r="J206" s="434"/>
      <c r="K206" s="435"/>
      <c r="L206" s="198" t="s">
        <v>12</v>
      </c>
      <c r="M206" s="3">
        <f>50*1000</f>
        <v>50000</v>
      </c>
      <c r="N206" s="3"/>
      <c r="O206" s="212"/>
      <c r="P206" s="3"/>
      <c r="Q206" s="3"/>
      <c r="R206" s="218"/>
      <c r="S206" s="52"/>
      <c r="T206" s="52"/>
      <c r="U206" s="29"/>
    </row>
    <row r="207" spans="1:21" ht="11.25">
      <c r="A207" s="349"/>
      <c r="B207" s="350"/>
      <c r="C207" s="45"/>
      <c r="D207" s="44"/>
      <c r="E207" s="44"/>
      <c r="F207" s="44"/>
      <c r="G207" s="44"/>
      <c r="H207" s="44"/>
      <c r="I207" s="44"/>
      <c r="J207" s="44"/>
      <c r="K207" s="4"/>
      <c r="L207" s="187" t="s">
        <v>27</v>
      </c>
      <c r="M207" s="4">
        <f aca="true" t="shared" si="76" ref="M207:R207">SUM(M218)</f>
        <v>5150</v>
      </c>
      <c r="N207" s="4">
        <f t="shared" si="76"/>
        <v>0</v>
      </c>
      <c r="O207" s="209">
        <f t="shared" si="76"/>
        <v>5150</v>
      </c>
      <c r="P207" s="4">
        <f t="shared" si="76"/>
        <v>3347.5</v>
      </c>
      <c r="Q207" s="4">
        <f t="shared" si="76"/>
        <v>0</v>
      </c>
      <c r="R207" s="209">
        <f t="shared" si="76"/>
        <v>3347.5</v>
      </c>
      <c r="S207" s="5">
        <f aca="true" t="shared" si="77" ref="S207:S215">R207*0.375</f>
        <v>1255.3125</v>
      </c>
      <c r="T207" s="5">
        <f aca="true" t="shared" si="78" ref="T207:T212">R207-S207</f>
        <v>2092.1875</v>
      </c>
      <c r="U207" s="29"/>
    </row>
    <row r="208" spans="1:21" ht="11.25">
      <c r="A208" s="349"/>
      <c r="B208" s="350"/>
      <c r="C208" s="45"/>
      <c r="D208" s="44"/>
      <c r="E208" s="44"/>
      <c r="F208" s="44"/>
      <c r="G208" s="44"/>
      <c r="H208" s="44"/>
      <c r="I208" s="44"/>
      <c r="J208" s="44"/>
      <c r="K208" s="46"/>
      <c r="L208" s="193" t="s">
        <v>28</v>
      </c>
      <c r="M208" s="4">
        <f aca="true" t="shared" si="79" ref="M208:R208">SUM(M219:M222)</f>
        <v>10915.2</v>
      </c>
      <c r="N208" s="4">
        <f t="shared" si="79"/>
        <v>0</v>
      </c>
      <c r="O208" s="209">
        <f t="shared" si="79"/>
        <v>10915.2</v>
      </c>
      <c r="P208" s="4">
        <f t="shared" si="79"/>
        <v>7094.88</v>
      </c>
      <c r="Q208" s="4">
        <f t="shared" si="79"/>
        <v>0</v>
      </c>
      <c r="R208" s="209">
        <f t="shared" si="79"/>
        <v>7094.88</v>
      </c>
      <c r="S208" s="5">
        <f t="shared" si="77"/>
        <v>2660.58</v>
      </c>
      <c r="T208" s="5">
        <f t="shared" si="78"/>
        <v>4434.3</v>
      </c>
      <c r="U208" s="29"/>
    </row>
    <row r="209" spans="1:21" ht="11.25">
      <c r="A209" s="349"/>
      <c r="B209" s="350"/>
      <c r="C209" s="45"/>
      <c r="D209" s="44"/>
      <c r="E209" s="44"/>
      <c r="F209" s="44"/>
      <c r="G209" s="44"/>
      <c r="H209" s="44"/>
      <c r="I209" s="44"/>
      <c r="J209" s="44"/>
      <c r="K209" s="46"/>
      <c r="L209" s="187" t="s">
        <v>266</v>
      </c>
      <c r="M209" s="4">
        <f aca="true" t="shared" si="80" ref="M209:R209">SUM(M223:M226)</f>
        <v>11567.5</v>
      </c>
      <c r="N209" s="4">
        <f t="shared" si="80"/>
        <v>0</v>
      </c>
      <c r="O209" s="209">
        <f t="shared" si="80"/>
        <v>11567.5</v>
      </c>
      <c r="P209" s="4">
        <f t="shared" si="80"/>
        <v>7518.875</v>
      </c>
      <c r="Q209" s="4">
        <f t="shared" si="80"/>
        <v>0</v>
      </c>
      <c r="R209" s="209">
        <f t="shared" si="80"/>
        <v>7518.875</v>
      </c>
      <c r="S209" s="5">
        <f t="shared" si="77"/>
        <v>2819.578125</v>
      </c>
      <c r="T209" s="5">
        <f t="shared" si="78"/>
        <v>4699.296875</v>
      </c>
      <c r="U209" s="29"/>
    </row>
    <row r="210" spans="1:21" ht="11.25">
      <c r="A210" s="349"/>
      <c r="B210" s="350"/>
      <c r="C210" s="45"/>
      <c r="D210" s="44"/>
      <c r="E210" s="44"/>
      <c r="F210" s="44"/>
      <c r="G210" s="44"/>
      <c r="H210" s="44"/>
      <c r="I210" s="44"/>
      <c r="J210" s="44"/>
      <c r="K210" s="46"/>
      <c r="L210" s="187" t="s">
        <v>329</v>
      </c>
      <c r="M210" s="4"/>
      <c r="N210" s="4"/>
      <c r="O210" s="209"/>
      <c r="P210" s="4"/>
      <c r="Q210" s="4"/>
      <c r="R210" s="209"/>
      <c r="S210" s="5">
        <f t="shared" si="77"/>
        <v>0</v>
      </c>
      <c r="T210" s="5">
        <f t="shared" si="78"/>
        <v>0</v>
      </c>
      <c r="U210" s="29"/>
    </row>
    <row r="211" spans="1:21" ht="11.25">
      <c r="A211" s="349"/>
      <c r="B211" s="350"/>
      <c r="C211" s="45"/>
      <c r="D211" s="44"/>
      <c r="E211" s="44"/>
      <c r="F211" s="44"/>
      <c r="G211" s="44"/>
      <c r="H211" s="44"/>
      <c r="I211" s="44"/>
      <c r="J211" s="44"/>
      <c r="K211" s="46"/>
      <c r="L211" s="187" t="s">
        <v>352</v>
      </c>
      <c r="M211" s="4">
        <f aca="true" t="shared" si="81" ref="M211:R211">SUM(M227:M229)</f>
        <v>3812.5499999999997</v>
      </c>
      <c r="N211" s="4">
        <f t="shared" si="81"/>
        <v>0</v>
      </c>
      <c r="O211" s="209">
        <f t="shared" si="81"/>
        <v>3812.5499999999997</v>
      </c>
      <c r="P211" s="4">
        <f t="shared" si="81"/>
        <v>2478.1575</v>
      </c>
      <c r="Q211" s="4">
        <f t="shared" si="81"/>
        <v>0</v>
      </c>
      <c r="R211" s="209">
        <f t="shared" si="81"/>
        <v>2478.1575</v>
      </c>
      <c r="S211" s="5">
        <f t="shared" si="77"/>
        <v>929.3090625</v>
      </c>
      <c r="T211" s="5">
        <f t="shared" si="78"/>
        <v>1548.8484374999998</v>
      </c>
      <c r="U211" s="29"/>
    </row>
    <row r="212" spans="1:21" ht="11.25">
      <c r="A212" s="349"/>
      <c r="B212" s="350"/>
      <c r="C212" s="45"/>
      <c r="D212" s="44"/>
      <c r="E212" s="44"/>
      <c r="F212" s="44"/>
      <c r="G212" s="44"/>
      <c r="H212" s="44"/>
      <c r="I212" s="44"/>
      <c r="J212" s="44"/>
      <c r="K212" s="46"/>
      <c r="L212" s="187" t="s">
        <v>565</v>
      </c>
      <c r="M212" s="4"/>
      <c r="N212" s="4"/>
      <c r="O212" s="209"/>
      <c r="P212" s="4"/>
      <c r="Q212" s="4"/>
      <c r="R212" s="209"/>
      <c r="S212" s="5">
        <f t="shared" si="77"/>
        <v>0</v>
      </c>
      <c r="T212" s="5">
        <f t="shared" si="78"/>
        <v>0</v>
      </c>
      <c r="U212" s="29"/>
    </row>
    <row r="213" spans="1:21" ht="11.25">
      <c r="A213" s="349"/>
      <c r="B213" s="350"/>
      <c r="C213" s="45"/>
      <c r="D213" s="44"/>
      <c r="E213" s="44"/>
      <c r="F213" s="44"/>
      <c r="G213" s="44"/>
      <c r="H213" s="44"/>
      <c r="I213" s="44"/>
      <c r="J213" s="44"/>
      <c r="K213" s="46"/>
      <c r="L213" s="187" t="s">
        <v>588</v>
      </c>
      <c r="M213" s="4">
        <f>+M230</f>
        <v>10350</v>
      </c>
      <c r="N213" s="4">
        <f>+N230</f>
        <v>0</v>
      </c>
      <c r="O213" s="209">
        <f>+N213+M213</f>
        <v>10350</v>
      </c>
      <c r="P213" s="4">
        <f>+P230</f>
        <v>6727.5</v>
      </c>
      <c r="Q213" s="4">
        <f>+Q230</f>
        <v>0</v>
      </c>
      <c r="R213" s="209">
        <f>+Q213+P213</f>
        <v>6727.5</v>
      </c>
      <c r="S213" s="5">
        <f t="shared" si="77"/>
        <v>2522.8125</v>
      </c>
      <c r="T213" s="5">
        <f>R213-S213</f>
        <v>4204.6875</v>
      </c>
      <c r="U213" s="29"/>
    </row>
    <row r="214" spans="1:21" ht="11.25">
      <c r="A214" s="349"/>
      <c r="B214" s="350"/>
      <c r="C214" s="45"/>
      <c r="D214" s="44"/>
      <c r="E214" s="44"/>
      <c r="F214" s="44"/>
      <c r="G214" s="44"/>
      <c r="H214" s="44"/>
      <c r="I214" s="44"/>
      <c r="J214" s="44"/>
      <c r="K214" s="46"/>
      <c r="L214" s="187" t="s">
        <v>695</v>
      </c>
      <c r="M214" s="4"/>
      <c r="N214" s="4"/>
      <c r="O214" s="209"/>
      <c r="P214" s="4"/>
      <c r="Q214" s="4"/>
      <c r="R214" s="209"/>
      <c r="S214" s="5">
        <f t="shared" si="77"/>
        <v>0</v>
      </c>
      <c r="T214" s="5">
        <f>R214-S214</f>
        <v>0</v>
      </c>
      <c r="U214" s="29"/>
    </row>
    <row r="215" spans="1:21" ht="11.25">
      <c r="A215" s="349"/>
      <c r="B215" s="350"/>
      <c r="C215" s="45"/>
      <c r="D215" s="44"/>
      <c r="E215" s="44"/>
      <c r="F215" s="44"/>
      <c r="G215" s="44"/>
      <c r="H215" s="44"/>
      <c r="I215" s="44"/>
      <c r="J215" s="44"/>
      <c r="K215" s="46"/>
      <c r="L215" s="187" t="s">
        <v>843</v>
      </c>
      <c r="M215" s="4">
        <f>SUM(M231:M233)</f>
        <v>2825</v>
      </c>
      <c r="N215" s="4">
        <f>SUM(N231:N233)</f>
        <v>0</v>
      </c>
      <c r="O215" s="209">
        <f>+N215+M215</f>
        <v>2825</v>
      </c>
      <c r="P215" s="4">
        <f>SUM(P231:P233)</f>
        <v>1836.25</v>
      </c>
      <c r="Q215" s="4">
        <f>SUM(Q231:Q233)</f>
        <v>0</v>
      </c>
      <c r="R215" s="209">
        <f>+Q215+P215</f>
        <v>1836.25</v>
      </c>
      <c r="S215" s="5">
        <f t="shared" si="77"/>
        <v>688.59375</v>
      </c>
      <c r="T215" s="5">
        <f>R215-S215</f>
        <v>1147.65625</v>
      </c>
      <c r="U215" s="29"/>
    </row>
    <row r="216" spans="1:21" ht="11.25">
      <c r="A216" s="326"/>
      <c r="B216" s="327"/>
      <c r="C216" s="331"/>
      <c r="D216" s="332"/>
      <c r="E216" s="332"/>
      <c r="F216" s="332"/>
      <c r="G216" s="332"/>
      <c r="H216" s="332"/>
      <c r="I216" s="332"/>
      <c r="J216" s="332"/>
      <c r="K216" s="333"/>
      <c r="L216" s="188" t="s">
        <v>13</v>
      </c>
      <c r="M216" s="6">
        <f>M206-M207-M208-M209-M210-M211-M212-M213-M214-M215</f>
        <v>5379.750000000004</v>
      </c>
      <c r="N216" s="6"/>
      <c r="O216" s="210"/>
      <c r="P216" s="6"/>
      <c r="Q216" s="6"/>
      <c r="R216" s="210"/>
      <c r="S216" s="1"/>
      <c r="T216" s="1"/>
      <c r="U216" s="29"/>
    </row>
    <row r="217" spans="1:20" ht="22.5">
      <c r="A217" s="7" t="s">
        <v>14</v>
      </c>
      <c r="B217" s="7" t="s">
        <v>11</v>
      </c>
      <c r="C217" s="34" t="s">
        <v>23</v>
      </c>
      <c r="D217" s="34" t="s">
        <v>19</v>
      </c>
      <c r="E217" s="42" t="s">
        <v>2</v>
      </c>
      <c r="F217" s="34" t="s">
        <v>18</v>
      </c>
      <c r="G217" s="34" t="s">
        <v>17</v>
      </c>
      <c r="H217" s="42" t="s">
        <v>16</v>
      </c>
      <c r="I217" s="42" t="s">
        <v>15</v>
      </c>
      <c r="J217" s="34" t="s">
        <v>3</v>
      </c>
      <c r="K217" s="34" t="s">
        <v>4</v>
      </c>
      <c r="L217" s="185" t="s">
        <v>5</v>
      </c>
      <c r="M217" s="7" t="s">
        <v>20</v>
      </c>
      <c r="N217" s="7" t="s">
        <v>39</v>
      </c>
      <c r="O217" s="185" t="s">
        <v>42</v>
      </c>
      <c r="P217" s="7" t="s">
        <v>21</v>
      </c>
      <c r="Q217" s="27" t="s">
        <v>40</v>
      </c>
      <c r="R217" s="217" t="s">
        <v>41</v>
      </c>
      <c r="S217" s="418" t="s">
        <v>26</v>
      </c>
      <c r="T217" s="418"/>
    </row>
    <row r="218" spans="1:20" ht="22.5">
      <c r="A218" s="61" t="s">
        <v>150</v>
      </c>
      <c r="B218" s="9"/>
      <c r="C218" s="9" t="s">
        <v>151</v>
      </c>
      <c r="D218" s="16" t="s">
        <v>165</v>
      </c>
      <c r="E218" s="8" t="s">
        <v>166</v>
      </c>
      <c r="F218" s="8">
        <v>6134</v>
      </c>
      <c r="G218" s="17">
        <v>38176</v>
      </c>
      <c r="H218" s="18" t="s">
        <v>167</v>
      </c>
      <c r="I218" s="163" t="s">
        <v>168</v>
      </c>
      <c r="J218" s="12">
        <v>5162.66</v>
      </c>
      <c r="K218" s="12">
        <v>1032.53</v>
      </c>
      <c r="L218" s="199">
        <f>J218+K218</f>
        <v>6195.19</v>
      </c>
      <c r="M218" s="12">
        <v>5150</v>
      </c>
      <c r="N218" s="7"/>
      <c r="O218" s="190">
        <f>M218+N218</f>
        <v>5150</v>
      </c>
      <c r="P218" s="12">
        <f>M218*0.65</f>
        <v>3347.5</v>
      </c>
      <c r="Q218" s="12"/>
      <c r="R218" s="190">
        <f>P218+Q218</f>
        <v>3347.5</v>
      </c>
      <c r="S218" s="452" t="s">
        <v>169</v>
      </c>
      <c r="T218" s="453"/>
    </row>
    <row r="219" spans="1:20" ht="22.5">
      <c r="A219" s="61" t="s">
        <v>50</v>
      </c>
      <c r="B219" s="8"/>
      <c r="C219" s="9" t="s">
        <v>151</v>
      </c>
      <c r="D219" s="112" t="s">
        <v>75</v>
      </c>
      <c r="E219" s="108" t="s">
        <v>78</v>
      </c>
      <c r="F219" s="8">
        <v>7865</v>
      </c>
      <c r="G219" s="94">
        <v>38341</v>
      </c>
      <c r="H219" s="19">
        <v>38341</v>
      </c>
      <c r="I219" s="163" t="s">
        <v>79</v>
      </c>
      <c r="J219" s="113">
        <v>927.7</v>
      </c>
      <c r="K219" s="113">
        <f>+J219*0.2</f>
        <v>185.54000000000002</v>
      </c>
      <c r="L219" s="200">
        <f>SUM(J219:K219)</f>
        <v>1113.24</v>
      </c>
      <c r="M219" s="31">
        <v>915.2</v>
      </c>
      <c r="N219" s="12"/>
      <c r="O219" s="190">
        <f>M219+N219</f>
        <v>915.2</v>
      </c>
      <c r="P219" s="12">
        <f>M219*0.65</f>
        <v>594.88</v>
      </c>
      <c r="Q219" s="12"/>
      <c r="R219" s="190">
        <f>P219+Q219</f>
        <v>594.88</v>
      </c>
      <c r="S219" s="454"/>
      <c r="T219" s="454"/>
    </row>
    <row r="220" spans="1:20" ht="22.5">
      <c r="A220" s="61" t="s">
        <v>50</v>
      </c>
      <c r="B220" s="8"/>
      <c r="C220" s="9" t="s">
        <v>151</v>
      </c>
      <c r="D220" s="112" t="s">
        <v>76</v>
      </c>
      <c r="E220" s="108" t="s">
        <v>80</v>
      </c>
      <c r="F220" s="142" t="s">
        <v>225</v>
      </c>
      <c r="G220" s="94">
        <v>38341</v>
      </c>
      <c r="H220" s="94">
        <v>38334</v>
      </c>
      <c r="I220" s="163" t="s">
        <v>81</v>
      </c>
      <c r="J220" s="114">
        <v>2288.5</v>
      </c>
      <c r="K220" s="108">
        <v>0</v>
      </c>
      <c r="L220" s="200">
        <f>SUM(J220:K220)</f>
        <v>2288.5</v>
      </c>
      <c r="M220" s="31"/>
      <c r="N220" s="12"/>
      <c r="O220" s="190"/>
      <c r="P220" s="12"/>
      <c r="Q220" s="12"/>
      <c r="R220" s="190"/>
      <c r="S220" s="405" t="s">
        <v>570</v>
      </c>
      <c r="T220" s="406"/>
    </row>
    <row r="221" spans="1:20" ht="22.5">
      <c r="A221" s="61" t="s">
        <v>50</v>
      </c>
      <c r="B221" s="8"/>
      <c r="C221" s="9" t="s">
        <v>151</v>
      </c>
      <c r="D221" s="112" t="s">
        <v>77</v>
      </c>
      <c r="E221" s="108" t="s">
        <v>82</v>
      </c>
      <c r="F221" s="8">
        <v>129407360</v>
      </c>
      <c r="G221" s="94">
        <v>38328</v>
      </c>
      <c r="H221" s="94">
        <v>38328</v>
      </c>
      <c r="I221" s="163" t="s">
        <v>81</v>
      </c>
      <c r="J221" s="114">
        <v>1279</v>
      </c>
      <c r="K221" s="108">
        <v>0</v>
      </c>
      <c r="L221" s="200">
        <f>SUM(J221:K221)</f>
        <v>1279</v>
      </c>
      <c r="M221" s="31"/>
      <c r="N221" s="12"/>
      <c r="O221" s="190"/>
      <c r="P221" s="12"/>
      <c r="Q221" s="12"/>
      <c r="R221" s="190"/>
      <c r="S221" s="405" t="s">
        <v>570</v>
      </c>
      <c r="T221" s="406"/>
    </row>
    <row r="222" spans="1:20" ht="36" customHeight="1">
      <c r="A222" s="61" t="s">
        <v>50</v>
      </c>
      <c r="B222" s="116"/>
      <c r="C222" s="9" t="s">
        <v>151</v>
      </c>
      <c r="D222" s="14" t="s">
        <v>67</v>
      </c>
      <c r="E222" s="16" t="s">
        <v>159</v>
      </c>
      <c r="F222" s="8">
        <v>1</v>
      </c>
      <c r="G222" s="94">
        <v>38397</v>
      </c>
      <c r="H222" s="94">
        <v>38398</v>
      </c>
      <c r="I222" s="163" t="s">
        <v>70</v>
      </c>
      <c r="J222" s="109">
        <v>10000</v>
      </c>
      <c r="K222" s="109">
        <f>+J222*20/100</f>
        <v>2000</v>
      </c>
      <c r="L222" s="196">
        <f>SUM(J222:K222)</f>
        <v>12000</v>
      </c>
      <c r="M222" s="31">
        <f>J222</f>
        <v>10000</v>
      </c>
      <c r="N222" s="31">
        <v>0</v>
      </c>
      <c r="O222" s="215">
        <f aca="true" t="shared" si="82" ref="O222:O230">SUM(M222:N222)</f>
        <v>10000</v>
      </c>
      <c r="P222" s="138">
        <f aca="true" t="shared" si="83" ref="P222:P233">O222*0.65</f>
        <v>6500</v>
      </c>
      <c r="Q222" s="138">
        <f aca="true" t="shared" si="84" ref="Q222:Q229">N222*0.65</f>
        <v>0</v>
      </c>
      <c r="R222" s="222">
        <f aca="true" t="shared" si="85" ref="R222:R230">SUM(P222:Q222)</f>
        <v>6500</v>
      </c>
      <c r="S222" s="405" t="s">
        <v>160</v>
      </c>
      <c r="T222" s="406"/>
    </row>
    <row r="223" spans="1:20" ht="33" customHeight="1">
      <c r="A223" s="61" t="s">
        <v>226</v>
      </c>
      <c r="B223" s="116"/>
      <c r="C223" s="9" t="s">
        <v>151</v>
      </c>
      <c r="D223" s="14" t="s">
        <v>247</v>
      </c>
      <c r="E223" s="16" t="s">
        <v>248</v>
      </c>
      <c r="F223" s="8">
        <v>4</v>
      </c>
      <c r="G223" s="94">
        <v>38463</v>
      </c>
      <c r="H223" s="94">
        <v>38516</v>
      </c>
      <c r="I223" s="163" t="s">
        <v>249</v>
      </c>
      <c r="J223" s="109">
        <v>4000</v>
      </c>
      <c r="K223" s="109">
        <v>800</v>
      </c>
      <c r="L223" s="196">
        <f>+K223+J223</f>
        <v>4800</v>
      </c>
      <c r="M223" s="31">
        <v>4000</v>
      </c>
      <c r="N223" s="31"/>
      <c r="O223" s="215">
        <f t="shared" si="82"/>
        <v>4000</v>
      </c>
      <c r="P223" s="138">
        <f t="shared" si="83"/>
        <v>2600</v>
      </c>
      <c r="Q223" s="138">
        <f t="shared" si="84"/>
        <v>0</v>
      </c>
      <c r="R223" s="222">
        <f t="shared" si="85"/>
        <v>2600</v>
      </c>
      <c r="S223" s="343"/>
      <c r="T223" s="344"/>
    </row>
    <row r="224" spans="1:20" ht="35.25" customHeight="1">
      <c r="A224" s="61" t="s">
        <v>226</v>
      </c>
      <c r="B224" s="116"/>
      <c r="C224" s="9" t="s">
        <v>151</v>
      </c>
      <c r="D224" s="14" t="s">
        <v>247</v>
      </c>
      <c r="E224" s="16" t="s">
        <v>248</v>
      </c>
      <c r="F224" s="8">
        <v>6</v>
      </c>
      <c r="G224" s="94">
        <v>38489</v>
      </c>
      <c r="H224" s="94">
        <v>38568</v>
      </c>
      <c r="I224" s="163" t="s">
        <v>249</v>
      </c>
      <c r="J224" s="109">
        <v>4000</v>
      </c>
      <c r="K224" s="109">
        <v>800</v>
      </c>
      <c r="L224" s="196">
        <f>+K224+J224</f>
        <v>4800</v>
      </c>
      <c r="M224" s="31">
        <v>4000</v>
      </c>
      <c r="N224" s="31"/>
      <c r="O224" s="215">
        <f t="shared" si="82"/>
        <v>4000</v>
      </c>
      <c r="P224" s="138">
        <f t="shared" si="83"/>
        <v>2600</v>
      </c>
      <c r="Q224" s="138">
        <f t="shared" si="84"/>
        <v>0</v>
      </c>
      <c r="R224" s="222">
        <f t="shared" si="85"/>
        <v>2600</v>
      </c>
      <c r="S224" s="343"/>
      <c r="T224" s="344"/>
    </row>
    <row r="225" spans="1:20" ht="26.25" customHeight="1">
      <c r="A225" s="61" t="s">
        <v>226</v>
      </c>
      <c r="B225" s="116"/>
      <c r="C225" s="9" t="s">
        <v>151</v>
      </c>
      <c r="D225" s="112" t="s">
        <v>76</v>
      </c>
      <c r="E225" s="108" t="s">
        <v>80</v>
      </c>
      <c r="F225" s="142" t="s">
        <v>225</v>
      </c>
      <c r="G225" s="94">
        <v>38341</v>
      </c>
      <c r="H225" s="94">
        <v>38334</v>
      </c>
      <c r="I225" s="163" t="s">
        <v>81</v>
      </c>
      <c r="J225" s="114"/>
      <c r="K225" s="108">
        <v>0</v>
      </c>
      <c r="L225" s="200">
        <f>SUM(J225:K225)</f>
        <v>0</v>
      </c>
      <c r="M225" s="31">
        <v>2288.5</v>
      </c>
      <c r="N225" s="31"/>
      <c r="O225" s="215">
        <f t="shared" si="82"/>
        <v>2288.5</v>
      </c>
      <c r="P225" s="138">
        <f t="shared" si="83"/>
        <v>1487.525</v>
      </c>
      <c r="Q225" s="138">
        <f t="shared" si="84"/>
        <v>0</v>
      </c>
      <c r="R225" s="222">
        <f t="shared" si="85"/>
        <v>1487.525</v>
      </c>
      <c r="S225" s="343"/>
      <c r="T225" s="344"/>
    </row>
    <row r="226" spans="1:20" ht="30.75" customHeight="1">
      <c r="A226" s="61" t="s">
        <v>226</v>
      </c>
      <c r="B226" s="116"/>
      <c r="C226" s="9" t="s">
        <v>151</v>
      </c>
      <c r="D226" s="112" t="s">
        <v>77</v>
      </c>
      <c r="E226" s="108" t="s">
        <v>82</v>
      </c>
      <c r="F226" s="8">
        <v>129407360</v>
      </c>
      <c r="G226" s="94">
        <v>38328</v>
      </c>
      <c r="H226" s="94">
        <v>38328</v>
      </c>
      <c r="I226" s="163" t="s">
        <v>81</v>
      </c>
      <c r="J226" s="114"/>
      <c r="K226" s="108">
        <v>0</v>
      </c>
      <c r="L226" s="200">
        <f>SUM(J226:K226)</f>
        <v>0</v>
      </c>
      <c r="M226" s="31">
        <v>1279</v>
      </c>
      <c r="N226" s="31"/>
      <c r="O226" s="215">
        <f t="shared" si="82"/>
        <v>1279</v>
      </c>
      <c r="P226" s="138">
        <f t="shared" si="83"/>
        <v>831.35</v>
      </c>
      <c r="Q226" s="138">
        <f t="shared" si="84"/>
        <v>0</v>
      </c>
      <c r="R226" s="222">
        <f t="shared" si="85"/>
        <v>831.35</v>
      </c>
      <c r="S226" s="343"/>
      <c r="T226" s="344"/>
    </row>
    <row r="227" spans="1:20" ht="30.75" customHeight="1">
      <c r="A227" s="61" t="s">
        <v>354</v>
      </c>
      <c r="B227" s="116"/>
      <c r="C227" s="9" t="s">
        <v>151</v>
      </c>
      <c r="D227" s="265" t="s">
        <v>394</v>
      </c>
      <c r="E227" s="268" t="s">
        <v>385</v>
      </c>
      <c r="F227" s="268" t="s">
        <v>386</v>
      </c>
      <c r="G227" s="266">
        <v>38677</v>
      </c>
      <c r="H227" s="266">
        <v>38716</v>
      </c>
      <c r="I227" s="297" t="s">
        <v>387</v>
      </c>
      <c r="J227" s="271">
        <v>7127.6</v>
      </c>
      <c r="K227" s="271">
        <v>1425.52</v>
      </c>
      <c r="L227" s="289">
        <v>8553.12</v>
      </c>
      <c r="M227" s="271">
        <f>(3*690)+(10*27.72)+(10*64.12)</f>
        <v>2988.3999999999996</v>
      </c>
      <c r="N227" s="31"/>
      <c r="O227" s="215">
        <f t="shared" si="82"/>
        <v>2988.3999999999996</v>
      </c>
      <c r="P227" s="138">
        <f t="shared" si="83"/>
        <v>1942.4599999999998</v>
      </c>
      <c r="Q227" s="138">
        <f t="shared" si="84"/>
        <v>0</v>
      </c>
      <c r="R227" s="222">
        <f t="shared" si="85"/>
        <v>1942.4599999999998</v>
      </c>
      <c r="S227" s="160"/>
      <c r="T227" s="162"/>
    </row>
    <row r="228" spans="1:20" ht="30.75" customHeight="1">
      <c r="A228" s="61" t="s">
        <v>354</v>
      </c>
      <c r="B228" s="116"/>
      <c r="C228" s="9" t="s">
        <v>151</v>
      </c>
      <c r="D228" s="269" t="s">
        <v>388</v>
      </c>
      <c r="E228" s="270" t="s">
        <v>385</v>
      </c>
      <c r="F228" s="270" t="s">
        <v>389</v>
      </c>
      <c r="G228" s="267">
        <v>38677</v>
      </c>
      <c r="H228" s="267">
        <v>38716</v>
      </c>
      <c r="I228" s="298" t="s">
        <v>387</v>
      </c>
      <c r="J228" s="272">
        <f>308.15-10</f>
        <v>298.15</v>
      </c>
      <c r="K228" s="273">
        <v>61.6</v>
      </c>
      <c r="L228" s="289">
        <v>369.78</v>
      </c>
      <c r="M228" s="31">
        <v>298.15</v>
      </c>
      <c r="N228" s="31"/>
      <c r="O228" s="215">
        <f t="shared" si="82"/>
        <v>298.15</v>
      </c>
      <c r="P228" s="138">
        <f t="shared" si="83"/>
        <v>193.79749999999999</v>
      </c>
      <c r="Q228" s="138">
        <f t="shared" si="84"/>
        <v>0</v>
      </c>
      <c r="R228" s="222">
        <f t="shared" si="85"/>
        <v>193.79749999999999</v>
      </c>
      <c r="S228" s="160"/>
      <c r="T228" s="162"/>
    </row>
    <row r="229" spans="1:20" ht="30.75" customHeight="1">
      <c r="A229" s="61" t="s">
        <v>354</v>
      </c>
      <c r="B229" s="116"/>
      <c r="C229" s="9" t="s">
        <v>151</v>
      </c>
      <c r="D229" s="265" t="s">
        <v>390</v>
      </c>
      <c r="E229" s="268" t="s">
        <v>391</v>
      </c>
      <c r="F229" s="268" t="s">
        <v>392</v>
      </c>
      <c r="G229" s="266">
        <v>38674</v>
      </c>
      <c r="H229" s="266">
        <v>38674</v>
      </c>
      <c r="I229" s="297" t="s">
        <v>393</v>
      </c>
      <c r="J229" s="271">
        <v>526</v>
      </c>
      <c r="K229" s="271">
        <v>105.2</v>
      </c>
      <c r="L229" s="289">
        <f>J229+K229</f>
        <v>631.2</v>
      </c>
      <c r="M229" s="271">
        <v>526</v>
      </c>
      <c r="N229" s="31"/>
      <c r="O229" s="215">
        <f t="shared" si="82"/>
        <v>526</v>
      </c>
      <c r="P229" s="138">
        <f t="shared" si="83"/>
        <v>341.90000000000003</v>
      </c>
      <c r="Q229" s="138">
        <f t="shared" si="84"/>
        <v>0</v>
      </c>
      <c r="R229" s="222">
        <f t="shared" si="85"/>
        <v>341.90000000000003</v>
      </c>
      <c r="S229" s="160"/>
      <c r="T229" s="162"/>
    </row>
    <row r="230" spans="1:20" ht="30.75" customHeight="1">
      <c r="A230" s="61" t="s">
        <v>590</v>
      </c>
      <c r="B230" s="116"/>
      <c r="C230" s="9" t="s">
        <v>151</v>
      </c>
      <c r="D230" s="9" t="s">
        <v>609</v>
      </c>
      <c r="E230" s="9" t="s">
        <v>610</v>
      </c>
      <c r="F230" s="9">
        <v>73</v>
      </c>
      <c r="G230" s="10">
        <v>38972</v>
      </c>
      <c r="H230" s="11">
        <v>39037</v>
      </c>
      <c r="I230" s="11" t="s">
        <v>196</v>
      </c>
      <c r="J230" s="12">
        <v>10350</v>
      </c>
      <c r="K230" s="12">
        <v>2070</v>
      </c>
      <c r="L230" s="190">
        <v>12420</v>
      </c>
      <c r="M230" s="12">
        <v>10350</v>
      </c>
      <c r="N230" s="12"/>
      <c r="O230" s="190">
        <f t="shared" si="82"/>
        <v>10350</v>
      </c>
      <c r="P230" s="12">
        <f t="shared" si="83"/>
        <v>6727.5</v>
      </c>
      <c r="Q230" s="12"/>
      <c r="R230" s="222">
        <f t="shared" si="85"/>
        <v>6727.5</v>
      </c>
      <c r="S230" s="454"/>
      <c r="T230" s="454"/>
    </row>
    <row r="231" spans="1:20" ht="30.75" customHeight="1">
      <c r="A231" s="61" t="s">
        <v>710</v>
      </c>
      <c r="B231" s="116"/>
      <c r="C231" s="9" t="s">
        <v>151</v>
      </c>
      <c r="D231" s="9" t="s">
        <v>786</v>
      </c>
      <c r="E231" s="9" t="s">
        <v>610</v>
      </c>
      <c r="F231" s="9">
        <v>136</v>
      </c>
      <c r="G231" s="10">
        <v>39345</v>
      </c>
      <c r="H231" s="11">
        <v>39647</v>
      </c>
      <c r="I231" s="11" t="s">
        <v>69</v>
      </c>
      <c r="J231" s="12">
        <v>1725</v>
      </c>
      <c r="K231" s="12">
        <v>345</v>
      </c>
      <c r="L231" s="190">
        <v>2070</v>
      </c>
      <c r="M231" s="12">
        <v>1725</v>
      </c>
      <c r="N231" s="12"/>
      <c r="O231" s="190">
        <f>SUM(M231:N231)</f>
        <v>1725</v>
      </c>
      <c r="P231" s="12">
        <f t="shared" si="83"/>
        <v>1121.25</v>
      </c>
      <c r="Q231" s="12"/>
      <c r="R231" s="222">
        <f>SUM(P231:Q231)</f>
        <v>1121.25</v>
      </c>
      <c r="S231" s="454" t="s">
        <v>717</v>
      </c>
      <c r="T231" s="454"/>
    </row>
    <row r="232" spans="1:20" ht="30.75" customHeight="1">
      <c r="A232" s="61" t="s">
        <v>710</v>
      </c>
      <c r="B232" s="116"/>
      <c r="C232" s="9" t="s">
        <v>151</v>
      </c>
      <c r="D232" s="9" t="s">
        <v>787</v>
      </c>
      <c r="E232" s="9" t="s">
        <v>610</v>
      </c>
      <c r="F232" s="9">
        <v>152</v>
      </c>
      <c r="G232" s="10">
        <v>39367</v>
      </c>
      <c r="H232" s="11">
        <v>39647</v>
      </c>
      <c r="I232" s="11" t="s">
        <v>69</v>
      </c>
      <c r="J232" s="12">
        <v>500</v>
      </c>
      <c r="K232" s="12">
        <v>100</v>
      </c>
      <c r="L232" s="190">
        <v>600</v>
      </c>
      <c r="M232" s="12">
        <v>500</v>
      </c>
      <c r="N232" s="12"/>
      <c r="O232" s="190">
        <f>SUM(M232:N232)</f>
        <v>500</v>
      </c>
      <c r="P232" s="12">
        <f t="shared" si="83"/>
        <v>325</v>
      </c>
      <c r="Q232" s="12"/>
      <c r="R232" s="222">
        <f>SUM(P232:Q232)</f>
        <v>325</v>
      </c>
      <c r="S232" s="454" t="s">
        <v>717</v>
      </c>
      <c r="T232" s="454"/>
    </row>
    <row r="233" spans="1:20" ht="30.75" customHeight="1">
      <c r="A233" s="61" t="s">
        <v>710</v>
      </c>
      <c r="B233" s="116"/>
      <c r="C233" s="9" t="s">
        <v>151</v>
      </c>
      <c r="D233" s="9" t="s">
        <v>788</v>
      </c>
      <c r="E233" s="9" t="s">
        <v>789</v>
      </c>
      <c r="F233" s="9"/>
      <c r="G233" s="10"/>
      <c r="H233" s="11">
        <v>39483</v>
      </c>
      <c r="I233" s="11" t="s">
        <v>92</v>
      </c>
      <c r="J233" s="12">
        <v>600</v>
      </c>
      <c r="K233" s="12"/>
      <c r="L233" s="190">
        <v>600</v>
      </c>
      <c r="M233" s="12">
        <v>600</v>
      </c>
      <c r="N233" s="12"/>
      <c r="O233" s="190">
        <f>SUM(M233:N233)</f>
        <v>600</v>
      </c>
      <c r="P233" s="12">
        <f t="shared" si="83"/>
        <v>390</v>
      </c>
      <c r="Q233" s="12"/>
      <c r="R233" s="222">
        <f>SUM(P233:Q233)</f>
        <v>390</v>
      </c>
      <c r="S233" s="454" t="s">
        <v>717</v>
      </c>
      <c r="T233" s="454"/>
    </row>
    <row r="234" spans="1:20" ht="11.25">
      <c r="A234" s="63"/>
      <c r="B234" s="8"/>
      <c r="C234" s="9"/>
      <c r="D234" s="9"/>
      <c r="E234" s="9"/>
      <c r="F234" s="9"/>
      <c r="G234" s="10"/>
      <c r="H234" s="11"/>
      <c r="I234" s="11"/>
      <c r="J234" s="12"/>
      <c r="K234" s="12"/>
      <c r="L234" s="190"/>
      <c r="M234" s="12"/>
      <c r="N234" s="12"/>
      <c r="O234" s="190"/>
      <c r="P234" s="12"/>
      <c r="Q234" s="12"/>
      <c r="R234" s="190"/>
      <c r="S234" s="454"/>
      <c r="T234" s="454"/>
    </row>
    <row r="236" spans="1:20" ht="11.25">
      <c r="A236" s="430" t="s">
        <v>22</v>
      </c>
      <c r="B236" s="431"/>
      <c r="C236" s="431"/>
      <c r="D236" s="431"/>
      <c r="E236" s="431"/>
      <c r="F236" s="431"/>
      <c r="G236" s="431"/>
      <c r="H236" s="431"/>
      <c r="I236" s="431"/>
      <c r="J236" s="431"/>
      <c r="K236" s="431"/>
      <c r="L236" s="432"/>
      <c r="M236" s="96" t="s">
        <v>44</v>
      </c>
      <c r="N236" s="28" t="s">
        <v>39</v>
      </c>
      <c r="O236" s="211" t="s">
        <v>45</v>
      </c>
      <c r="P236" s="28" t="s">
        <v>46</v>
      </c>
      <c r="Q236" s="28" t="s">
        <v>47</v>
      </c>
      <c r="R236" s="211" t="s">
        <v>41</v>
      </c>
      <c r="S236" s="50" t="s">
        <v>24</v>
      </c>
      <c r="T236" s="51" t="s">
        <v>25</v>
      </c>
    </row>
    <row r="237" spans="1:21" ht="11.25">
      <c r="A237" s="349"/>
      <c r="B237" s="350"/>
      <c r="C237" s="328"/>
      <c r="D237" s="329"/>
      <c r="E237" s="329"/>
      <c r="F237" s="329"/>
      <c r="G237" s="329"/>
      <c r="H237" s="329"/>
      <c r="I237" s="329"/>
      <c r="J237" s="329"/>
      <c r="K237" s="330"/>
      <c r="L237" s="198" t="s">
        <v>12</v>
      </c>
      <c r="M237" s="3">
        <f>67.5*1000</f>
        <v>67500</v>
      </c>
      <c r="N237" s="3">
        <f>M237*0.2</f>
        <v>13500</v>
      </c>
      <c r="O237" s="212">
        <f>N237+M237</f>
        <v>81000</v>
      </c>
      <c r="P237" s="3">
        <f>M237*0.65</f>
        <v>43875</v>
      </c>
      <c r="Q237" s="3">
        <f>N237*0.65</f>
        <v>8775</v>
      </c>
      <c r="R237" s="218">
        <f>SUM(P237:Q237)</f>
        <v>52650</v>
      </c>
      <c r="S237" s="58"/>
      <c r="T237" s="58"/>
      <c r="U237" s="29"/>
    </row>
    <row r="238" spans="1:21" ht="11.25">
      <c r="A238" s="349"/>
      <c r="B238" s="350"/>
      <c r="C238" s="45"/>
      <c r="D238" s="44"/>
      <c r="E238" s="44"/>
      <c r="F238" s="44"/>
      <c r="G238" s="44"/>
      <c r="H238" s="44"/>
      <c r="I238" s="44"/>
      <c r="J238" s="44"/>
      <c r="K238" s="4">
        <f>SUM(K249)</f>
        <v>0</v>
      </c>
      <c r="L238" s="187" t="s">
        <v>27</v>
      </c>
      <c r="M238" s="4">
        <f>SUM(M249)</f>
        <v>0</v>
      </c>
      <c r="N238" s="4"/>
      <c r="O238" s="209"/>
      <c r="P238" s="4">
        <f>SUM(P249)</f>
        <v>0</v>
      </c>
      <c r="Q238" s="89"/>
      <c r="R238" s="223"/>
      <c r="S238" s="5">
        <f>R238*0.375</f>
        <v>0</v>
      </c>
      <c r="T238" s="5">
        <f>R238-S238</f>
        <v>0</v>
      </c>
      <c r="U238" s="29"/>
    </row>
    <row r="239" spans="1:21" ht="11.25">
      <c r="A239" s="349"/>
      <c r="B239" s="350"/>
      <c r="C239" s="45"/>
      <c r="D239" s="44"/>
      <c r="E239" s="44"/>
      <c r="F239" s="44"/>
      <c r="G239" s="44"/>
      <c r="H239" s="44"/>
      <c r="I239" s="44"/>
      <c r="J239" s="44"/>
      <c r="K239" s="46"/>
      <c r="L239" s="187" t="s">
        <v>28</v>
      </c>
      <c r="M239" s="4"/>
      <c r="N239" s="4"/>
      <c r="O239" s="209"/>
      <c r="P239" s="4"/>
      <c r="Q239" s="89"/>
      <c r="R239" s="223"/>
      <c r="S239" s="53">
        <f>P239*0.375</f>
        <v>0</v>
      </c>
      <c r="T239" s="5">
        <f>P239-S239</f>
        <v>0</v>
      </c>
      <c r="U239" s="29"/>
    </row>
    <row r="240" spans="1:21" ht="11.25">
      <c r="A240" s="349"/>
      <c r="B240" s="350"/>
      <c r="C240" s="45"/>
      <c r="D240" s="44"/>
      <c r="E240" s="44"/>
      <c r="F240" s="44"/>
      <c r="G240" s="44"/>
      <c r="H240" s="44"/>
      <c r="I240" s="44"/>
      <c r="J240" s="44"/>
      <c r="K240" s="46"/>
      <c r="L240" s="187" t="s">
        <v>266</v>
      </c>
      <c r="M240" s="4"/>
      <c r="N240" s="4"/>
      <c r="O240" s="209"/>
      <c r="P240" s="4"/>
      <c r="Q240" s="159"/>
      <c r="R240" s="224"/>
      <c r="S240" s="157"/>
      <c r="T240" s="157"/>
      <c r="U240" s="29"/>
    </row>
    <row r="241" spans="1:21" ht="11.25">
      <c r="A241" s="349"/>
      <c r="B241" s="350"/>
      <c r="C241" s="45"/>
      <c r="D241" s="44"/>
      <c r="E241" s="44"/>
      <c r="F241" s="44"/>
      <c r="G241" s="44"/>
      <c r="H241" s="44"/>
      <c r="I241" s="44"/>
      <c r="J241" s="44"/>
      <c r="K241" s="46"/>
      <c r="L241" s="187" t="s">
        <v>329</v>
      </c>
      <c r="M241" s="4"/>
      <c r="N241" s="4"/>
      <c r="O241" s="209"/>
      <c r="P241" s="4"/>
      <c r="Q241" s="159"/>
      <c r="R241" s="224"/>
      <c r="S241" s="157"/>
      <c r="T241" s="157"/>
      <c r="U241" s="29"/>
    </row>
    <row r="242" spans="1:21" ht="11.25">
      <c r="A242" s="349"/>
      <c r="B242" s="350"/>
      <c r="C242" s="45"/>
      <c r="D242" s="44"/>
      <c r="E242" s="44"/>
      <c r="F242" s="44"/>
      <c r="G242" s="44"/>
      <c r="H242" s="44"/>
      <c r="I242" s="44"/>
      <c r="J242" s="44"/>
      <c r="K242" s="46"/>
      <c r="L242" s="187" t="s">
        <v>352</v>
      </c>
      <c r="M242" s="4"/>
      <c r="N242" s="4"/>
      <c r="O242" s="209"/>
      <c r="P242" s="4"/>
      <c r="Q242" s="159"/>
      <c r="R242" s="224"/>
      <c r="S242" s="157"/>
      <c r="T242" s="157"/>
      <c r="U242" s="29"/>
    </row>
    <row r="243" spans="1:21" ht="11.25">
      <c r="A243" s="349"/>
      <c r="B243" s="350"/>
      <c r="C243" s="45"/>
      <c r="D243" s="44"/>
      <c r="E243" s="44"/>
      <c r="F243" s="44"/>
      <c r="G243" s="44"/>
      <c r="H243" s="44"/>
      <c r="I243" s="44"/>
      <c r="J243" s="44"/>
      <c r="K243" s="46"/>
      <c r="L243" s="187" t="s">
        <v>565</v>
      </c>
      <c r="M243" s="4"/>
      <c r="N243" s="4"/>
      <c r="O243" s="209"/>
      <c r="P243" s="4"/>
      <c r="Q243" s="159"/>
      <c r="R243" s="224"/>
      <c r="S243" s="157"/>
      <c r="T243" s="157"/>
      <c r="U243" s="29"/>
    </row>
    <row r="244" spans="1:21" ht="11.25">
      <c r="A244" s="349"/>
      <c r="B244" s="350"/>
      <c r="C244" s="45"/>
      <c r="D244" s="44"/>
      <c r="E244" s="44"/>
      <c r="F244" s="44"/>
      <c r="G244" s="44"/>
      <c r="H244" s="44"/>
      <c r="I244" s="44"/>
      <c r="J244" s="44"/>
      <c r="K244" s="46"/>
      <c r="L244" s="187" t="s">
        <v>588</v>
      </c>
      <c r="M244" s="4"/>
      <c r="N244" s="4"/>
      <c r="O244" s="209"/>
      <c r="P244" s="4"/>
      <c r="Q244" s="159"/>
      <c r="R244" s="224"/>
      <c r="S244" s="157"/>
      <c r="T244" s="157"/>
      <c r="U244" s="29"/>
    </row>
    <row r="245" spans="1:21" ht="11.25">
      <c r="A245" s="349"/>
      <c r="B245" s="350"/>
      <c r="C245" s="45"/>
      <c r="D245" s="44"/>
      <c r="E245" s="44"/>
      <c r="F245" s="44"/>
      <c r="G245" s="44"/>
      <c r="H245" s="44"/>
      <c r="I245" s="44"/>
      <c r="J245" s="44"/>
      <c r="K245" s="46"/>
      <c r="L245" s="187" t="s">
        <v>695</v>
      </c>
      <c r="M245" s="4"/>
      <c r="N245" s="4"/>
      <c r="O245" s="209"/>
      <c r="P245" s="4"/>
      <c r="Q245" s="159"/>
      <c r="R245" s="224"/>
      <c r="S245" s="157"/>
      <c r="T245" s="157"/>
      <c r="U245" s="29"/>
    </row>
    <row r="246" spans="1:21" ht="11.25">
      <c r="A246" s="349"/>
      <c r="B246" s="350"/>
      <c r="C246" s="45"/>
      <c r="D246" s="44"/>
      <c r="E246" s="44"/>
      <c r="F246" s="44"/>
      <c r="G246" s="44"/>
      <c r="H246" s="44"/>
      <c r="I246" s="44"/>
      <c r="J246" s="44"/>
      <c r="K246" s="46"/>
      <c r="L246" s="187" t="s">
        <v>843</v>
      </c>
      <c r="M246" s="4"/>
      <c r="N246" s="4"/>
      <c r="O246" s="209"/>
      <c r="P246" s="4"/>
      <c r="Q246" s="159"/>
      <c r="R246" s="224"/>
      <c r="S246" s="157"/>
      <c r="T246" s="157"/>
      <c r="U246" s="29"/>
    </row>
    <row r="247" spans="1:21" ht="11.25">
      <c r="A247" s="326"/>
      <c r="B247" s="327"/>
      <c r="C247" s="47"/>
      <c r="D247" s="48"/>
      <c r="E247" s="48"/>
      <c r="F247" s="48"/>
      <c r="G247" s="48"/>
      <c r="H247" s="48"/>
      <c r="I247" s="48"/>
      <c r="J247" s="48"/>
      <c r="K247" s="49"/>
      <c r="L247" s="188" t="s">
        <v>13</v>
      </c>
      <c r="M247" s="6">
        <f>M237-M238-M239-M240-M241-M242-M244-M243-M245</f>
        <v>67500</v>
      </c>
      <c r="N247" s="6">
        <f>N237-N238-N239-N240-N241</f>
        <v>13500</v>
      </c>
      <c r="O247" s="210">
        <f>O237-O238-O239-O240-O241</f>
        <v>81000</v>
      </c>
      <c r="P247" s="6">
        <f>P237-P238-P239-P240-P241</f>
        <v>43875</v>
      </c>
      <c r="Q247" s="6">
        <f>Q237-Q238-Q239-Q240-Q241</f>
        <v>8775</v>
      </c>
      <c r="R247" s="210">
        <f>R237-R238-R239-R240-R241</f>
        <v>52650</v>
      </c>
      <c r="S247" s="1"/>
      <c r="T247" s="1"/>
      <c r="U247" s="29"/>
    </row>
    <row r="248" spans="1:20" ht="22.5">
      <c r="A248" s="7" t="s">
        <v>14</v>
      </c>
      <c r="B248" s="7" t="s">
        <v>11</v>
      </c>
      <c r="C248" s="34" t="s">
        <v>23</v>
      </c>
      <c r="D248" s="34" t="s">
        <v>19</v>
      </c>
      <c r="E248" s="42" t="s">
        <v>2</v>
      </c>
      <c r="F248" s="34" t="s">
        <v>18</v>
      </c>
      <c r="G248" s="34" t="s">
        <v>17</v>
      </c>
      <c r="H248" s="42" t="s">
        <v>16</v>
      </c>
      <c r="I248" s="42" t="s">
        <v>15</v>
      </c>
      <c r="J248" s="34" t="s">
        <v>3</v>
      </c>
      <c r="K248" s="34" t="s">
        <v>4</v>
      </c>
      <c r="L248" s="185" t="s">
        <v>5</v>
      </c>
      <c r="M248" s="7" t="s">
        <v>20</v>
      </c>
      <c r="N248" s="7" t="s">
        <v>39</v>
      </c>
      <c r="O248" s="185" t="s">
        <v>42</v>
      </c>
      <c r="P248" s="7" t="s">
        <v>21</v>
      </c>
      <c r="Q248" s="27" t="s">
        <v>40</v>
      </c>
      <c r="R248" s="217" t="s">
        <v>41</v>
      </c>
      <c r="S248" s="418" t="s">
        <v>26</v>
      </c>
      <c r="T248" s="418"/>
    </row>
    <row r="249" spans="1:20" ht="11.25">
      <c r="A249" s="61"/>
      <c r="B249" s="8"/>
      <c r="C249" s="9"/>
      <c r="D249" s="21"/>
      <c r="E249" s="14"/>
      <c r="F249" s="22"/>
      <c r="G249" s="23"/>
      <c r="H249" s="17"/>
      <c r="I249" s="24"/>
      <c r="J249" s="25"/>
      <c r="K249" s="26">
        <f>+J249*0.2</f>
        <v>0</v>
      </c>
      <c r="L249" s="201">
        <f>+K249+J249</f>
        <v>0</v>
      </c>
      <c r="M249" s="12">
        <f>+L249</f>
        <v>0</v>
      </c>
      <c r="N249" s="12"/>
      <c r="O249" s="190"/>
      <c r="P249" s="12">
        <f>M249*0.65</f>
        <v>0</v>
      </c>
      <c r="Q249" s="12"/>
      <c r="R249" s="190"/>
      <c r="S249" s="454"/>
      <c r="T249" s="454"/>
    </row>
    <row r="250" spans="1:20" ht="11.25">
      <c r="A250" s="63"/>
      <c r="B250" s="8"/>
      <c r="C250" s="9"/>
      <c r="D250" s="9"/>
      <c r="E250" s="9"/>
      <c r="F250" s="9"/>
      <c r="G250" s="10"/>
      <c r="H250" s="11"/>
      <c r="I250" s="11"/>
      <c r="J250" s="12"/>
      <c r="K250" s="12"/>
      <c r="L250" s="190"/>
      <c r="M250" s="12"/>
      <c r="N250" s="12"/>
      <c r="O250" s="190"/>
      <c r="P250" s="12"/>
      <c r="Q250" s="12"/>
      <c r="R250" s="190"/>
      <c r="S250" s="454"/>
      <c r="T250" s="454"/>
    </row>
    <row r="252" spans="1:20" ht="11.25">
      <c r="A252" s="430" t="s">
        <v>9</v>
      </c>
      <c r="B252" s="431"/>
      <c r="C252" s="431"/>
      <c r="D252" s="431"/>
      <c r="E252" s="431"/>
      <c r="F252" s="431"/>
      <c r="G252" s="431"/>
      <c r="H252" s="431"/>
      <c r="I252" s="431"/>
      <c r="J252" s="431"/>
      <c r="K252" s="431"/>
      <c r="L252" s="202"/>
      <c r="M252" s="96" t="s">
        <v>44</v>
      </c>
      <c r="N252" s="28" t="s">
        <v>39</v>
      </c>
      <c r="O252" s="211" t="s">
        <v>45</v>
      </c>
      <c r="P252" s="28" t="s">
        <v>46</v>
      </c>
      <c r="Q252" s="28" t="s">
        <v>47</v>
      </c>
      <c r="R252" s="211" t="s">
        <v>41</v>
      </c>
      <c r="S252" s="55" t="s">
        <v>24</v>
      </c>
      <c r="T252" s="55" t="s">
        <v>25</v>
      </c>
    </row>
    <row r="253" spans="1:21" ht="11.25">
      <c r="A253" s="349"/>
      <c r="B253" s="350"/>
      <c r="C253" s="328"/>
      <c r="D253" s="329"/>
      <c r="E253" s="329"/>
      <c r="F253" s="329"/>
      <c r="G253" s="329"/>
      <c r="H253" s="329"/>
      <c r="I253" s="329"/>
      <c r="J253" s="329"/>
      <c r="K253" s="330"/>
      <c r="L253" s="198" t="s">
        <v>12</v>
      </c>
      <c r="M253" s="3">
        <f>150*1000</f>
        <v>150000</v>
      </c>
      <c r="N253" s="3"/>
      <c r="O253" s="212"/>
      <c r="P253" s="3"/>
      <c r="Q253" s="3"/>
      <c r="R253" s="218"/>
      <c r="S253" s="52"/>
      <c r="T253" s="52"/>
      <c r="U253" s="29"/>
    </row>
    <row r="254" spans="1:21" ht="11.25">
      <c r="A254" s="349"/>
      <c r="B254" s="350"/>
      <c r="C254" s="45"/>
      <c r="D254" s="44"/>
      <c r="E254" s="44"/>
      <c r="F254" s="44"/>
      <c r="G254" s="44"/>
      <c r="H254" s="44"/>
      <c r="I254" s="44"/>
      <c r="J254" s="44"/>
      <c r="K254" s="4"/>
      <c r="L254" s="187" t="s">
        <v>27</v>
      </c>
      <c r="M254" s="4">
        <f aca="true" t="shared" si="86" ref="M254:R254">SUM(M265:M269)</f>
        <v>3983.24</v>
      </c>
      <c r="N254" s="4">
        <f t="shared" si="86"/>
        <v>0</v>
      </c>
      <c r="O254" s="209">
        <f t="shared" si="86"/>
        <v>3983.24</v>
      </c>
      <c r="P254" s="4">
        <f t="shared" si="86"/>
        <v>2589.1059999999998</v>
      </c>
      <c r="Q254" s="4">
        <f t="shared" si="86"/>
        <v>0</v>
      </c>
      <c r="R254" s="209">
        <f t="shared" si="86"/>
        <v>2589.1059999999998</v>
      </c>
      <c r="S254" s="5">
        <f aca="true" t="shared" si="87" ref="S254:S262">R254*0.375</f>
        <v>970.9147499999999</v>
      </c>
      <c r="T254" s="5">
        <f aca="true" t="shared" si="88" ref="T254:T259">R254-S254</f>
        <v>1618.1912499999999</v>
      </c>
      <c r="U254" s="29"/>
    </row>
    <row r="255" spans="1:21" ht="11.25">
      <c r="A255" s="349"/>
      <c r="B255" s="350"/>
      <c r="C255" s="45"/>
      <c r="D255" s="44"/>
      <c r="E255" s="44"/>
      <c r="F255" s="44"/>
      <c r="G255" s="44"/>
      <c r="H255" s="44"/>
      <c r="I255" s="44"/>
      <c r="J255" s="44"/>
      <c r="K255" s="46"/>
      <c r="L255" s="187" t="s">
        <v>28</v>
      </c>
      <c r="M255" s="4">
        <f aca="true" t="shared" si="89" ref="M255:R255">SUM(M270:M271)</f>
        <v>0</v>
      </c>
      <c r="N255" s="4">
        <f t="shared" si="89"/>
        <v>0</v>
      </c>
      <c r="O255" s="209">
        <f t="shared" si="89"/>
        <v>0</v>
      </c>
      <c r="P255" s="4">
        <f t="shared" si="89"/>
        <v>0</v>
      </c>
      <c r="Q255" s="4">
        <f t="shared" si="89"/>
        <v>0</v>
      </c>
      <c r="R255" s="209">
        <f t="shared" si="89"/>
        <v>0</v>
      </c>
      <c r="S255" s="5">
        <f t="shared" si="87"/>
        <v>0</v>
      </c>
      <c r="T255" s="5">
        <f t="shared" si="88"/>
        <v>0</v>
      </c>
      <c r="U255" s="29"/>
    </row>
    <row r="256" spans="1:21" ht="11.25">
      <c r="A256" s="349"/>
      <c r="B256" s="350"/>
      <c r="C256" s="45"/>
      <c r="D256" s="44"/>
      <c r="E256" s="44"/>
      <c r="F256" s="44"/>
      <c r="G256" s="44"/>
      <c r="H256" s="44"/>
      <c r="I256" s="44"/>
      <c r="J256" s="44"/>
      <c r="K256" s="46"/>
      <c r="L256" s="187" t="s">
        <v>266</v>
      </c>
      <c r="M256" s="4"/>
      <c r="N256" s="4"/>
      <c r="O256" s="209"/>
      <c r="P256" s="4"/>
      <c r="Q256" s="4"/>
      <c r="R256" s="209"/>
      <c r="S256" s="5">
        <f t="shared" si="87"/>
        <v>0</v>
      </c>
      <c r="T256" s="5">
        <f t="shared" si="88"/>
        <v>0</v>
      </c>
      <c r="U256" s="29"/>
    </row>
    <row r="257" spans="1:21" ht="11.25">
      <c r="A257" s="349"/>
      <c r="B257" s="350"/>
      <c r="C257" s="45"/>
      <c r="D257" s="44"/>
      <c r="E257" s="44"/>
      <c r="F257" s="44"/>
      <c r="G257" s="44"/>
      <c r="H257" s="44"/>
      <c r="I257" s="44"/>
      <c r="J257" s="44"/>
      <c r="K257" s="46"/>
      <c r="L257" s="187" t="s">
        <v>329</v>
      </c>
      <c r="M257" s="4"/>
      <c r="N257" s="4"/>
      <c r="O257" s="209"/>
      <c r="P257" s="4"/>
      <c r="Q257" s="4"/>
      <c r="R257" s="209"/>
      <c r="S257" s="5">
        <f t="shared" si="87"/>
        <v>0</v>
      </c>
      <c r="T257" s="5">
        <f t="shared" si="88"/>
        <v>0</v>
      </c>
      <c r="U257" s="29"/>
    </row>
    <row r="258" spans="1:21" ht="11.25">
      <c r="A258" s="349"/>
      <c r="B258" s="350"/>
      <c r="C258" s="45"/>
      <c r="D258" s="44"/>
      <c r="E258" s="44"/>
      <c r="F258" s="44"/>
      <c r="G258" s="44"/>
      <c r="H258" s="44"/>
      <c r="I258" s="44"/>
      <c r="J258" s="44"/>
      <c r="K258" s="46"/>
      <c r="L258" s="187" t="s">
        <v>352</v>
      </c>
      <c r="M258" s="4">
        <f aca="true" t="shared" si="90" ref="M258:R258">SUM(M272:M283)</f>
        <v>14407.190000000002</v>
      </c>
      <c r="N258" s="4">
        <f t="shared" si="90"/>
        <v>0</v>
      </c>
      <c r="O258" s="209">
        <f t="shared" si="90"/>
        <v>14407.190000000002</v>
      </c>
      <c r="P258" s="4">
        <f t="shared" si="90"/>
        <v>9364.6735</v>
      </c>
      <c r="Q258" s="4">
        <f t="shared" si="90"/>
        <v>0</v>
      </c>
      <c r="R258" s="209">
        <f t="shared" si="90"/>
        <v>9364.6735</v>
      </c>
      <c r="S258" s="5">
        <f t="shared" si="87"/>
        <v>3511.7525625000003</v>
      </c>
      <c r="T258" s="5">
        <f t="shared" si="88"/>
        <v>5852.920937500001</v>
      </c>
      <c r="U258" s="29"/>
    </row>
    <row r="259" spans="1:21" ht="11.25">
      <c r="A259" s="349"/>
      <c r="B259" s="350"/>
      <c r="C259" s="45"/>
      <c r="D259" s="44"/>
      <c r="E259" s="44"/>
      <c r="F259" s="44"/>
      <c r="G259" s="44"/>
      <c r="H259" s="44"/>
      <c r="I259" s="44"/>
      <c r="J259" s="44"/>
      <c r="K259" s="46"/>
      <c r="L259" s="187" t="s">
        <v>565</v>
      </c>
      <c r="M259" s="4">
        <f>SUM(M284:M290)</f>
        <v>3894.78</v>
      </c>
      <c r="N259" s="4">
        <f>SUM(N284:N290)</f>
        <v>0</v>
      </c>
      <c r="O259" s="209">
        <f>+N259+M259</f>
        <v>3894.78</v>
      </c>
      <c r="P259" s="4">
        <f>SUM(P284:P290)</f>
        <v>2531.607</v>
      </c>
      <c r="Q259" s="4">
        <f>SUM(Q284:Q290)</f>
        <v>0</v>
      </c>
      <c r="R259" s="209">
        <f>+Q259+P259</f>
        <v>2531.607</v>
      </c>
      <c r="S259" s="5">
        <f t="shared" si="87"/>
        <v>949.352625</v>
      </c>
      <c r="T259" s="5">
        <f t="shared" si="88"/>
        <v>1582.254375</v>
      </c>
      <c r="U259" s="29"/>
    </row>
    <row r="260" spans="1:21" ht="11.25">
      <c r="A260" s="349"/>
      <c r="B260" s="350"/>
      <c r="C260" s="45"/>
      <c r="D260" s="44"/>
      <c r="E260" s="44"/>
      <c r="F260" s="44"/>
      <c r="G260" s="44"/>
      <c r="H260" s="44"/>
      <c r="I260" s="44"/>
      <c r="J260" s="44"/>
      <c r="K260" s="46"/>
      <c r="L260" s="187" t="s">
        <v>588</v>
      </c>
      <c r="M260" s="4">
        <f>SUM(M291:M300)</f>
        <v>76094.092</v>
      </c>
      <c r="N260" s="4">
        <f>SUM(N291:N300)</f>
        <v>0</v>
      </c>
      <c r="O260" s="209">
        <f>+N260+M260</f>
        <v>76094.092</v>
      </c>
      <c r="P260" s="4">
        <f>SUM(P291:P300)</f>
        <v>49461.1598</v>
      </c>
      <c r="Q260" s="4">
        <f>SUM(Q291:Q300)</f>
        <v>0</v>
      </c>
      <c r="R260" s="209">
        <f>+Q260+P260</f>
        <v>49461.1598</v>
      </c>
      <c r="S260" s="5">
        <f t="shared" si="87"/>
        <v>18547.934925</v>
      </c>
      <c r="T260" s="5">
        <f>R260-S260</f>
        <v>30913.224875</v>
      </c>
      <c r="U260" s="29"/>
    </row>
    <row r="261" spans="1:21" ht="11.25">
      <c r="A261" s="349"/>
      <c r="B261" s="350"/>
      <c r="C261" s="45"/>
      <c r="D261" s="44"/>
      <c r="E261" s="44"/>
      <c r="F261" s="44"/>
      <c r="G261" s="44"/>
      <c r="H261" s="44"/>
      <c r="I261" s="44"/>
      <c r="J261" s="44"/>
      <c r="K261" s="46"/>
      <c r="L261" s="187" t="s">
        <v>695</v>
      </c>
      <c r="M261" s="4">
        <f>SUM(M301:M312)</f>
        <v>33379.10999999999</v>
      </c>
      <c r="N261" s="4">
        <f>SUM(N301:N312)</f>
        <v>0</v>
      </c>
      <c r="O261" s="209">
        <f>+N261+M261</f>
        <v>33379.10999999999</v>
      </c>
      <c r="P261" s="4">
        <f>SUM(P301:P312)</f>
        <v>21696.4215</v>
      </c>
      <c r="Q261" s="4">
        <f>SUM(Q301:Q312)</f>
        <v>0</v>
      </c>
      <c r="R261" s="209">
        <f>+Q261+P261</f>
        <v>21696.4215</v>
      </c>
      <c r="S261" s="5">
        <f t="shared" si="87"/>
        <v>8136.158062500001</v>
      </c>
      <c r="T261" s="5">
        <f>R261-S261</f>
        <v>13560.2634375</v>
      </c>
      <c r="U261" s="1">
        <f>+M261*0.65-P261</f>
        <v>0</v>
      </c>
    </row>
    <row r="262" spans="1:21" ht="11.25">
      <c r="A262" s="349"/>
      <c r="B262" s="350"/>
      <c r="C262" s="45"/>
      <c r="D262" s="44"/>
      <c r="E262" s="44"/>
      <c r="F262" s="44"/>
      <c r="G262" s="44"/>
      <c r="H262" s="44"/>
      <c r="I262" s="44"/>
      <c r="J262" s="44"/>
      <c r="K262" s="46"/>
      <c r="L262" s="187" t="s">
        <v>843</v>
      </c>
      <c r="M262" s="4">
        <f>SUM(M313:M330)</f>
        <v>34594.29000000001</v>
      </c>
      <c r="N262" s="4">
        <f>SUM(N313:N330)</f>
        <v>0</v>
      </c>
      <c r="O262" s="209">
        <f>+N262+M262</f>
        <v>34594.29000000001</v>
      </c>
      <c r="P262" s="4">
        <f>SUM(P313:P330)</f>
        <v>22486.2885</v>
      </c>
      <c r="Q262" s="4">
        <f>SUM(Q313:Q330)</f>
        <v>0</v>
      </c>
      <c r="R262" s="209">
        <f>+Q262+P262</f>
        <v>22486.2885</v>
      </c>
      <c r="S262" s="5">
        <f t="shared" si="87"/>
        <v>8432.3581875</v>
      </c>
      <c r="T262" s="5">
        <f>R262-S262</f>
        <v>14053.930312499999</v>
      </c>
      <c r="U262" s="1"/>
    </row>
    <row r="263" spans="1:21" ht="11.25">
      <c r="A263" s="326"/>
      <c r="B263" s="327"/>
      <c r="C263" s="331"/>
      <c r="D263" s="332"/>
      <c r="E263" s="332"/>
      <c r="F263" s="332"/>
      <c r="G263" s="332"/>
      <c r="H263" s="332"/>
      <c r="I263" s="332"/>
      <c r="J263" s="332"/>
      <c r="K263" s="333"/>
      <c r="L263" s="188" t="s">
        <v>13</v>
      </c>
      <c r="M263" s="6">
        <f>M253-M254-M255-M256-M257-M258-M259-M260-M261-M262</f>
        <v>-16352.701999999997</v>
      </c>
      <c r="N263" s="6"/>
      <c r="O263" s="210"/>
      <c r="P263" s="6"/>
      <c r="Q263" s="6"/>
      <c r="R263" s="210"/>
      <c r="S263" s="1"/>
      <c r="T263" s="1"/>
      <c r="U263" s="29"/>
    </row>
    <row r="264" spans="1:20" ht="22.5">
      <c r="A264" s="7" t="s">
        <v>14</v>
      </c>
      <c r="B264" s="7" t="s">
        <v>11</v>
      </c>
      <c r="C264" s="34" t="s">
        <v>23</v>
      </c>
      <c r="D264" s="34" t="s">
        <v>19</v>
      </c>
      <c r="E264" s="42" t="s">
        <v>2</v>
      </c>
      <c r="F264" s="34" t="s">
        <v>18</v>
      </c>
      <c r="G264" s="34" t="s">
        <v>17</v>
      </c>
      <c r="H264" s="42" t="s">
        <v>16</v>
      </c>
      <c r="I264" s="42" t="s">
        <v>15</v>
      </c>
      <c r="J264" s="34" t="s">
        <v>3</v>
      </c>
      <c r="K264" s="34" t="s">
        <v>4</v>
      </c>
      <c r="L264" s="185" t="s">
        <v>5</v>
      </c>
      <c r="M264" s="7" t="s">
        <v>20</v>
      </c>
      <c r="N264" s="7" t="s">
        <v>39</v>
      </c>
      <c r="O264" s="185" t="s">
        <v>42</v>
      </c>
      <c r="P264" s="7" t="s">
        <v>21</v>
      </c>
      <c r="Q264" s="27" t="s">
        <v>40</v>
      </c>
      <c r="R264" s="217" t="s">
        <v>41</v>
      </c>
      <c r="S264" s="418" t="s">
        <v>26</v>
      </c>
      <c r="T264" s="418"/>
    </row>
    <row r="265" spans="1:20" ht="22.5">
      <c r="A265" s="61" t="s">
        <v>150</v>
      </c>
      <c r="B265" s="9"/>
      <c r="C265" s="9" t="s">
        <v>151</v>
      </c>
      <c r="D265" s="21" t="s">
        <v>170</v>
      </c>
      <c r="E265" s="115" t="s">
        <v>171</v>
      </c>
      <c r="F265" s="22">
        <v>861</v>
      </c>
      <c r="G265" s="23">
        <v>38198</v>
      </c>
      <c r="H265" s="11">
        <v>38198</v>
      </c>
      <c r="I265" s="163" t="s">
        <v>172</v>
      </c>
      <c r="J265" s="25">
        <v>2065.83</v>
      </c>
      <c r="K265" s="26">
        <f aca="true" t="shared" si="91" ref="K265:K271">J265*0.2</f>
        <v>413.166</v>
      </c>
      <c r="L265" s="201">
        <f aca="true" t="shared" si="92" ref="L265:L271">J265+K265</f>
        <v>2478.996</v>
      </c>
      <c r="M265" s="12">
        <v>2065.83</v>
      </c>
      <c r="N265" s="7"/>
      <c r="O265" s="190">
        <f>M265+N265</f>
        <v>2065.83</v>
      </c>
      <c r="P265" s="12">
        <f aca="true" t="shared" si="93" ref="P265:P270">M265*0.65</f>
        <v>1342.7895</v>
      </c>
      <c r="Q265" s="12"/>
      <c r="R265" s="190">
        <f>P265+Q265</f>
        <v>1342.7895</v>
      </c>
      <c r="S265" s="405"/>
      <c r="T265" s="406"/>
    </row>
    <row r="266" spans="1:20" ht="33.75">
      <c r="A266" s="61" t="s">
        <v>150</v>
      </c>
      <c r="B266" s="9"/>
      <c r="C266" s="9" t="s">
        <v>151</v>
      </c>
      <c r="D266" s="21" t="s">
        <v>173</v>
      </c>
      <c r="E266" s="115" t="s">
        <v>174</v>
      </c>
      <c r="F266" s="22" t="s">
        <v>175</v>
      </c>
      <c r="G266" s="23">
        <v>38106</v>
      </c>
      <c r="H266" s="11">
        <v>38110</v>
      </c>
      <c r="I266" s="163" t="s">
        <v>176</v>
      </c>
      <c r="J266" s="25">
        <v>289.5</v>
      </c>
      <c r="K266" s="26">
        <f t="shared" si="91"/>
        <v>57.900000000000006</v>
      </c>
      <c r="L266" s="201">
        <f t="shared" si="92"/>
        <v>347.4</v>
      </c>
      <c r="M266" s="12">
        <v>289.5</v>
      </c>
      <c r="N266" s="7"/>
      <c r="O266" s="190">
        <f>M266+N266</f>
        <v>289.5</v>
      </c>
      <c r="P266" s="12">
        <f t="shared" si="93"/>
        <v>188.175</v>
      </c>
      <c r="Q266" s="12"/>
      <c r="R266" s="190">
        <f>P266+Q266</f>
        <v>188.175</v>
      </c>
      <c r="S266" s="405"/>
      <c r="T266" s="406"/>
    </row>
    <row r="267" spans="1:20" ht="22.5">
      <c r="A267" s="61" t="s">
        <v>150</v>
      </c>
      <c r="B267" s="9"/>
      <c r="C267" s="9" t="s">
        <v>151</v>
      </c>
      <c r="D267" s="21" t="s">
        <v>177</v>
      </c>
      <c r="E267" s="131" t="s">
        <v>178</v>
      </c>
      <c r="F267" s="22">
        <v>3755</v>
      </c>
      <c r="G267" s="23">
        <v>38113</v>
      </c>
      <c r="H267" s="11">
        <v>38168</v>
      </c>
      <c r="I267" s="163" t="s">
        <v>179</v>
      </c>
      <c r="J267" s="25">
        <v>580.9</v>
      </c>
      <c r="K267" s="26">
        <f t="shared" si="91"/>
        <v>116.18</v>
      </c>
      <c r="L267" s="201">
        <f t="shared" si="92"/>
        <v>697.0799999999999</v>
      </c>
      <c r="M267" s="12">
        <f>J267-11.52-9.5-3</f>
        <v>556.88</v>
      </c>
      <c r="N267" s="7"/>
      <c r="O267" s="190">
        <f>M267+N267</f>
        <v>556.88</v>
      </c>
      <c r="P267" s="12">
        <f t="shared" si="93"/>
        <v>361.97200000000004</v>
      </c>
      <c r="Q267" s="12"/>
      <c r="R267" s="190">
        <f>P267+Q267</f>
        <v>361.97200000000004</v>
      </c>
      <c r="S267" s="405" t="s">
        <v>185</v>
      </c>
      <c r="T267" s="406"/>
    </row>
    <row r="268" spans="1:20" ht="22.5">
      <c r="A268" s="61" t="s">
        <v>150</v>
      </c>
      <c r="B268" s="9"/>
      <c r="C268" s="9" t="s">
        <v>151</v>
      </c>
      <c r="D268" s="21" t="s">
        <v>180</v>
      </c>
      <c r="E268" s="131" t="s">
        <v>178</v>
      </c>
      <c r="F268" s="22">
        <v>1981</v>
      </c>
      <c r="G268" s="23">
        <v>38054</v>
      </c>
      <c r="H268" s="11">
        <v>38061</v>
      </c>
      <c r="I268" s="163" t="s">
        <v>181</v>
      </c>
      <c r="J268" s="25">
        <v>1100.03</v>
      </c>
      <c r="K268" s="26">
        <f t="shared" si="91"/>
        <v>220.006</v>
      </c>
      <c r="L268" s="201">
        <f t="shared" si="92"/>
        <v>1320.036</v>
      </c>
      <c r="M268" s="12">
        <f>J268-26-3</f>
        <v>1071.03</v>
      </c>
      <c r="N268" s="7"/>
      <c r="O268" s="190">
        <f>M268+N268</f>
        <v>1071.03</v>
      </c>
      <c r="P268" s="12">
        <f t="shared" si="93"/>
        <v>696.1695</v>
      </c>
      <c r="Q268" s="12"/>
      <c r="R268" s="190">
        <f>P268+Q268</f>
        <v>696.1695</v>
      </c>
      <c r="S268" s="405" t="s">
        <v>186</v>
      </c>
      <c r="T268" s="406"/>
    </row>
    <row r="269" spans="1:20" ht="69.75" customHeight="1">
      <c r="A269" s="61" t="s">
        <v>150</v>
      </c>
      <c r="B269" s="9"/>
      <c r="C269" s="9" t="s">
        <v>151</v>
      </c>
      <c r="D269" s="132" t="s">
        <v>182</v>
      </c>
      <c r="E269" s="133" t="s">
        <v>183</v>
      </c>
      <c r="F269" s="97">
        <v>21</v>
      </c>
      <c r="G269" s="134">
        <v>38272</v>
      </c>
      <c r="H269" s="135">
        <v>38317</v>
      </c>
      <c r="I269" s="137" t="s">
        <v>184</v>
      </c>
      <c r="J269" s="136">
        <v>25000</v>
      </c>
      <c r="K269" s="136">
        <f t="shared" si="91"/>
        <v>5000</v>
      </c>
      <c r="L269" s="201">
        <f t="shared" si="92"/>
        <v>30000</v>
      </c>
      <c r="M269" s="12">
        <v>0</v>
      </c>
      <c r="N269" s="7"/>
      <c r="O269" s="190">
        <f>M269+N269</f>
        <v>0</v>
      </c>
      <c r="P269" s="12">
        <f t="shared" si="93"/>
        <v>0</v>
      </c>
      <c r="Q269" s="12"/>
      <c r="R269" s="190">
        <f>P269+Q269</f>
        <v>0</v>
      </c>
      <c r="S269" s="405" t="s">
        <v>187</v>
      </c>
      <c r="T269" s="406"/>
    </row>
    <row r="270" spans="1:20" ht="87.75" customHeight="1">
      <c r="A270" s="61" t="s">
        <v>50</v>
      </c>
      <c r="B270" s="8"/>
      <c r="C270" s="9" t="s">
        <v>151</v>
      </c>
      <c r="D270" s="115" t="s">
        <v>83</v>
      </c>
      <c r="E270" s="115" t="s">
        <v>84</v>
      </c>
      <c r="F270" s="23" t="s">
        <v>85</v>
      </c>
      <c r="G270" s="23">
        <v>38377</v>
      </c>
      <c r="H270" s="11">
        <v>38411</v>
      </c>
      <c r="I270" s="163" t="s">
        <v>86</v>
      </c>
      <c r="J270" s="25">
        <v>2043.36</v>
      </c>
      <c r="K270" s="26">
        <f t="shared" si="91"/>
        <v>408.672</v>
      </c>
      <c r="L270" s="201">
        <f t="shared" si="92"/>
        <v>2452.032</v>
      </c>
      <c r="M270" s="31"/>
      <c r="N270" s="12"/>
      <c r="O270" s="190"/>
      <c r="P270" s="12">
        <f t="shared" si="93"/>
        <v>0</v>
      </c>
      <c r="Q270" s="12"/>
      <c r="R270" s="190"/>
      <c r="S270" s="444" t="s">
        <v>222</v>
      </c>
      <c r="T270" s="445"/>
    </row>
    <row r="271" spans="1:20" ht="147.75" customHeight="1">
      <c r="A271" s="61" t="s">
        <v>50</v>
      </c>
      <c r="B271" s="8"/>
      <c r="C271" s="9" t="s">
        <v>151</v>
      </c>
      <c r="D271" s="306" t="s">
        <v>87</v>
      </c>
      <c r="E271" s="115" t="s">
        <v>84</v>
      </c>
      <c r="F271" s="23" t="s">
        <v>88</v>
      </c>
      <c r="G271" s="23">
        <v>38385</v>
      </c>
      <c r="H271" s="11">
        <v>38442</v>
      </c>
      <c r="I271" s="163" t="s">
        <v>86</v>
      </c>
      <c r="J271" s="25">
        <v>1212.66</v>
      </c>
      <c r="K271" s="26">
        <f t="shared" si="91"/>
        <v>242.53200000000004</v>
      </c>
      <c r="L271" s="201">
        <f t="shared" si="92"/>
        <v>1455.192</v>
      </c>
      <c r="M271" s="31"/>
      <c r="N271" s="12"/>
      <c r="O271" s="190"/>
      <c r="P271" s="12"/>
      <c r="Q271" s="12"/>
      <c r="R271" s="190"/>
      <c r="S271" s="446"/>
      <c r="T271" s="447"/>
    </row>
    <row r="272" spans="1:20" ht="42.75" customHeight="1">
      <c r="A272" s="61" t="s">
        <v>354</v>
      </c>
      <c r="B272" s="8"/>
      <c r="C272" s="9" t="s">
        <v>151</v>
      </c>
      <c r="D272" s="307" t="s">
        <v>395</v>
      </c>
      <c r="E272" s="274" t="s">
        <v>396</v>
      </c>
      <c r="F272" s="274">
        <v>5071</v>
      </c>
      <c r="G272" s="275">
        <v>39039</v>
      </c>
      <c r="H272" s="275">
        <v>38674</v>
      </c>
      <c r="I272" s="297" t="s">
        <v>397</v>
      </c>
      <c r="J272" s="271">
        <v>1832.68</v>
      </c>
      <c r="K272" s="271">
        <v>366.54</v>
      </c>
      <c r="L272" s="289">
        <f>J272+K272</f>
        <v>2199.2200000000003</v>
      </c>
      <c r="M272" s="271">
        <v>1832.68</v>
      </c>
      <c r="N272" s="12"/>
      <c r="O272" s="190">
        <f aca="true" t="shared" si="94" ref="O272:O283">M272+N272</f>
        <v>1832.68</v>
      </c>
      <c r="P272" s="12">
        <f aca="true" t="shared" si="95" ref="P272:P283">M272*0.65</f>
        <v>1191.2420000000002</v>
      </c>
      <c r="Q272" s="12"/>
      <c r="R272" s="190">
        <f aca="true" t="shared" si="96" ref="R272:R283">P272+Q272</f>
        <v>1191.2420000000002</v>
      </c>
      <c r="S272" s="241"/>
      <c r="T272" s="242"/>
    </row>
    <row r="273" spans="1:20" ht="42.75" customHeight="1">
      <c r="A273" s="61" t="s">
        <v>354</v>
      </c>
      <c r="B273" s="8"/>
      <c r="C273" s="9" t="s">
        <v>151</v>
      </c>
      <c r="D273" s="307" t="s">
        <v>398</v>
      </c>
      <c r="E273" s="274" t="s">
        <v>385</v>
      </c>
      <c r="F273" s="274" t="s">
        <v>399</v>
      </c>
      <c r="G273" s="275">
        <v>38685</v>
      </c>
      <c r="H273" s="275">
        <v>38748</v>
      </c>
      <c r="I273" s="298" t="s">
        <v>387</v>
      </c>
      <c r="J273" s="271">
        <f>5569.81-16.66</f>
        <v>5553.150000000001</v>
      </c>
      <c r="K273" s="271">
        <v>1113.96</v>
      </c>
      <c r="L273" s="289">
        <v>6683.77</v>
      </c>
      <c r="M273" s="271">
        <f>5569.81-16.66</f>
        <v>5553.150000000001</v>
      </c>
      <c r="N273" s="12"/>
      <c r="O273" s="190">
        <f t="shared" si="94"/>
        <v>5553.150000000001</v>
      </c>
      <c r="P273" s="12">
        <f t="shared" si="95"/>
        <v>3609.5475000000006</v>
      </c>
      <c r="Q273" s="12"/>
      <c r="R273" s="190">
        <f t="shared" si="96"/>
        <v>3609.5475000000006</v>
      </c>
      <c r="S273" s="241"/>
      <c r="T273" s="242"/>
    </row>
    <row r="274" spans="1:20" ht="42.75" customHeight="1">
      <c r="A274" s="61" t="s">
        <v>354</v>
      </c>
      <c r="B274" s="8"/>
      <c r="C274" s="9" t="s">
        <v>151</v>
      </c>
      <c r="D274" s="308" t="s">
        <v>400</v>
      </c>
      <c r="E274" s="277" t="s">
        <v>385</v>
      </c>
      <c r="F274" s="277" t="s">
        <v>401</v>
      </c>
      <c r="G274" s="276">
        <v>38685</v>
      </c>
      <c r="H274" s="276">
        <v>38748</v>
      </c>
      <c r="I274" s="298" t="s">
        <v>387</v>
      </c>
      <c r="J274" s="272">
        <f>696-10</f>
        <v>686</v>
      </c>
      <c r="K274" s="272">
        <v>139.2</v>
      </c>
      <c r="L274" s="290">
        <v>835.2</v>
      </c>
      <c r="M274" s="272">
        <f>696-10</f>
        <v>686</v>
      </c>
      <c r="N274" s="12"/>
      <c r="O274" s="190">
        <f t="shared" si="94"/>
        <v>686</v>
      </c>
      <c r="P274" s="12">
        <f t="shared" si="95"/>
        <v>445.90000000000003</v>
      </c>
      <c r="Q274" s="12"/>
      <c r="R274" s="190">
        <f t="shared" si="96"/>
        <v>445.90000000000003</v>
      </c>
      <c r="S274" s="241"/>
      <c r="T274" s="242"/>
    </row>
    <row r="275" spans="1:20" ht="42.75" customHeight="1">
      <c r="A275" s="61" t="s">
        <v>354</v>
      </c>
      <c r="B275" s="8"/>
      <c r="C275" s="9" t="s">
        <v>151</v>
      </c>
      <c r="D275" s="308" t="s">
        <v>402</v>
      </c>
      <c r="E275" s="277" t="s">
        <v>385</v>
      </c>
      <c r="F275" s="277">
        <v>30420</v>
      </c>
      <c r="G275" s="276">
        <v>38740</v>
      </c>
      <c r="H275" s="276">
        <v>38776</v>
      </c>
      <c r="I275" s="298" t="s">
        <v>387</v>
      </c>
      <c r="J275" s="272">
        <v>332.49</v>
      </c>
      <c r="K275" s="272">
        <v>66.5</v>
      </c>
      <c r="L275" s="290">
        <v>398.99</v>
      </c>
      <c r="M275" s="272">
        <f>172-10</f>
        <v>162</v>
      </c>
      <c r="N275" s="12"/>
      <c r="O275" s="190">
        <f t="shared" si="94"/>
        <v>162</v>
      </c>
      <c r="P275" s="12">
        <f t="shared" si="95"/>
        <v>105.3</v>
      </c>
      <c r="Q275" s="12"/>
      <c r="R275" s="190">
        <f t="shared" si="96"/>
        <v>105.3</v>
      </c>
      <c r="S275" s="241"/>
      <c r="T275" s="242"/>
    </row>
    <row r="276" spans="1:20" ht="42.75" customHeight="1">
      <c r="A276" s="61" t="s">
        <v>354</v>
      </c>
      <c r="B276" s="8"/>
      <c r="C276" s="9" t="s">
        <v>151</v>
      </c>
      <c r="D276" s="307" t="s">
        <v>403</v>
      </c>
      <c r="E276" s="277" t="s">
        <v>385</v>
      </c>
      <c r="F276" s="274">
        <v>38435</v>
      </c>
      <c r="G276" s="275">
        <v>38743</v>
      </c>
      <c r="H276" s="275">
        <v>38776</v>
      </c>
      <c r="I276" s="298" t="s">
        <v>387</v>
      </c>
      <c r="J276" s="271">
        <v>715.33</v>
      </c>
      <c r="K276" s="271">
        <v>143.07</v>
      </c>
      <c r="L276" s="289">
        <v>858.4</v>
      </c>
      <c r="M276" s="271">
        <f>343.38+148.95+192.1</f>
        <v>684.43</v>
      </c>
      <c r="N276" s="12"/>
      <c r="O276" s="190">
        <f t="shared" si="94"/>
        <v>684.43</v>
      </c>
      <c r="P276" s="12">
        <f t="shared" si="95"/>
        <v>444.8795</v>
      </c>
      <c r="Q276" s="12"/>
      <c r="R276" s="190">
        <f t="shared" si="96"/>
        <v>444.8795</v>
      </c>
      <c r="S276" s="241"/>
      <c r="T276" s="242"/>
    </row>
    <row r="277" spans="1:20" ht="42.75" customHeight="1">
      <c r="A277" s="61" t="s">
        <v>354</v>
      </c>
      <c r="B277" s="8"/>
      <c r="C277" s="9" t="s">
        <v>151</v>
      </c>
      <c r="D277" s="307" t="s">
        <v>404</v>
      </c>
      <c r="E277" s="274" t="s">
        <v>396</v>
      </c>
      <c r="F277" s="274">
        <v>511</v>
      </c>
      <c r="G277" s="275">
        <v>38772</v>
      </c>
      <c r="H277" s="275">
        <v>38772</v>
      </c>
      <c r="I277" s="298" t="s">
        <v>405</v>
      </c>
      <c r="J277" s="272">
        <v>350.92</v>
      </c>
      <c r="K277" s="271">
        <v>70.18</v>
      </c>
      <c r="L277" s="289">
        <f>J277+K277</f>
        <v>421.1</v>
      </c>
      <c r="M277" s="272">
        <v>350.92</v>
      </c>
      <c r="N277" s="12"/>
      <c r="O277" s="190">
        <f t="shared" si="94"/>
        <v>350.92</v>
      </c>
      <c r="P277" s="12">
        <f t="shared" si="95"/>
        <v>228.098</v>
      </c>
      <c r="Q277" s="12"/>
      <c r="R277" s="190">
        <f t="shared" si="96"/>
        <v>228.098</v>
      </c>
      <c r="S277" s="241"/>
      <c r="T277" s="242"/>
    </row>
    <row r="278" spans="1:20" ht="40.5" customHeight="1">
      <c r="A278" s="61" t="s">
        <v>354</v>
      </c>
      <c r="B278" s="8"/>
      <c r="C278" s="9" t="s">
        <v>151</v>
      </c>
      <c r="D278" s="307" t="s">
        <v>406</v>
      </c>
      <c r="E278" s="277" t="s">
        <v>407</v>
      </c>
      <c r="F278" s="274">
        <v>45</v>
      </c>
      <c r="G278" s="275">
        <v>38747</v>
      </c>
      <c r="H278" s="276">
        <v>38793</v>
      </c>
      <c r="I278" s="298" t="s">
        <v>196</v>
      </c>
      <c r="J278" s="271">
        <v>1790</v>
      </c>
      <c r="K278" s="271">
        <v>358</v>
      </c>
      <c r="L278" s="289">
        <f>J278+K278</f>
        <v>2148</v>
      </c>
      <c r="M278" s="31">
        <v>1790</v>
      </c>
      <c r="N278" s="12"/>
      <c r="O278" s="190">
        <f t="shared" si="94"/>
        <v>1790</v>
      </c>
      <c r="P278" s="12">
        <f t="shared" si="95"/>
        <v>1163.5</v>
      </c>
      <c r="Q278" s="12"/>
      <c r="R278" s="190">
        <f t="shared" si="96"/>
        <v>1163.5</v>
      </c>
      <c r="S278" s="241"/>
      <c r="T278" s="242"/>
    </row>
    <row r="279" spans="1:20" ht="40.5" customHeight="1">
      <c r="A279" s="61" t="s">
        <v>354</v>
      </c>
      <c r="B279" s="8"/>
      <c r="C279" s="9" t="s">
        <v>151</v>
      </c>
      <c r="D279" s="308" t="s">
        <v>408</v>
      </c>
      <c r="E279" s="277" t="s">
        <v>409</v>
      </c>
      <c r="F279" s="278" t="s">
        <v>410</v>
      </c>
      <c r="G279" s="275">
        <v>38631</v>
      </c>
      <c r="H279" s="276">
        <v>38713</v>
      </c>
      <c r="I279" s="298" t="s">
        <v>411</v>
      </c>
      <c r="J279" s="271">
        <f>62.19</f>
        <v>62.19</v>
      </c>
      <c r="K279" s="271">
        <v>12.47</v>
      </c>
      <c r="L279" s="289">
        <f>J279+K279+2.53-0.19</f>
        <v>77</v>
      </c>
      <c r="M279" s="271">
        <f>62.19</f>
        <v>62.19</v>
      </c>
      <c r="N279" s="12"/>
      <c r="O279" s="190">
        <f t="shared" si="94"/>
        <v>62.19</v>
      </c>
      <c r="P279" s="12">
        <f t="shared" si="95"/>
        <v>40.4235</v>
      </c>
      <c r="Q279" s="12"/>
      <c r="R279" s="190">
        <f t="shared" si="96"/>
        <v>40.4235</v>
      </c>
      <c r="S279" s="241"/>
      <c r="T279" s="242"/>
    </row>
    <row r="280" spans="1:20" ht="40.5" customHeight="1">
      <c r="A280" s="61" t="s">
        <v>354</v>
      </c>
      <c r="B280" s="8"/>
      <c r="C280" s="9" t="s">
        <v>151</v>
      </c>
      <c r="D280" s="308" t="s">
        <v>412</v>
      </c>
      <c r="E280" s="277" t="s">
        <v>409</v>
      </c>
      <c r="F280" s="279" t="s">
        <v>413</v>
      </c>
      <c r="G280" s="275">
        <v>38631</v>
      </c>
      <c r="H280" s="276">
        <v>38713</v>
      </c>
      <c r="I280" s="298" t="s">
        <v>411</v>
      </c>
      <c r="J280" s="271">
        <f>464.9+227.32</f>
        <v>692.22</v>
      </c>
      <c r="K280" s="271">
        <v>138.48</v>
      </c>
      <c r="L280" s="289">
        <f>J280+K280+1.41-0.11</f>
        <v>832</v>
      </c>
      <c r="M280" s="271">
        <f>464.9+227.32</f>
        <v>692.22</v>
      </c>
      <c r="N280" s="12"/>
      <c r="O280" s="190">
        <f t="shared" si="94"/>
        <v>692.22</v>
      </c>
      <c r="P280" s="12">
        <f t="shared" si="95"/>
        <v>449.94300000000004</v>
      </c>
      <c r="Q280" s="12"/>
      <c r="R280" s="190">
        <f t="shared" si="96"/>
        <v>449.94300000000004</v>
      </c>
      <c r="S280" s="241"/>
      <c r="T280" s="242"/>
    </row>
    <row r="281" spans="1:20" ht="55.5" customHeight="1">
      <c r="A281" s="61" t="s">
        <v>354</v>
      </c>
      <c r="B281" s="8"/>
      <c r="C281" s="9" t="s">
        <v>151</v>
      </c>
      <c r="D281" s="307" t="s">
        <v>414</v>
      </c>
      <c r="E281" s="277" t="s">
        <v>409</v>
      </c>
      <c r="F281" s="274" t="s">
        <v>415</v>
      </c>
      <c r="G281" s="275">
        <v>38692</v>
      </c>
      <c r="H281" s="275">
        <v>38770</v>
      </c>
      <c r="I281" s="298" t="s">
        <v>126</v>
      </c>
      <c r="J281" s="272">
        <f>210+41.32</f>
        <v>251.32</v>
      </c>
      <c r="K281" s="271">
        <v>50.3</v>
      </c>
      <c r="L281" s="289">
        <f>J281+K281+0.17+0.01-31.5-6.3</f>
        <v>264</v>
      </c>
      <c r="M281" s="272">
        <f>210+41.32</f>
        <v>251.32</v>
      </c>
      <c r="N281" s="12"/>
      <c r="O281" s="190">
        <f t="shared" si="94"/>
        <v>251.32</v>
      </c>
      <c r="P281" s="12">
        <f t="shared" si="95"/>
        <v>163.358</v>
      </c>
      <c r="Q281" s="12"/>
      <c r="R281" s="190">
        <f t="shared" si="96"/>
        <v>163.358</v>
      </c>
      <c r="S281" s="410"/>
      <c r="T281" s="411"/>
    </row>
    <row r="282" spans="1:20" ht="55.5" customHeight="1">
      <c r="A282" s="61" t="s">
        <v>354</v>
      </c>
      <c r="B282" s="8"/>
      <c r="C282" s="9" t="s">
        <v>151</v>
      </c>
      <c r="D282" s="308" t="s">
        <v>412</v>
      </c>
      <c r="E282" s="277" t="s">
        <v>409</v>
      </c>
      <c r="F282" s="280" t="s">
        <v>453</v>
      </c>
      <c r="G282" s="275">
        <v>38692</v>
      </c>
      <c r="H282" s="275">
        <v>38770</v>
      </c>
      <c r="I282" s="298" t="s">
        <v>126</v>
      </c>
      <c r="J282" s="271">
        <f>396.51+227.32</f>
        <v>623.8299999999999</v>
      </c>
      <c r="K282" s="271">
        <v>124.8</v>
      </c>
      <c r="L282" s="289">
        <f>J282+K282+1.86+0.01</f>
        <v>750.4999999999999</v>
      </c>
      <c r="M282" s="271">
        <f>396.51+227.32</f>
        <v>623.8299999999999</v>
      </c>
      <c r="N282" s="12"/>
      <c r="O282" s="190">
        <f t="shared" si="94"/>
        <v>623.8299999999999</v>
      </c>
      <c r="P282" s="12">
        <f t="shared" si="95"/>
        <v>405.48949999999996</v>
      </c>
      <c r="Q282" s="12"/>
      <c r="R282" s="190">
        <f t="shared" si="96"/>
        <v>405.48949999999996</v>
      </c>
      <c r="S282" s="410"/>
      <c r="T282" s="411"/>
    </row>
    <row r="283" spans="1:20" ht="58.5" customHeight="1">
      <c r="A283" s="61" t="s">
        <v>354</v>
      </c>
      <c r="B283" s="8"/>
      <c r="C283" s="9" t="s">
        <v>151</v>
      </c>
      <c r="D283" s="308" t="s">
        <v>416</v>
      </c>
      <c r="E283" s="277" t="s">
        <v>417</v>
      </c>
      <c r="F283" s="277" t="s">
        <v>418</v>
      </c>
      <c r="G283" s="276">
        <v>38672</v>
      </c>
      <c r="H283" s="276">
        <v>38727</v>
      </c>
      <c r="I283" s="298" t="s">
        <v>196</v>
      </c>
      <c r="J283" s="271">
        <v>1718.45</v>
      </c>
      <c r="K283" s="272">
        <v>343.69</v>
      </c>
      <c r="L283" s="290">
        <v>2062.14</v>
      </c>
      <c r="M283" s="271">
        <v>1718.45</v>
      </c>
      <c r="N283" s="12"/>
      <c r="O283" s="190">
        <f t="shared" si="94"/>
        <v>1718.45</v>
      </c>
      <c r="P283" s="12">
        <f t="shared" si="95"/>
        <v>1116.9925</v>
      </c>
      <c r="Q283" s="12"/>
      <c r="R283" s="190">
        <f t="shared" si="96"/>
        <v>1116.9925</v>
      </c>
      <c r="S283" s="410"/>
      <c r="T283" s="411"/>
    </row>
    <row r="284" spans="1:20" ht="58.5" customHeight="1">
      <c r="A284" s="61" t="s">
        <v>479</v>
      </c>
      <c r="B284" s="8"/>
      <c r="C284" s="9" t="s">
        <v>151</v>
      </c>
      <c r="D284" s="308" t="s">
        <v>516</v>
      </c>
      <c r="E284" s="277" t="s">
        <v>385</v>
      </c>
      <c r="F284" s="277">
        <v>93262</v>
      </c>
      <c r="G284" s="276">
        <v>38777</v>
      </c>
      <c r="H284" s="276">
        <v>38835</v>
      </c>
      <c r="I284" s="298" t="s">
        <v>387</v>
      </c>
      <c r="J284" s="271">
        <v>558</v>
      </c>
      <c r="K284" s="272">
        <v>229.88</v>
      </c>
      <c r="L284" s="290">
        <v>1379.29</v>
      </c>
      <c r="M284" s="271">
        <v>558</v>
      </c>
      <c r="N284" s="12"/>
      <c r="O284" s="190">
        <f aca="true" t="shared" si="97" ref="O284:O290">M284+N284</f>
        <v>558</v>
      </c>
      <c r="P284" s="12">
        <f aca="true" t="shared" si="98" ref="P284:P290">M284*0.65</f>
        <v>362.7</v>
      </c>
      <c r="Q284" s="12"/>
      <c r="R284" s="190">
        <f aca="true" t="shared" si="99" ref="R284:R290">P284+Q284</f>
        <v>362.7</v>
      </c>
      <c r="S284" s="410"/>
      <c r="T284" s="411"/>
    </row>
    <row r="285" spans="1:20" ht="58.5" customHeight="1">
      <c r="A285" s="61" t="s">
        <v>479</v>
      </c>
      <c r="B285" s="8"/>
      <c r="C285" s="9" t="s">
        <v>151</v>
      </c>
      <c r="D285" s="308" t="s">
        <v>414</v>
      </c>
      <c r="E285" s="277" t="s">
        <v>409</v>
      </c>
      <c r="F285" s="277" t="s">
        <v>517</v>
      </c>
      <c r="G285" s="276">
        <v>38813</v>
      </c>
      <c r="H285" s="276">
        <v>38889</v>
      </c>
      <c r="I285" s="298" t="s">
        <v>196</v>
      </c>
      <c r="J285" s="271">
        <v>206.26</v>
      </c>
      <c r="K285" s="272">
        <v>44.04</v>
      </c>
      <c r="L285" s="290">
        <v>250.44</v>
      </c>
      <c r="M285" s="271">
        <v>206.26</v>
      </c>
      <c r="N285" s="12"/>
      <c r="O285" s="190">
        <f t="shared" si="97"/>
        <v>206.26</v>
      </c>
      <c r="P285" s="12">
        <f t="shared" si="98"/>
        <v>134.069</v>
      </c>
      <c r="Q285" s="12"/>
      <c r="R285" s="190">
        <f t="shared" si="99"/>
        <v>134.069</v>
      </c>
      <c r="S285" s="410"/>
      <c r="T285" s="411"/>
    </row>
    <row r="286" spans="1:20" ht="58.5" customHeight="1">
      <c r="A286" s="61" t="s">
        <v>479</v>
      </c>
      <c r="B286" s="8"/>
      <c r="C286" s="9" t="s">
        <v>151</v>
      </c>
      <c r="D286" s="308" t="s">
        <v>414</v>
      </c>
      <c r="E286" s="277" t="s">
        <v>409</v>
      </c>
      <c r="F286" s="277" t="s">
        <v>518</v>
      </c>
      <c r="G286" s="276">
        <v>38754</v>
      </c>
      <c r="H286" s="276">
        <v>38848</v>
      </c>
      <c r="I286" s="298" t="s">
        <v>126</v>
      </c>
      <c r="J286" s="271">
        <v>251.32</v>
      </c>
      <c r="K286" s="272">
        <v>50.3</v>
      </c>
      <c r="L286" s="290">
        <v>264.5</v>
      </c>
      <c r="M286" s="271">
        <v>251.32</v>
      </c>
      <c r="N286" s="12"/>
      <c r="O286" s="190">
        <f t="shared" si="97"/>
        <v>251.32</v>
      </c>
      <c r="P286" s="12">
        <f t="shared" si="98"/>
        <v>163.358</v>
      </c>
      <c r="Q286" s="12"/>
      <c r="R286" s="190">
        <f t="shared" si="99"/>
        <v>163.358</v>
      </c>
      <c r="S286" s="410"/>
      <c r="T286" s="411"/>
    </row>
    <row r="287" spans="1:20" ht="58.5" customHeight="1">
      <c r="A287" s="61" t="s">
        <v>479</v>
      </c>
      <c r="B287" s="8"/>
      <c r="C287" s="9" t="s">
        <v>151</v>
      </c>
      <c r="D287" s="308" t="s">
        <v>519</v>
      </c>
      <c r="E287" s="277" t="s">
        <v>100</v>
      </c>
      <c r="F287" s="277">
        <v>606005850</v>
      </c>
      <c r="G287" s="276">
        <v>38723</v>
      </c>
      <c r="H287" s="276">
        <v>38734</v>
      </c>
      <c r="I287" s="298" t="s">
        <v>393</v>
      </c>
      <c r="J287" s="271">
        <v>26.5</v>
      </c>
      <c r="K287" s="272">
        <v>5.3</v>
      </c>
      <c r="L287" s="290">
        <v>31.8</v>
      </c>
      <c r="M287" s="271">
        <v>26.5</v>
      </c>
      <c r="N287" s="12"/>
      <c r="O287" s="190">
        <f t="shared" si="97"/>
        <v>26.5</v>
      </c>
      <c r="P287" s="12">
        <f t="shared" si="98"/>
        <v>17.225</v>
      </c>
      <c r="Q287" s="12"/>
      <c r="R287" s="190">
        <f t="shared" si="99"/>
        <v>17.225</v>
      </c>
      <c r="S287" s="410"/>
      <c r="T287" s="411"/>
    </row>
    <row r="288" spans="1:20" ht="58.5" customHeight="1">
      <c r="A288" s="61" t="s">
        <v>479</v>
      </c>
      <c r="B288" s="8"/>
      <c r="C288" s="9" t="s">
        <v>151</v>
      </c>
      <c r="D288" s="308" t="s">
        <v>416</v>
      </c>
      <c r="E288" s="277" t="s">
        <v>417</v>
      </c>
      <c r="F288" s="277" t="s">
        <v>520</v>
      </c>
      <c r="G288" s="276">
        <v>38734</v>
      </c>
      <c r="H288" s="276">
        <v>38791</v>
      </c>
      <c r="I288" s="298" t="s">
        <v>505</v>
      </c>
      <c r="J288" s="271">
        <v>950.9</v>
      </c>
      <c r="K288" s="272">
        <v>190.18</v>
      </c>
      <c r="L288" s="290">
        <v>1141.08</v>
      </c>
      <c r="M288" s="271">
        <v>950.9</v>
      </c>
      <c r="N288" s="12"/>
      <c r="O288" s="190">
        <f t="shared" si="97"/>
        <v>950.9</v>
      </c>
      <c r="P288" s="12">
        <f t="shared" si="98"/>
        <v>618.085</v>
      </c>
      <c r="Q288" s="12"/>
      <c r="R288" s="190">
        <f t="shared" si="99"/>
        <v>618.085</v>
      </c>
      <c r="S288" s="410"/>
      <c r="T288" s="411"/>
    </row>
    <row r="289" spans="1:20" ht="58.5" customHeight="1">
      <c r="A289" s="61" t="s">
        <v>479</v>
      </c>
      <c r="B289" s="8"/>
      <c r="C289" s="9" t="s">
        <v>151</v>
      </c>
      <c r="D289" s="308" t="s">
        <v>416</v>
      </c>
      <c r="E289" s="277" t="s">
        <v>417</v>
      </c>
      <c r="F289" s="277" t="s">
        <v>521</v>
      </c>
      <c r="G289" s="276">
        <v>38795</v>
      </c>
      <c r="H289" s="276">
        <v>38853</v>
      </c>
      <c r="I289" s="298" t="s">
        <v>162</v>
      </c>
      <c r="J289" s="271">
        <v>950.9</v>
      </c>
      <c r="K289" s="272">
        <v>190.18</v>
      </c>
      <c r="L289" s="290">
        <v>1148.92</v>
      </c>
      <c r="M289" s="271">
        <v>950.9</v>
      </c>
      <c r="N289" s="12"/>
      <c r="O289" s="190">
        <f t="shared" si="97"/>
        <v>950.9</v>
      </c>
      <c r="P289" s="12">
        <f t="shared" si="98"/>
        <v>618.085</v>
      </c>
      <c r="Q289" s="12"/>
      <c r="R289" s="190">
        <f t="shared" si="99"/>
        <v>618.085</v>
      </c>
      <c r="S289" s="410"/>
      <c r="T289" s="411"/>
    </row>
    <row r="290" spans="1:20" ht="58.5" customHeight="1">
      <c r="A290" s="61" t="s">
        <v>479</v>
      </c>
      <c r="B290" s="8"/>
      <c r="C290" s="9" t="s">
        <v>151</v>
      </c>
      <c r="D290" s="308" t="s">
        <v>416</v>
      </c>
      <c r="E290" s="277" t="s">
        <v>417</v>
      </c>
      <c r="F290" s="277" t="s">
        <v>522</v>
      </c>
      <c r="G290" s="276">
        <v>38854</v>
      </c>
      <c r="H290" s="276">
        <v>38904</v>
      </c>
      <c r="I290" s="298" t="s">
        <v>505</v>
      </c>
      <c r="J290" s="271">
        <v>950.9</v>
      </c>
      <c r="K290" s="272">
        <v>190.18</v>
      </c>
      <c r="L290" s="290">
        <v>1145.72</v>
      </c>
      <c r="M290" s="271">
        <v>950.9</v>
      </c>
      <c r="N290" s="12"/>
      <c r="O290" s="190">
        <f t="shared" si="97"/>
        <v>950.9</v>
      </c>
      <c r="P290" s="12">
        <f t="shared" si="98"/>
        <v>618.085</v>
      </c>
      <c r="Q290" s="12"/>
      <c r="R290" s="190">
        <f t="shared" si="99"/>
        <v>618.085</v>
      </c>
      <c r="S290" s="410"/>
      <c r="T290" s="411"/>
    </row>
    <row r="291" spans="1:20" ht="22.5" customHeight="1">
      <c r="A291" s="61" t="s">
        <v>590</v>
      </c>
      <c r="B291" s="8"/>
      <c r="C291" s="9" t="s">
        <v>151</v>
      </c>
      <c r="D291" s="21" t="s">
        <v>611</v>
      </c>
      <c r="E291" s="115" t="s">
        <v>515</v>
      </c>
      <c r="F291" s="23">
        <v>95</v>
      </c>
      <c r="G291" s="23">
        <v>38835</v>
      </c>
      <c r="H291" s="11">
        <v>39037</v>
      </c>
      <c r="I291" s="18" t="s">
        <v>196</v>
      </c>
      <c r="J291" s="25">
        <v>10662</v>
      </c>
      <c r="K291" s="26">
        <v>2132.4</v>
      </c>
      <c r="L291" s="201">
        <v>12794.4</v>
      </c>
      <c r="M291" s="25">
        <v>10662</v>
      </c>
      <c r="N291" s="12"/>
      <c r="O291" s="190">
        <f aca="true" t="shared" si="100" ref="O291:O300">M291+N291</f>
        <v>10662</v>
      </c>
      <c r="P291" s="12">
        <f aca="true" t="shared" si="101" ref="P291:P300">M291*0.65</f>
        <v>6930.3</v>
      </c>
      <c r="Q291" s="12"/>
      <c r="R291" s="190">
        <f aca="true" t="shared" si="102" ref="R291:R300">P291+Q291</f>
        <v>6930.3</v>
      </c>
      <c r="S291" s="410"/>
      <c r="T291" s="411"/>
    </row>
    <row r="292" spans="1:20" ht="22.5" customHeight="1">
      <c r="A292" s="61" t="s">
        <v>590</v>
      </c>
      <c r="B292" s="8"/>
      <c r="C292" s="9" t="s">
        <v>151</v>
      </c>
      <c r="D292" s="21" t="s">
        <v>612</v>
      </c>
      <c r="E292" s="115" t="s">
        <v>385</v>
      </c>
      <c r="F292" s="23">
        <v>352542</v>
      </c>
      <c r="G292" s="23">
        <v>38974</v>
      </c>
      <c r="H292" s="11">
        <v>39021</v>
      </c>
      <c r="I292" s="18" t="s">
        <v>441</v>
      </c>
      <c r="J292" s="25">
        <v>1028.582</v>
      </c>
      <c r="K292" s="26">
        <v>208.53</v>
      </c>
      <c r="L292" s="201">
        <v>1251.172</v>
      </c>
      <c r="M292" s="25">
        <v>1028.582</v>
      </c>
      <c r="N292" s="12"/>
      <c r="O292" s="190">
        <f t="shared" si="100"/>
        <v>1028.582</v>
      </c>
      <c r="P292" s="12">
        <f t="shared" si="101"/>
        <v>668.5783000000001</v>
      </c>
      <c r="Q292" s="12"/>
      <c r="R292" s="190">
        <f t="shared" si="102"/>
        <v>668.5783000000001</v>
      </c>
      <c r="S292" s="313"/>
      <c r="T292" s="314"/>
    </row>
    <row r="293" spans="1:20" ht="22.5" customHeight="1">
      <c r="A293" s="61" t="s">
        <v>590</v>
      </c>
      <c r="B293" s="8"/>
      <c r="C293" s="9" t="s">
        <v>151</v>
      </c>
      <c r="D293" s="21" t="s">
        <v>613</v>
      </c>
      <c r="E293" s="115" t="s">
        <v>385</v>
      </c>
      <c r="F293" s="23">
        <v>365693</v>
      </c>
      <c r="G293" s="23">
        <v>38982</v>
      </c>
      <c r="H293" s="11">
        <v>39021</v>
      </c>
      <c r="I293" s="18" t="s">
        <v>441</v>
      </c>
      <c r="J293" s="25">
        <v>630.05</v>
      </c>
      <c r="K293" s="26">
        <v>128.46</v>
      </c>
      <c r="L293" s="201">
        <v>770.78</v>
      </c>
      <c r="M293" s="25">
        <v>630.05</v>
      </c>
      <c r="N293" s="12"/>
      <c r="O293" s="190">
        <f t="shared" si="100"/>
        <v>630.05</v>
      </c>
      <c r="P293" s="12">
        <f t="shared" si="101"/>
        <v>409.53249999999997</v>
      </c>
      <c r="Q293" s="12"/>
      <c r="R293" s="190">
        <f t="shared" si="102"/>
        <v>409.53249999999997</v>
      </c>
      <c r="S293" s="313"/>
      <c r="T293" s="314"/>
    </row>
    <row r="294" spans="1:20" ht="22.5" customHeight="1">
      <c r="A294" s="61" t="s">
        <v>590</v>
      </c>
      <c r="B294" s="8"/>
      <c r="C294" s="9" t="s">
        <v>151</v>
      </c>
      <c r="D294" s="21" t="s">
        <v>614</v>
      </c>
      <c r="E294" s="115" t="s">
        <v>385</v>
      </c>
      <c r="F294" s="23">
        <v>399065</v>
      </c>
      <c r="G294" s="23">
        <v>39003</v>
      </c>
      <c r="H294" s="11"/>
      <c r="I294" s="18"/>
      <c r="J294" s="25">
        <v>4774.6</v>
      </c>
      <c r="K294" s="26">
        <v>959.33</v>
      </c>
      <c r="L294" s="201">
        <v>5755.96</v>
      </c>
      <c r="M294" s="25">
        <v>4774.6</v>
      </c>
      <c r="N294" s="12"/>
      <c r="O294" s="190">
        <f t="shared" si="100"/>
        <v>4774.6</v>
      </c>
      <c r="P294" s="12">
        <f t="shared" si="101"/>
        <v>3103.4900000000002</v>
      </c>
      <c r="Q294" s="12"/>
      <c r="R294" s="190">
        <f t="shared" si="102"/>
        <v>3103.4900000000002</v>
      </c>
      <c r="S294" s="313"/>
      <c r="T294" s="314"/>
    </row>
    <row r="295" spans="1:20" ht="22.5" customHeight="1">
      <c r="A295" s="61" t="s">
        <v>590</v>
      </c>
      <c r="B295" s="8"/>
      <c r="C295" s="9" t="s">
        <v>151</v>
      </c>
      <c r="D295" s="21" t="s">
        <v>416</v>
      </c>
      <c r="E295" s="115" t="s">
        <v>417</v>
      </c>
      <c r="F295" s="23" t="s">
        <v>615</v>
      </c>
      <c r="G295" s="23">
        <v>38915</v>
      </c>
      <c r="H295" s="11">
        <v>38999</v>
      </c>
      <c r="I295" s="18" t="s">
        <v>196</v>
      </c>
      <c r="J295" s="25">
        <v>950.9</v>
      </c>
      <c r="K295" s="26">
        <v>190.18</v>
      </c>
      <c r="L295" s="201">
        <v>1141.08</v>
      </c>
      <c r="M295" s="25">
        <v>950.9</v>
      </c>
      <c r="N295" s="12"/>
      <c r="O295" s="190">
        <f t="shared" si="100"/>
        <v>950.9</v>
      </c>
      <c r="P295" s="12">
        <f t="shared" si="101"/>
        <v>618.085</v>
      </c>
      <c r="Q295" s="12"/>
      <c r="R295" s="190">
        <f t="shared" si="102"/>
        <v>618.085</v>
      </c>
      <c r="S295" s="313"/>
      <c r="T295" s="314"/>
    </row>
    <row r="296" spans="1:20" ht="22.5" customHeight="1">
      <c r="A296" s="61" t="s">
        <v>590</v>
      </c>
      <c r="B296" s="8"/>
      <c r="C296" s="9" t="s">
        <v>151</v>
      </c>
      <c r="D296" s="21" t="s">
        <v>416</v>
      </c>
      <c r="E296" s="115" t="s">
        <v>417</v>
      </c>
      <c r="F296" s="23" t="s">
        <v>616</v>
      </c>
      <c r="G296" s="23"/>
      <c r="H296" s="11">
        <v>39021</v>
      </c>
      <c r="I296" s="18" t="s">
        <v>196</v>
      </c>
      <c r="J296" s="25">
        <v>958.5</v>
      </c>
      <c r="K296" s="26">
        <v>191.7</v>
      </c>
      <c r="L296" s="201">
        <v>1150.2</v>
      </c>
      <c r="M296" s="25">
        <v>958.5</v>
      </c>
      <c r="N296" s="12"/>
      <c r="O296" s="190">
        <f t="shared" si="100"/>
        <v>958.5</v>
      </c>
      <c r="P296" s="12">
        <f t="shared" si="101"/>
        <v>623.025</v>
      </c>
      <c r="Q296" s="12"/>
      <c r="R296" s="190">
        <f t="shared" si="102"/>
        <v>623.025</v>
      </c>
      <c r="S296" s="313"/>
      <c r="T296" s="314"/>
    </row>
    <row r="297" spans="1:20" ht="22.5" customHeight="1">
      <c r="A297" s="61" t="s">
        <v>590</v>
      </c>
      <c r="B297" s="8"/>
      <c r="C297" s="9" t="s">
        <v>151</v>
      </c>
      <c r="D297" s="21" t="s">
        <v>414</v>
      </c>
      <c r="E297" s="115" t="s">
        <v>409</v>
      </c>
      <c r="F297" s="23" t="s">
        <v>617</v>
      </c>
      <c r="G297" s="23">
        <v>38875</v>
      </c>
      <c r="H297" s="11">
        <v>38968</v>
      </c>
      <c r="I297" s="18" t="s">
        <v>196</v>
      </c>
      <c r="J297" s="25">
        <v>219.82</v>
      </c>
      <c r="K297" s="26">
        <v>44.04</v>
      </c>
      <c r="L297" s="201">
        <v>264.5</v>
      </c>
      <c r="M297" s="25">
        <v>219.82</v>
      </c>
      <c r="N297" s="12"/>
      <c r="O297" s="190">
        <f t="shared" si="100"/>
        <v>219.82</v>
      </c>
      <c r="P297" s="12">
        <f t="shared" si="101"/>
        <v>142.883</v>
      </c>
      <c r="Q297" s="12"/>
      <c r="R297" s="190">
        <f t="shared" si="102"/>
        <v>142.883</v>
      </c>
      <c r="S297" s="313"/>
      <c r="T297" s="314"/>
    </row>
    <row r="298" spans="1:20" ht="22.5" customHeight="1">
      <c r="A298" s="61" t="s">
        <v>590</v>
      </c>
      <c r="B298" s="8"/>
      <c r="C298" s="9" t="s">
        <v>151</v>
      </c>
      <c r="D298" s="21" t="s">
        <v>414</v>
      </c>
      <c r="E298" s="115" t="s">
        <v>409</v>
      </c>
      <c r="F298" s="23" t="s">
        <v>618</v>
      </c>
      <c r="G298" s="23">
        <v>38936</v>
      </c>
      <c r="H298" s="11">
        <v>38975</v>
      </c>
      <c r="I298" s="18" t="s">
        <v>196</v>
      </c>
      <c r="J298" s="25">
        <v>219.82</v>
      </c>
      <c r="K298" s="26">
        <v>44.04</v>
      </c>
      <c r="L298" s="201">
        <v>264</v>
      </c>
      <c r="M298" s="25">
        <v>219.82</v>
      </c>
      <c r="N298" s="12"/>
      <c r="O298" s="190">
        <f t="shared" si="100"/>
        <v>219.82</v>
      </c>
      <c r="P298" s="12">
        <f t="shared" si="101"/>
        <v>142.883</v>
      </c>
      <c r="Q298" s="12"/>
      <c r="R298" s="190">
        <f t="shared" si="102"/>
        <v>142.883</v>
      </c>
      <c r="S298" s="313"/>
      <c r="T298" s="314"/>
    </row>
    <row r="299" spans="1:20" ht="22.5" customHeight="1">
      <c r="A299" s="61" t="s">
        <v>590</v>
      </c>
      <c r="B299" s="8"/>
      <c r="C299" s="9" t="s">
        <v>151</v>
      </c>
      <c r="D299" s="21" t="s">
        <v>414</v>
      </c>
      <c r="E299" s="115" t="s">
        <v>409</v>
      </c>
      <c r="F299" s="23" t="s">
        <v>619</v>
      </c>
      <c r="G299" s="23">
        <v>38995</v>
      </c>
      <c r="H299" s="11">
        <v>39035</v>
      </c>
      <c r="I299" s="18" t="s">
        <v>411</v>
      </c>
      <c r="J299" s="25">
        <v>219.82</v>
      </c>
      <c r="K299" s="26">
        <v>44.05</v>
      </c>
      <c r="L299" s="201">
        <v>264.5</v>
      </c>
      <c r="M299" s="25">
        <v>219.82</v>
      </c>
      <c r="N299" s="12"/>
      <c r="O299" s="190">
        <f t="shared" si="100"/>
        <v>219.82</v>
      </c>
      <c r="P299" s="12">
        <f t="shared" si="101"/>
        <v>142.883</v>
      </c>
      <c r="Q299" s="12"/>
      <c r="R299" s="190">
        <f t="shared" si="102"/>
        <v>142.883</v>
      </c>
      <c r="S299" s="313"/>
      <c r="T299" s="314"/>
    </row>
    <row r="300" spans="1:20" ht="22.5" customHeight="1">
      <c r="A300" s="61" t="s">
        <v>590</v>
      </c>
      <c r="B300" s="8"/>
      <c r="C300" s="9" t="s">
        <v>151</v>
      </c>
      <c r="D300" s="21" t="s">
        <v>620</v>
      </c>
      <c r="E300" s="115" t="s">
        <v>621</v>
      </c>
      <c r="F300" s="23" t="s">
        <v>622</v>
      </c>
      <c r="G300" s="23">
        <v>39021</v>
      </c>
      <c r="H300" s="11"/>
      <c r="I300" s="18"/>
      <c r="J300" s="25">
        <v>56430</v>
      </c>
      <c r="K300" s="26">
        <v>11286</v>
      </c>
      <c r="L300" s="201">
        <v>67716</v>
      </c>
      <c r="M300" s="25">
        <v>56430</v>
      </c>
      <c r="N300" s="12"/>
      <c r="O300" s="190">
        <f t="shared" si="100"/>
        <v>56430</v>
      </c>
      <c r="P300" s="12">
        <f t="shared" si="101"/>
        <v>36679.5</v>
      </c>
      <c r="Q300" s="12"/>
      <c r="R300" s="190">
        <f t="shared" si="102"/>
        <v>36679.5</v>
      </c>
      <c r="S300" s="313"/>
      <c r="T300" s="314"/>
    </row>
    <row r="301" spans="1:20" ht="22.5" customHeight="1">
      <c r="A301" s="61" t="s">
        <v>644</v>
      </c>
      <c r="B301" s="8"/>
      <c r="C301" s="9" t="s">
        <v>151</v>
      </c>
      <c r="D301" s="21" t="s">
        <v>668</v>
      </c>
      <c r="E301" s="115" t="s">
        <v>409</v>
      </c>
      <c r="F301" s="23" t="s">
        <v>669</v>
      </c>
      <c r="G301" s="23">
        <v>39051</v>
      </c>
      <c r="H301" s="11">
        <v>39155</v>
      </c>
      <c r="I301" s="18" t="s">
        <v>196</v>
      </c>
      <c r="J301" s="25">
        <v>28860</v>
      </c>
      <c r="K301" s="26">
        <v>5772</v>
      </c>
      <c r="L301" s="201">
        <v>34632</v>
      </c>
      <c r="M301" s="25">
        <v>28860</v>
      </c>
      <c r="N301" s="12"/>
      <c r="O301" s="190">
        <f aca="true" t="shared" si="103" ref="O301:O311">M301+N301</f>
        <v>28860</v>
      </c>
      <c r="P301" s="12">
        <f aca="true" t="shared" si="104" ref="P301:P311">M301*0.65</f>
        <v>18759</v>
      </c>
      <c r="Q301" s="12"/>
      <c r="R301" s="190">
        <f aca="true" t="shared" si="105" ref="R301:R311">P301+Q301</f>
        <v>18759</v>
      </c>
      <c r="S301" s="313"/>
      <c r="T301" s="314"/>
    </row>
    <row r="302" spans="1:20" ht="22.5" customHeight="1">
      <c r="A302" s="61" t="s">
        <v>644</v>
      </c>
      <c r="B302" s="8"/>
      <c r="C302" s="9" t="s">
        <v>151</v>
      </c>
      <c r="D302" s="21" t="s">
        <v>668</v>
      </c>
      <c r="E302" s="115" t="s">
        <v>409</v>
      </c>
      <c r="F302" s="23" t="s">
        <v>670</v>
      </c>
      <c r="G302" s="23">
        <v>39108</v>
      </c>
      <c r="H302" s="11">
        <v>39155</v>
      </c>
      <c r="I302" s="18" t="s">
        <v>196</v>
      </c>
      <c r="J302" s="25">
        <v>228</v>
      </c>
      <c r="K302" s="26">
        <v>45.6</v>
      </c>
      <c r="L302" s="201">
        <v>273.6</v>
      </c>
      <c r="M302" s="25">
        <v>228</v>
      </c>
      <c r="N302" s="12"/>
      <c r="O302" s="190">
        <f t="shared" si="103"/>
        <v>228</v>
      </c>
      <c r="P302" s="12">
        <f t="shared" si="104"/>
        <v>148.20000000000002</v>
      </c>
      <c r="Q302" s="12"/>
      <c r="R302" s="190">
        <f t="shared" si="105"/>
        <v>148.20000000000002</v>
      </c>
      <c r="S302" s="313"/>
      <c r="T302" s="314"/>
    </row>
    <row r="303" spans="1:20" ht="22.5" customHeight="1">
      <c r="A303" s="61" t="s">
        <v>644</v>
      </c>
      <c r="B303" s="8"/>
      <c r="C303" s="9" t="s">
        <v>151</v>
      </c>
      <c r="D303" s="21" t="s">
        <v>671</v>
      </c>
      <c r="E303" s="115" t="s">
        <v>385</v>
      </c>
      <c r="F303" s="23">
        <v>422965</v>
      </c>
      <c r="G303" s="23">
        <v>39017</v>
      </c>
      <c r="H303" s="11">
        <v>39051</v>
      </c>
      <c r="I303" s="18" t="s">
        <v>441</v>
      </c>
      <c r="J303" s="25">
        <v>1107.69</v>
      </c>
      <c r="K303" s="26">
        <v>221.54</v>
      </c>
      <c r="L303" s="201">
        <v>1329.23</v>
      </c>
      <c r="M303" s="25">
        <v>1107.69</v>
      </c>
      <c r="N303" s="12"/>
      <c r="O303" s="190">
        <f t="shared" si="103"/>
        <v>1107.69</v>
      </c>
      <c r="P303" s="12">
        <f t="shared" si="104"/>
        <v>719.9985</v>
      </c>
      <c r="Q303" s="12"/>
      <c r="R303" s="190">
        <f t="shared" si="105"/>
        <v>719.9985</v>
      </c>
      <c r="S303" s="313"/>
      <c r="T303" s="314"/>
    </row>
    <row r="304" spans="1:20" ht="22.5" customHeight="1">
      <c r="A304" s="61" t="s">
        <v>644</v>
      </c>
      <c r="B304" s="8"/>
      <c r="C304" s="9" t="s">
        <v>151</v>
      </c>
      <c r="D304" s="21" t="s">
        <v>672</v>
      </c>
      <c r="E304" s="115" t="s">
        <v>385</v>
      </c>
      <c r="F304" s="23">
        <v>437920</v>
      </c>
      <c r="G304" s="23">
        <v>39028</v>
      </c>
      <c r="H304" s="11">
        <v>39080</v>
      </c>
      <c r="I304" s="18" t="s">
        <v>441</v>
      </c>
      <c r="J304" s="25">
        <v>469.37</v>
      </c>
      <c r="K304" s="26">
        <v>93.87</v>
      </c>
      <c r="L304" s="201">
        <v>563.24</v>
      </c>
      <c r="M304" s="25">
        <v>469.37</v>
      </c>
      <c r="N304" s="12"/>
      <c r="O304" s="190">
        <f t="shared" si="103"/>
        <v>469.37</v>
      </c>
      <c r="P304" s="12">
        <f t="shared" si="104"/>
        <v>305.0905</v>
      </c>
      <c r="Q304" s="12"/>
      <c r="R304" s="190">
        <f t="shared" si="105"/>
        <v>305.0905</v>
      </c>
      <c r="S304" s="313"/>
      <c r="T304" s="314"/>
    </row>
    <row r="305" spans="1:20" ht="22.5" customHeight="1">
      <c r="A305" s="61" t="s">
        <v>644</v>
      </c>
      <c r="B305" s="8"/>
      <c r="C305" s="9" t="s">
        <v>151</v>
      </c>
      <c r="D305" s="21" t="s">
        <v>673</v>
      </c>
      <c r="E305" s="115" t="s">
        <v>385</v>
      </c>
      <c r="F305" s="23">
        <v>440330</v>
      </c>
      <c r="G305" s="23">
        <v>39029</v>
      </c>
      <c r="H305" s="11">
        <v>39080</v>
      </c>
      <c r="I305" s="18" t="s">
        <v>441</v>
      </c>
      <c r="J305" s="25">
        <v>724.21</v>
      </c>
      <c r="K305" s="26">
        <v>144.84</v>
      </c>
      <c r="L305" s="201">
        <v>869.05</v>
      </c>
      <c r="M305" s="25">
        <v>724.21</v>
      </c>
      <c r="N305" s="12"/>
      <c r="O305" s="190">
        <f t="shared" si="103"/>
        <v>724.21</v>
      </c>
      <c r="P305" s="12">
        <f t="shared" si="104"/>
        <v>470.73650000000004</v>
      </c>
      <c r="Q305" s="12"/>
      <c r="R305" s="190">
        <f t="shared" si="105"/>
        <v>470.73650000000004</v>
      </c>
      <c r="S305" s="313"/>
      <c r="T305" s="314"/>
    </row>
    <row r="306" spans="1:20" ht="22.5" customHeight="1">
      <c r="A306" s="61" t="s">
        <v>644</v>
      </c>
      <c r="B306" s="8"/>
      <c r="C306" s="9" t="s">
        <v>151</v>
      </c>
      <c r="D306" s="21" t="s">
        <v>674</v>
      </c>
      <c r="E306" s="115" t="s">
        <v>385</v>
      </c>
      <c r="F306" s="23">
        <v>445488</v>
      </c>
      <c r="G306" s="23">
        <v>39031</v>
      </c>
      <c r="H306" s="11">
        <v>39080</v>
      </c>
      <c r="I306" s="18" t="s">
        <v>441</v>
      </c>
      <c r="J306" s="25">
        <v>979.77</v>
      </c>
      <c r="K306" s="26">
        <v>195.95</v>
      </c>
      <c r="L306" s="201">
        <v>1175.72</v>
      </c>
      <c r="M306" s="25">
        <v>979.77</v>
      </c>
      <c r="N306" s="12"/>
      <c r="O306" s="190">
        <f t="shared" si="103"/>
        <v>979.77</v>
      </c>
      <c r="P306" s="12">
        <f t="shared" si="104"/>
        <v>636.8505</v>
      </c>
      <c r="Q306" s="12"/>
      <c r="R306" s="190">
        <f t="shared" si="105"/>
        <v>636.8505</v>
      </c>
      <c r="S306" s="313"/>
      <c r="T306" s="314"/>
    </row>
    <row r="307" spans="1:20" ht="22.5" customHeight="1">
      <c r="A307" s="61" t="s">
        <v>644</v>
      </c>
      <c r="B307" s="8"/>
      <c r="C307" s="9" t="s">
        <v>151</v>
      </c>
      <c r="D307" s="21" t="s">
        <v>675</v>
      </c>
      <c r="E307" s="115" t="s">
        <v>385</v>
      </c>
      <c r="F307" s="23">
        <v>453355</v>
      </c>
      <c r="G307" s="23">
        <v>39036</v>
      </c>
      <c r="H307" s="11">
        <v>39080</v>
      </c>
      <c r="I307" s="18" t="s">
        <v>441</v>
      </c>
      <c r="J307" s="25">
        <v>694.47</v>
      </c>
      <c r="K307" s="26">
        <v>138.89</v>
      </c>
      <c r="L307" s="201">
        <v>833.36</v>
      </c>
      <c r="M307" s="25">
        <v>694.47</v>
      </c>
      <c r="N307" s="12"/>
      <c r="O307" s="190">
        <f t="shared" si="103"/>
        <v>694.47</v>
      </c>
      <c r="P307" s="12">
        <f t="shared" si="104"/>
        <v>451.4055</v>
      </c>
      <c r="Q307" s="12"/>
      <c r="R307" s="190">
        <f t="shared" si="105"/>
        <v>451.4055</v>
      </c>
      <c r="S307" s="313"/>
      <c r="T307" s="314"/>
    </row>
    <row r="308" spans="1:20" ht="22.5" customHeight="1">
      <c r="A308" s="61" t="s">
        <v>644</v>
      </c>
      <c r="B308" s="8"/>
      <c r="C308" s="9" t="s">
        <v>151</v>
      </c>
      <c r="D308" s="21" t="s">
        <v>676</v>
      </c>
      <c r="E308" s="115" t="s">
        <v>385</v>
      </c>
      <c r="F308" s="23">
        <v>480874</v>
      </c>
      <c r="G308" s="23">
        <v>39051</v>
      </c>
      <c r="H308" s="11">
        <v>39113</v>
      </c>
      <c r="I308" s="18" t="s">
        <v>441</v>
      </c>
      <c r="J308" s="25">
        <v>259.81</v>
      </c>
      <c r="K308" s="26">
        <v>51.96</v>
      </c>
      <c r="L308" s="201">
        <v>311.77</v>
      </c>
      <c r="M308" s="25">
        <v>259.81</v>
      </c>
      <c r="N308" s="12"/>
      <c r="O308" s="190">
        <f t="shared" si="103"/>
        <v>259.81</v>
      </c>
      <c r="P308" s="12">
        <f t="shared" si="104"/>
        <v>168.87650000000002</v>
      </c>
      <c r="Q308" s="12"/>
      <c r="R308" s="190">
        <f t="shared" si="105"/>
        <v>168.87650000000002</v>
      </c>
      <c r="S308" s="313"/>
      <c r="T308" s="314"/>
    </row>
    <row r="309" spans="1:20" ht="22.5" customHeight="1">
      <c r="A309" s="61" t="s">
        <v>644</v>
      </c>
      <c r="B309" s="8"/>
      <c r="C309" s="9" t="s">
        <v>151</v>
      </c>
      <c r="D309" s="21" t="s">
        <v>416</v>
      </c>
      <c r="E309" s="115" t="s">
        <v>417</v>
      </c>
      <c r="F309" s="23" t="s">
        <v>677</v>
      </c>
      <c r="G309" s="23">
        <v>39036</v>
      </c>
      <c r="H309" s="11">
        <v>39097</v>
      </c>
      <c r="I309" s="18" t="s">
        <v>95</v>
      </c>
      <c r="J309" s="25">
        <v>950.9</v>
      </c>
      <c r="K309" s="26">
        <v>190.18</v>
      </c>
      <c r="L309" s="201">
        <v>1146.52</v>
      </c>
      <c r="M309" s="25">
        <v>950.9</v>
      </c>
      <c r="N309" s="12"/>
      <c r="O309" s="190">
        <f t="shared" si="103"/>
        <v>950.9</v>
      </c>
      <c r="P309" s="12">
        <f t="shared" si="104"/>
        <v>618.085</v>
      </c>
      <c r="Q309" s="12"/>
      <c r="R309" s="190">
        <f t="shared" si="105"/>
        <v>618.085</v>
      </c>
      <c r="S309" s="313"/>
      <c r="T309" s="314"/>
    </row>
    <row r="310" spans="1:20" ht="22.5" customHeight="1">
      <c r="A310" s="61" t="s">
        <v>644</v>
      </c>
      <c r="B310" s="8"/>
      <c r="C310" s="9" t="s">
        <v>151</v>
      </c>
      <c r="D310" s="21" t="s">
        <v>416</v>
      </c>
      <c r="E310" s="115" t="s">
        <v>417</v>
      </c>
      <c r="F310" s="23" t="s">
        <v>678</v>
      </c>
      <c r="G310" s="23">
        <v>39098</v>
      </c>
      <c r="H310" s="11">
        <v>39153</v>
      </c>
      <c r="I310" s="18" t="s">
        <v>70</v>
      </c>
      <c r="J310" s="25">
        <v>950.9</v>
      </c>
      <c r="K310" s="26">
        <v>190.18</v>
      </c>
      <c r="L310" s="201">
        <v>1141.08</v>
      </c>
      <c r="M310" s="25">
        <v>950.9</v>
      </c>
      <c r="N310" s="12"/>
      <c r="O310" s="190">
        <f t="shared" si="103"/>
        <v>950.9</v>
      </c>
      <c r="P310" s="12">
        <f t="shared" si="104"/>
        <v>618.085</v>
      </c>
      <c r="Q310" s="12"/>
      <c r="R310" s="190">
        <f t="shared" si="105"/>
        <v>618.085</v>
      </c>
      <c r="S310" s="313"/>
      <c r="T310" s="314"/>
    </row>
    <row r="311" spans="1:20" ht="22.5" customHeight="1">
      <c r="A311" s="61" t="s">
        <v>644</v>
      </c>
      <c r="B311" s="8"/>
      <c r="C311" s="9" t="s">
        <v>151</v>
      </c>
      <c r="D311" s="21" t="s">
        <v>414</v>
      </c>
      <c r="E311" s="115" t="s">
        <v>409</v>
      </c>
      <c r="F311" s="23" t="s">
        <v>679</v>
      </c>
      <c r="G311" s="23">
        <v>39057</v>
      </c>
      <c r="H311" s="11">
        <v>39134</v>
      </c>
      <c r="I311" s="18" t="s">
        <v>95</v>
      </c>
      <c r="J311" s="25">
        <v>219.82</v>
      </c>
      <c r="K311" s="26">
        <v>44.05</v>
      </c>
      <c r="L311" s="201">
        <v>264</v>
      </c>
      <c r="M311" s="25">
        <v>219.82</v>
      </c>
      <c r="N311" s="12"/>
      <c r="O311" s="190">
        <f t="shared" si="103"/>
        <v>219.82</v>
      </c>
      <c r="P311" s="12">
        <f t="shared" si="104"/>
        <v>142.883</v>
      </c>
      <c r="Q311" s="12"/>
      <c r="R311" s="190">
        <f t="shared" si="105"/>
        <v>142.883</v>
      </c>
      <c r="S311" s="313"/>
      <c r="T311" s="314"/>
    </row>
    <row r="312" spans="1:20" ht="22.5" customHeight="1">
      <c r="A312" s="61" t="s">
        <v>644</v>
      </c>
      <c r="B312" s="8"/>
      <c r="C312" s="9" t="s">
        <v>151</v>
      </c>
      <c r="D312" s="21" t="s">
        <v>680</v>
      </c>
      <c r="E312" s="115" t="s">
        <v>171</v>
      </c>
      <c r="F312" s="23">
        <v>861</v>
      </c>
      <c r="G312" s="23">
        <v>38198</v>
      </c>
      <c r="H312" s="11">
        <v>38198</v>
      </c>
      <c r="I312" s="18" t="s">
        <v>172</v>
      </c>
      <c r="J312" s="25">
        <v>-2065.83</v>
      </c>
      <c r="K312" s="26">
        <v>-413.166</v>
      </c>
      <c r="L312" s="201">
        <v>-2478.996</v>
      </c>
      <c r="M312" s="25">
        <v>-2065.83</v>
      </c>
      <c r="N312" s="12"/>
      <c r="O312" s="190">
        <f>M312+N312</f>
        <v>-2065.83</v>
      </c>
      <c r="P312" s="12">
        <f aca="true" t="shared" si="106" ref="P312:P318">M312*0.65</f>
        <v>-1342.7895</v>
      </c>
      <c r="Q312" s="12"/>
      <c r="R312" s="190">
        <f aca="true" t="shared" si="107" ref="R312:R318">P312+Q312</f>
        <v>-1342.7895</v>
      </c>
      <c r="S312" s="313"/>
      <c r="T312" s="314"/>
    </row>
    <row r="313" spans="1:20" ht="22.5" customHeight="1">
      <c r="A313" s="61" t="s">
        <v>710</v>
      </c>
      <c r="B313" s="8"/>
      <c r="C313" s="9" t="s">
        <v>151</v>
      </c>
      <c r="D313" s="21" t="s">
        <v>414</v>
      </c>
      <c r="E313" s="115" t="s">
        <v>409</v>
      </c>
      <c r="F313" s="23" t="s">
        <v>718</v>
      </c>
      <c r="G313" s="23">
        <v>39119</v>
      </c>
      <c r="H313" s="11">
        <v>39175</v>
      </c>
      <c r="I313" s="18" t="s">
        <v>196</v>
      </c>
      <c r="J313" s="25">
        <v>251.32</v>
      </c>
      <c r="K313" s="26">
        <v>50.35</v>
      </c>
      <c r="L313" s="201">
        <v>264.5</v>
      </c>
      <c r="M313" s="25">
        <v>251.32</v>
      </c>
      <c r="N313" s="12"/>
      <c r="O313" s="190">
        <f aca="true" t="shared" si="108" ref="O313:O318">+N313+M313</f>
        <v>251.32</v>
      </c>
      <c r="P313" s="12">
        <f t="shared" si="106"/>
        <v>163.358</v>
      </c>
      <c r="Q313" s="12"/>
      <c r="R313" s="190">
        <f t="shared" si="107"/>
        <v>163.358</v>
      </c>
      <c r="S313" s="448" t="s">
        <v>717</v>
      </c>
      <c r="T313" s="449"/>
    </row>
    <row r="314" spans="1:20" ht="22.5" customHeight="1">
      <c r="A314" s="61" t="s">
        <v>710</v>
      </c>
      <c r="B314" s="8"/>
      <c r="C314" s="9" t="s">
        <v>151</v>
      </c>
      <c r="D314" s="21" t="s">
        <v>414</v>
      </c>
      <c r="E314" s="115" t="s">
        <v>409</v>
      </c>
      <c r="F314" s="23" t="s">
        <v>719</v>
      </c>
      <c r="G314" s="23">
        <v>64745</v>
      </c>
      <c r="H314" s="11">
        <v>39220</v>
      </c>
      <c r="I314" s="18" t="s">
        <v>196</v>
      </c>
      <c r="J314" s="25">
        <v>251.32</v>
      </c>
      <c r="K314" s="26">
        <v>50.35</v>
      </c>
      <c r="L314" s="201">
        <v>265.5</v>
      </c>
      <c r="M314" s="25">
        <v>251.32</v>
      </c>
      <c r="N314" s="12"/>
      <c r="O314" s="190">
        <f t="shared" si="108"/>
        <v>251.32</v>
      </c>
      <c r="P314" s="12">
        <f t="shared" si="106"/>
        <v>163.358</v>
      </c>
      <c r="Q314" s="12"/>
      <c r="R314" s="190">
        <f t="shared" si="107"/>
        <v>163.358</v>
      </c>
      <c r="S314" s="448" t="s">
        <v>717</v>
      </c>
      <c r="T314" s="449"/>
    </row>
    <row r="315" spans="1:20" ht="22.5" customHeight="1">
      <c r="A315" s="61" t="s">
        <v>710</v>
      </c>
      <c r="B315" s="8"/>
      <c r="C315" s="9" t="s">
        <v>151</v>
      </c>
      <c r="D315" s="21" t="s">
        <v>414</v>
      </c>
      <c r="E315" s="115" t="s">
        <v>409</v>
      </c>
      <c r="F315" s="23" t="s">
        <v>720</v>
      </c>
      <c r="G315" s="23">
        <v>39239</v>
      </c>
      <c r="H315" s="11">
        <v>39304</v>
      </c>
      <c r="I315" s="18" t="s">
        <v>196</v>
      </c>
      <c r="J315" s="25">
        <v>251.32</v>
      </c>
      <c r="K315" s="26">
        <v>50.35</v>
      </c>
      <c r="L315" s="201">
        <v>268.5</v>
      </c>
      <c r="M315" s="25">
        <v>251.32</v>
      </c>
      <c r="N315" s="12"/>
      <c r="O315" s="190">
        <f t="shared" si="108"/>
        <v>251.32</v>
      </c>
      <c r="P315" s="12">
        <f t="shared" si="106"/>
        <v>163.358</v>
      </c>
      <c r="Q315" s="12"/>
      <c r="R315" s="190">
        <f t="shared" si="107"/>
        <v>163.358</v>
      </c>
      <c r="S315" s="448" t="s">
        <v>717</v>
      </c>
      <c r="T315" s="449"/>
    </row>
    <row r="316" spans="1:20" ht="22.5" customHeight="1">
      <c r="A316" s="61" t="s">
        <v>710</v>
      </c>
      <c r="B316" s="8"/>
      <c r="C316" s="9" t="s">
        <v>151</v>
      </c>
      <c r="D316" s="21" t="s">
        <v>416</v>
      </c>
      <c r="E316" s="115" t="s">
        <v>417</v>
      </c>
      <c r="F316" s="23" t="s">
        <v>721</v>
      </c>
      <c r="G316" s="23">
        <v>39158</v>
      </c>
      <c r="H316" s="11">
        <v>39210</v>
      </c>
      <c r="I316" s="18" t="s">
        <v>196</v>
      </c>
      <c r="J316" s="25">
        <v>950.9</v>
      </c>
      <c r="K316" s="26">
        <v>190.18</v>
      </c>
      <c r="L316" s="201">
        <v>1150.66</v>
      </c>
      <c r="M316" s="25">
        <v>950.9</v>
      </c>
      <c r="N316" s="12"/>
      <c r="O316" s="190">
        <f t="shared" si="108"/>
        <v>950.9</v>
      </c>
      <c r="P316" s="12">
        <f t="shared" si="106"/>
        <v>618.085</v>
      </c>
      <c r="Q316" s="12"/>
      <c r="R316" s="190">
        <f t="shared" si="107"/>
        <v>618.085</v>
      </c>
      <c r="S316" s="448" t="s">
        <v>717</v>
      </c>
      <c r="T316" s="449"/>
    </row>
    <row r="317" spans="1:20" ht="22.5" customHeight="1">
      <c r="A317" s="61" t="s">
        <v>710</v>
      </c>
      <c r="B317" s="8"/>
      <c r="C317" s="9" t="s">
        <v>151</v>
      </c>
      <c r="D317" s="21" t="s">
        <v>416</v>
      </c>
      <c r="E317" s="115" t="s">
        <v>417</v>
      </c>
      <c r="F317" s="23" t="s">
        <v>722</v>
      </c>
      <c r="G317" s="23">
        <v>39142</v>
      </c>
      <c r="H317" s="11">
        <v>39262</v>
      </c>
      <c r="I317" s="18" t="s">
        <v>196</v>
      </c>
      <c r="J317" s="25">
        <v>950.9</v>
      </c>
      <c r="K317" s="26">
        <v>190.18</v>
      </c>
      <c r="L317" s="201">
        <v>1146.16</v>
      </c>
      <c r="M317" s="25">
        <v>950.9</v>
      </c>
      <c r="N317" s="12"/>
      <c r="O317" s="190">
        <f t="shared" si="108"/>
        <v>950.9</v>
      </c>
      <c r="P317" s="12">
        <f t="shared" si="106"/>
        <v>618.085</v>
      </c>
      <c r="Q317" s="12"/>
      <c r="R317" s="190">
        <f t="shared" si="107"/>
        <v>618.085</v>
      </c>
      <c r="S317" s="448" t="s">
        <v>717</v>
      </c>
      <c r="T317" s="449"/>
    </row>
    <row r="318" spans="1:20" ht="22.5" customHeight="1">
      <c r="A318" s="61" t="s">
        <v>710</v>
      </c>
      <c r="B318" s="8"/>
      <c r="C318" s="9" t="s">
        <v>151</v>
      </c>
      <c r="D318" s="21" t="s">
        <v>416</v>
      </c>
      <c r="E318" s="115" t="s">
        <v>417</v>
      </c>
      <c r="F318" s="23" t="s">
        <v>723</v>
      </c>
      <c r="G318" s="23">
        <v>39280</v>
      </c>
      <c r="H318" s="11">
        <v>39329</v>
      </c>
      <c r="I318" s="18" t="s">
        <v>196</v>
      </c>
      <c r="J318" s="25">
        <v>950.9</v>
      </c>
      <c r="K318" s="26">
        <v>190.18</v>
      </c>
      <c r="L318" s="201">
        <v>1145.93</v>
      </c>
      <c r="M318" s="25">
        <v>950.9</v>
      </c>
      <c r="N318" s="12"/>
      <c r="O318" s="190">
        <f t="shared" si="108"/>
        <v>950.9</v>
      </c>
      <c r="P318" s="12">
        <f t="shared" si="106"/>
        <v>618.085</v>
      </c>
      <c r="Q318" s="12"/>
      <c r="R318" s="190">
        <f t="shared" si="107"/>
        <v>618.085</v>
      </c>
      <c r="S318" s="448" t="s">
        <v>717</v>
      </c>
      <c r="T318" s="449"/>
    </row>
    <row r="319" spans="1:20" ht="22.5" customHeight="1">
      <c r="A319" s="61" t="s">
        <v>710</v>
      </c>
      <c r="B319" s="8"/>
      <c r="C319" s="9" t="s">
        <v>151</v>
      </c>
      <c r="D319" s="21" t="s">
        <v>790</v>
      </c>
      <c r="E319" s="115" t="s">
        <v>791</v>
      </c>
      <c r="F319" s="23" t="s">
        <v>819</v>
      </c>
      <c r="G319" s="23">
        <v>39416</v>
      </c>
      <c r="H319" s="11">
        <v>39416</v>
      </c>
      <c r="I319" s="18" t="s">
        <v>792</v>
      </c>
      <c r="J319" s="25">
        <v>530</v>
      </c>
      <c r="K319" s="26">
        <v>106</v>
      </c>
      <c r="L319" s="201">
        <v>636</v>
      </c>
      <c r="M319" s="25">
        <v>530</v>
      </c>
      <c r="N319" s="12"/>
      <c r="O319" s="190">
        <f aca="true" t="shared" si="109" ref="O319:O330">+N319+M319</f>
        <v>530</v>
      </c>
      <c r="P319" s="12">
        <f aca="true" t="shared" si="110" ref="P319:P330">M319*0.65</f>
        <v>344.5</v>
      </c>
      <c r="Q319" s="12"/>
      <c r="R319" s="190">
        <f aca="true" t="shared" si="111" ref="R319:R330">P319+Q319</f>
        <v>344.5</v>
      </c>
      <c r="S319" s="448" t="s">
        <v>717</v>
      </c>
      <c r="T319" s="449"/>
    </row>
    <row r="320" spans="1:20" ht="22.5" customHeight="1">
      <c r="A320" s="61" t="s">
        <v>710</v>
      </c>
      <c r="B320" s="8"/>
      <c r="C320" s="9" t="s">
        <v>151</v>
      </c>
      <c r="D320" s="21" t="s">
        <v>793</v>
      </c>
      <c r="E320" s="115" t="s">
        <v>794</v>
      </c>
      <c r="F320" s="23" t="s">
        <v>795</v>
      </c>
      <c r="G320" s="23">
        <v>39241</v>
      </c>
      <c r="H320" s="11" t="s">
        <v>796</v>
      </c>
      <c r="I320" s="18" t="s">
        <v>797</v>
      </c>
      <c r="J320" s="25">
        <v>15600</v>
      </c>
      <c r="K320" s="26">
        <v>3120</v>
      </c>
      <c r="L320" s="201">
        <v>18720</v>
      </c>
      <c r="M320" s="25">
        <v>15600</v>
      </c>
      <c r="N320" s="12"/>
      <c r="O320" s="190">
        <f t="shared" si="109"/>
        <v>15600</v>
      </c>
      <c r="P320" s="12">
        <f t="shared" si="110"/>
        <v>10140</v>
      </c>
      <c r="Q320" s="12"/>
      <c r="R320" s="190">
        <f t="shared" si="111"/>
        <v>10140</v>
      </c>
      <c r="S320" s="448" t="s">
        <v>717</v>
      </c>
      <c r="T320" s="449"/>
    </row>
    <row r="321" spans="1:20" ht="22.5" customHeight="1">
      <c r="A321" s="61" t="s">
        <v>710</v>
      </c>
      <c r="B321" s="8"/>
      <c r="C321" s="9" t="s">
        <v>151</v>
      </c>
      <c r="D321" s="21" t="s">
        <v>798</v>
      </c>
      <c r="E321" s="115" t="s">
        <v>799</v>
      </c>
      <c r="F321" s="23" t="s">
        <v>800</v>
      </c>
      <c r="G321" s="23">
        <v>39273</v>
      </c>
      <c r="H321" s="11">
        <v>39311</v>
      </c>
      <c r="I321" s="18" t="s">
        <v>801</v>
      </c>
      <c r="J321" s="25">
        <v>3128.4</v>
      </c>
      <c r="K321" s="26">
        <v>625.68</v>
      </c>
      <c r="L321" s="201">
        <v>4498.74</v>
      </c>
      <c r="M321" s="25">
        <v>3128.4</v>
      </c>
      <c r="N321" s="12"/>
      <c r="O321" s="190">
        <f t="shared" si="109"/>
        <v>3128.4</v>
      </c>
      <c r="P321" s="12">
        <f t="shared" si="110"/>
        <v>2033.46</v>
      </c>
      <c r="Q321" s="12"/>
      <c r="R321" s="190">
        <f t="shared" si="111"/>
        <v>2033.46</v>
      </c>
      <c r="S321" s="448" t="s">
        <v>717</v>
      </c>
      <c r="T321" s="449"/>
    </row>
    <row r="322" spans="1:20" ht="22.5" customHeight="1">
      <c r="A322" s="61" t="s">
        <v>710</v>
      </c>
      <c r="B322" s="8"/>
      <c r="C322" s="9" t="s">
        <v>151</v>
      </c>
      <c r="D322" s="21" t="s">
        <v>802</v>
      </c>
      <c r="E322" s="115" t="s">
        <v>90</v>
      </c>
      <c r="F322" s="23" t="s">
        <v>803</v>
      </c>
      <c r="G322" s="23">
        <v>39300</v>
      </c>
      <c r="H322" s="11">
        <v>39359</v>
      </c>
      <c r="I322" s="18" t="s">
        <v>196</v>
      </c>
      <c r="J322" s="25">
        <v>647</v>
      </c>
      <c r="K322" s="26">
        <v>129.49</v>
      </c>
      <c r="L322" s="201">
        <v>776.5</v>
      </c>
      <c r="M322" s="25">
        <v>647</v>
      </c>
      <c r="N322" s="12"/>
      <c r="O322" s="190">
        <f t="shared" si="109"/>
        <v>647</v>
      </c>
      <c r="P322" s="12">
        <f t="shared" si="110"/>
        <v>420.55</v>
      </c>
      <c r="Q322" s="12"/>
      <c r="R322" s="190">
        <f t="shared" si="111"/>
        <v>420.55</v>
      </c>
      <c r="S322" s="448" t="s">
        <v>717</v>
      </c>
      <c r="T322" s="449"/>
    </row>
    <row r="323" spans="1:20" ht="22.5" customHeight="1">
      <c r="A323" s="61" t="s">
        <v>710</v>
      </c>
      <c r="B323" s="8"/>
      <c r="C323" s="9" t="s">
        <v>151</v>
      </c>
      <c r="D323" s="21" t="s">
        <v>802</v>
      </c>
      <c r="E323" s="115" t="s">
        <v>90</v>
      </c>
      <c r="F323" s="23" t="s">
        <v>804</v>
      </c>
      <c r="G323" s="23">
        <v>39360</v>
      </c>
      <c r="H323" s="11">
        <v>39414</v>
      </c>
      <c r="I323" s="18" t="s">
        <v>196</v>
      </c>
      <c r="J323" s="25">
        <v>200</v>
      </c>
      <c r="K323" s="26">
        <v>40.09</v>
      </c>
      <c r="L323" s="201">
        <v>240.5</v>
      </c>
      <c r="M323" s="25">
        <v>200</v>
      </c>
      <c r="N323" s="12"/>
      <c r="O323" s="190">
        <f t="shared" si="109"/>
        <v>200</v>
      </c>
      <c r="P323" s="12">
        <f t="shared" si="110"/>
        <v>130</v>
      </c>
      <c r="Q323" s="12"/>
      <c r="R323" s="190">
        <f t="shared" si="111"/>
        <v>130</v>
      </c>
      <c r="S323" s="448" t="s">
        <v>717</v>
      </c>
      <c r="T323" s="449"/>
    </row>
    <row r="324" spans="1:20" ht="22.5" customHeight="1">
      <c r="A324" s="61" t="s">
        <v>710</v>
      </c>
      <c r="B324" s="8"/>
      <c r="C324" s="9" t="s">
        <v>151</v>
      </c>
      <c r="D324" s="21" t="s">
        <v>802</v>
      </c>
      <c r="E324" s="115" t="s">
        <v>90</v>
      </c>
      <c r="F324" s="23" t="s">
        <v>805</v>
      </c>
      <c r="G324" s="23">
        <v>39422</v>
      </c>
      <c r="H324" s="11">
        <v>39477</v>
      </c>
      <c r="I324" s="18" t="s">
        <v>92</v>
      </c>
      <c r="J324" s="25">
        <v>200</v>
      </c>
      <c r="K324" s="26">
        <v>40.09</v>
      </c>
      <c r="L324" s="201">
        <v>240.5</v>
      </c>
      <c r="M324" s="25">
        <v>200</v>
      </c>
      <c r="N324" s="12"/>
      <c r="O324" s="190">
        <f t="shared" si="109"/>
        <v>200</v>
      </c>
      <c r="P324" s="12">
        <f t="shared" si="110"/>
        <v>130</v>
      </c>
      <c r="Q324" s="12"/>
      <c r="R324" s="190">
        <f t="shared" si="111"/>
        <v>130</v>
      </c>
      <c r="S324" s="448" t="s">
        <v>717</v>
      </c>
      <c r="T324" s="449"/>
    </row>
    <row r="325" spans="1:20" ht="22.5" customHeight="1">
      <c r="A325" s="61" t="s">
        <v>710</v>
      </c>
      <c r="B325" s="8"/>
      <c r="C325" s="9" t="s">
        <v>151</v>
      </c>
      <c r="D325" s="21" t="s">
        <v>806</v>
      </c>
      <c r="E325" s="115" t="s">
        <v>90</v>
      </c>
      <c r="F325" s="23" t="s">
        <v>807</v>
      </c>
      <c r="G325" s="23">
        <v>39422</v>
      </c>
      <c r="H325" s="11">
        <v>39477</v>
      </c>
      <c r="I325" s="18" t="s">
        <v>92</v>
      </c>
      <c r="J325" s="25">
        <v>679.02</v>
      </c>
      <c r="K325" s="26">
        <v>135.8</v>
      </c>
      <c r="L325" s="201">
        <v>1264</v>
      </c>
      <c r="M325" s="25">
        <v>679.02</v>
      </c>
      <c r="N325" s="12"/>
      <c r="O325" s="190">
        <f t="shared" si="109"/>
        <v>679.02</v>
      </c>
      <c r="P325" s="12">
        <f t="shared" si="110"/>
        <v>441.363</v>
      </c>
      <c r="Q325" s="12"/>
      <c r="R325" s="190">
        <f t="shared" si="111"/>
        <v>441.363</v>
      </c>
      <c r="S325" s="448" t="s">
        <v>717</v>
      </c>
      <c r="T325" s="449"/>
    </row>
    <row r="326" spans="1:20" ht="22.5" customHeight="1">
      <c r="A326" s="61" t="s">
        <v>710</v>
      </c>
      <c r="B326" s="8"/>
      <c r="C326" s="9" t="s">
        <v>151</v>
      </c>
      <c r="D326" s="21" t="s">
        <v>416</v>
      </c>
      <c r="E326" s="115" t="s">
        <v>417</v>
      </c>
      <c r="F326" s="23" t="s">
        <v>808</v>
      </c>
      <c r="G326" s="23">
        <v>39342</v>
      </c>
      <c r="H326" s="11">
        <v>39399</v>
      </c>
      <c r="I326" s="18" t="s">
        <v>194</v>
      </c>
      <c r="J326" s="25">
        <v>950.9</v>
      </c>
      <c r="K326" s="26">
        <v>190.18</v>
      </c>
      <c r="L326" s="201">
        <v>1144.68</v>
      </c>
      <c r="M326" s="25">
        <v>950.9</v>
      </c>
      <c r="N326" s="12"/>
      <c r="O326" s="190">
        <f t="shared" si="109"/>
        <v>950.9</v>
      </c>
      <c r="P326" s="12">
        <f t="shared" si="110"/>
        <v>618.085</v>
      </c>
      <c r="Q326" s="12"/>
      <c r="R326" s="190">
        <f t="shared" si="111"/>
        <v>618.085</v>
      </c>
      <c r="S326" s="448" t="s">
        <v>717</v>
      </c>
      <c r="T326" s="449"/>
    </row>
    <row r="327" spans="1:20" ht="22.5" customHeight="1">
      <c r="A327" s="61" t="s">
        <v>710</v>
      </c>
      <c r="B327" s="8"/>
      <c r="C327" s="9" t="s">
        <v>151</v>
      </c>
      <c r="D327" s="21" t="s">
        <v>416</v>
      </c>
      <c r="E327" s="115" t="s">
        <v>417</v>
      </c>
      <c r="F327" s="23" t="s">
        <v>809</v>
      </c>
      <c r="G327" s="23">
        <v>39403</v>
      </c>
      <c r="H327" s="11">
        <v>39440</v>
      </c>
      <c r="I327" s="18" t="s">
        <v>194</v>
      </c>
      <c r="J327" s="25">
        <v>950.9</v>
      </c>
      <c r="K327" s="26">
        <v>190.18</v>
      </c>
      <c r="L327" s="201">
        <v>1145.68</v>
      </c>
      <c r="M327" s="25">
        <v>950.9</v>
      </c>
      <c r="N327" s="12"/>
      <c r="O327" s="190">
        <f t="shared" si="109"/>
        <v>950.9</v>
      </c>
      <c r="P327" s="12">
        <f t="shared" si="110"/>
        <v>618.085</v>
      </c>
      <c r="Q327" s="12"/>
      <c r="R327" s="190">
        <f t="shared" si="111"/>
        <v>618.085</v>
      </c>
      <c r="S327" s="448" t="s">
        <v>717</v>
      </c>
      <c r="T327" s="449"/>
    </row>
    <row r="328" spans="1:20" ht="22.5" customHeight="1">
      <c r="A328" s="61" t="s">
        <v>710</v>
      </c>
      <c r="B328" s="8"/>
      <c r="C328" s="9" t="s">
        <v>151</v>
      </c>
      <c r="D328" s="21" t="s">
        <v>416</v>
      </c>
      <c r="E328" s="115" t="s">
        <v>417</v>
      </c>
      <c r="F328" s="23" t="s">
        <v>810</v>
      </c>
      <c r="G328" s="23">
        <v>39463</v>
      </c>
      <c r="H328" s="11" t="s">
        <v>811</v>
      </c>
      <c r="I328" s="18" t="s">
        <v>194</v>
      </c>
      <c r="J328" s="25">
        <v>2672.83</v>
      </c>
      <c r="K328" s="26">
        <v>534.57</v>
      </c>
      <c r="L328" s="201">
        <v>3213.75</v>
      </c>
      <c r="M328" s="25">
        <v>2672.83</v>
      </c>
      <c r="N328" s="12"/>
      <c r="O328" s="190">
        <f t="shared" si="109"/>
        <v>2672.83</v>
      </c>
      <c r="P328" s="12">
        <f t="shared" si="110"/>
        <v>1737.3395</v>
      </c>
      <c r="Q328" s="12"/>
      <c r="R328" s="190">
        <f t="shared" si="111"/>
        <v>1737.3395</v>
      </c>
      <c r="S328" s="448" t="s">
        <v>717</v>
      </c>
      <c r="T328" s="449"/>
    </row>
    <row r="329" spans="1:20" ht="22.5" customHeight="1">
      <c r="A329" s="61" t="s">
        <v>710</v>
      </c>
      <c r="B329" s="8"/>
      <c r="C329" s="9" t="s">
        <v>151</v>
      </c>
      <c r="D329" s="21" t="s">
        <v>812</v>
      </c>
      <c r="E329" s="115" t="s">
        <v>813</v>
      </c>
      <c r="F329" s="23" t="s">
        <v>814</v>
      </c>
      <c r="G329" s="23">
        <v>39423</v>
      </c>
      <c r="H329" s="11">
        <v>39423</v>
      </c>
      <c r="I329" s="18" t="s">
        <v>792</v>
      </c>
      <c r="J329" s="25">
        <v>186.66</v>
      </c>
      <c r="K329" s="26">
        <v>37.33</v>
      </c>
      <c r="L329" s="201">
        <v>223.99</v>
      </c>
      <c r="M329" s="25">
        <v>186.66</v>
      </c>
      <c r="N329" s="12"/>
      <c r="O329" s="190">
        <f t="shared" si="109"/>
        <v>186.66</v>
      </c>
      <c r="P329" s="12">
        <f t="shared" si="110"/>
        <v>121.32900000000001</v>
      </c>
      <c r="Q329" s="12"/>
      <c r="R329" s="190">
        <f t="shared" si="111"/>
        <v>121.32900000000001</v>
      </c>
      <c r="S329" s="448" t="s">
        <v>717</v>
      </c>
      <c r="T329" s="449"/>
    </row>
    <row r="330" spans="1:20" ht="22.5" customHeight="1">
      <c r="A330" s="61" t="s">
        <v>710</v>
      </c>
      <c r="B330" s="8"/>
      <c r="C330" s="9" t="s">
        <v>151</v>
      </c>
      <c r="D330" s="21" t="s">
        <v>815</v>
      </c>
      <c r="E330" s="115" t="s">
        <v>816</v>
      </c>
      <c r="F330" s="23" t="s">
        <v>817</v>
      </c>
      <c r="G330" s="23">
        <v>39351</v>
      </c>
      <c r="H330" s="11" t="s">
        <v>818</v>
      </c>
      <c r="I330" s="18" t="s">
        <v>801</v>
      </c>
      <c r="J330" s="25">
        <v>5241.92</v>
      </c>
      <c r="K330" s="26">
        <v>1048.38</v>
      </c>
      <c r="L330" s="201">
        <v>6290.3</v>
      </c>
      <c r="M330" s="25">
        <v>5241.92</v>
      </c>
      <c r="N330" s="12"/>
      <c r="O330" s="190">
        <f t="shared" si="109"/>
        <v>5241.92</v>
      </c>
      <c r="P330" s="12">
        <f t="shared" si="110"/>
        <v>3407.248</v>
      </c>
      <c r="Q330" s="12"/>
      <c r="R330" s="190">
        <f t="shared" si="111"/>
        <v>3407.248</v>
      </c>
      <c r="S330" s="448" t="s">
        <v>717</v>
      </c>
      <c r="T330" s="449"/>
    </row>
    <row r="331" spans="1:20" ht="22.5" customHeight="1">
      <c r="A331" s="61"/>
      <c r="B331" s="8"/>
      <c r="C331" s="9"/>
      <c r="D331" s="21"/>
      <c r="E331" s="115"/>
      <c r="F331" s="23"/>
      <c r="G331" s="23"/>
      <c r="H331" s="11"/>
      <c r="I331" s="18"/>
      <c r="J331" s="25"/>
      <c r="K331" s="26"/>
      <c r="L331" s="201"/>
      <c r="M331" s="31"/>
      <c r="N331" s="12"/>
      <c r="O331" s="190"/>
      <c r="P331" s="12"/>
      <c r="Q331" s="12"/>
      <c r="R331" s="190"/>
      <c r="S331" s="410"/>
      <c r="T331" s="411"/>
    </row>
    <row r="333" spans="1:20" ht="11.25">
      <c r="A333" s="430" t="s">
        <v>10</v>
      </c>
      <c r="B333" s="431"/>
      <c r="C333" s="431"/>
      <c r="D333" s="431"/>
      <c r="E333" s="431"/>
      <c r="F333" s="431"/>
      <c r="G333" s="431"/>
      <c r="H333" s="431"/>
      <c r="I333" s="431"/>
      <c r="J333" s="431"/>
      <c r="K333" s="431"/>
      <c r="L333" s="203"/>
      <c r="M333" s="96" t="s">
        <v>44</v>
      </c>
      <c r="N333" s="28" t="s">
        <v>39</v>
      </c>
      <c r="O333" s="211" t="s">
        <v>45</v>
      </c>
      <c r="P333" s="28" t="s">
        <v>46</v>
      </c>
      <c r="Q333" s="28" t="s">
        <v>47</v>
      </c>
      <c r="R333" s="211" t="s">
        <v>41</v>
      </c>
      <c r="S333" s="32" t="s">
        <v>24</v>
      </c>
      <c r="T333" s="33" t="s">
        <v>25</v>
      </c>
    </row>
    <row r="334" spans="1:21" ht="11.25">
      <c r="A334" s="349"/>
      <c r="B334" s="350"/>
      <c r="C334" s="328"/>
      <c r="D334" s="329"/>
      <c r="E334" s="329"/>
      <c r="F334" s="329"/>
      <c r="G334" s="329"/>
      <c r="H334" s="329"/>
      <c r="I334" s="329"/>
      <c r="J334" s="329"/>
      <c r="K334" s="330"/>
      <c r="L334" s="198" t="s">
        <v>12</v>
      </c>
      <c r="M334" s="3">
        <f>178*1000</f>
        <v>178000</v>
      </c>
      <c r="N334" s="3"/>
      <c r="O334" s="212"/>
      <c r="P334" s="3"/>
      <c r="Q334" s="3"/>
      <c r="R334" s="218"/>
      <c r="S334" s="52"/>
      <c r="T334" s="52"/>
      <c r="U334" s="29"/>
    </row>
    <row r="335" spans="1:21" ht="11.25">
      <c r="A335" s="349"/>
      <c r="B335" s="350"/>
      <c r="C335" s="45"/>
      <c r="D335" s="44"/>
      <c r="E335" s="44"/>
      <c r="F335" s="44"/>
      <c r="G335" s="44"/>
      <c r="H335" s="44"/>
      <c r="I335" s="44"/>
      <c r="J335" s="44"/>
      <c r="K335" s="4"/>
      <c r="L335" s="187" t="s">
        <v>27</v>
      </c>
      <c r="M335" s="4">
        <f aca="true" t="shared" si="112" ref="M335:R335">SUM(M346:M378)</f>
        <v>42080.58992647058</v>
      </c>
      <c r="N335" s="4">
        <f t="shared" si="112"/>
        <v>0</v>
      </c>
      <c r="O335" s="209">
        <f t="shared" si="112"/>
        <v>42080.58992647058</v>
      </c>
      <c r="P335" s="4">
        <f t="shared" si="112"/>
        <v>27352.383452205875</v>
      </c>
      <c r="Q335" s="4">
        <f t="shared" si="112"/>
        <v>0</v>
      </c>
      <c r="R335" s="209">
        <f t="shared" si="112"/>
        <v>27352.383452205875</v>
      </c>
      <c r="S335" s="5">
        <f aca="true" t="shared" si="113" ref="S335:S343">R335*0.375</f>
        <v>10257.143794577203</v>
      </c>
      <c r="T335" s="5">
        <f aca="true" t="shared" si="114" ref="T335:T340">R335-S335</f>
        <v>17095.23965762867</v>
      </c>
      <c r="U335" s="29"/>
    </row>
    <row r="336" spans="1:21" ht="11.25">
      <c r="A336" s="349"/>
      <c r="B336" s="350"/>
      <c r="C336" s="45"/>
      <c r="D336" s="44"/>
      <c r="E336" s="44"/>
      <c r="F336" s="44"/>
      <c r="G336" s="44"/>
      <c r="H336" s="44"/>
      <c r="I336" s="44"/>
      <c r="J336" s="44"/>
      <c r="K336" s="46"/>
      <c r="L336" s="187" t="s">
        <v>28</v>
      </c>
      <c r="M336" s="4">
        <f aca="true" t="shared" si="115" ref="M336:R336">SUM(M379:M404)</f>
        <v>5022.358988</v>
      </c>
      <c r="N336" s="4">
        <f t="shared" si="115"/>
        <v>0</v>
      </c>
      <c r="O336" s="209">
        <f t="shared" si="115"/>
        <v>5022.358988</v>
      </c>
      <c r="P336" s="4">
        <f t="shared" si="115"/>
        <v>3264.5333422</v>
      </c>
      <c r="Q336" s="4">
        <f t="shared" si="115"/>
        <v>0</v>
      </c>
      <c r="R336" s="209">
        <f t="shared" si="115"/>
        <v>3264.5333422</v>
      </c>
      <c r="S336" s="5">
        <f t="shared" si="113"/>
        <v>1224.200003325</v>
      </c>
      <c r="T336" s="5">
        <f t="shared" si="114"/>
        <v>2040.333338875</v>
      </c>
      <c r="U336" s="29"/>
    </row>
    <row r="337" spans="1:21" ht="11.25">
      <c r="A337" s="349"/>
      <c r="B337" s="350"/>
      <c r="C337" s="45"/>
      <c r="D337" s="44"/>
      <c r="E337" s="44"/>
      <c r="F337" s="44"/>
      <c r="G337" s="44"/>
      <c r="H337" s="44"/>
      <c r="I337" s="44"/>
      <c r="J337" s="44"/>
      <c r="K337" s="46"/>
      <c r="L337" s="187" t="s">
        <v>266</v>
      </c>
      <c r="M337" s="4">
        <f aca="true" t="shared" si="116" ref="M337:R337">SUM(M405:M431)</f>
        <v>7008.703489999999</v>
      </c>
      <c r="N337" s="4">
        <f t="shared" si="116"/>
        <v>0</v>
      </c>
      <c r="O337" s="209">
        <f t="shared" si="116"/>
        <v>7008.703489999999</v>
      </c>
      <c r="P337" s="4">
        <f t="shared" si="116"/>
        <v>4555.657268499999</v>
      </c>
      <c r="Q337" s="4">
        <f t="shared" si="116"/>
        <v>0</v>
      </c>
      <c r="R337" s="209">
        <f t="shared" si="116"/>
        <v>4555.657268499999</v>
      </c>
      <c r="S337" s="5">
        <f t="shared" si="113"/>
        <v>1708.3714756874997</v>
      </c>
      <c r="T337" s="5">
        <f t="shared" si="114"/>
        <v>2847.2857928124995</v>
      </c>
      <c r="U337" s="29"/>
    </row>
    <row r="338" spans="1:21" ht="11.25">
      <c r="A338" s="349"/>
      <c r="B338" s="350"/>
      <c r="C338" s="45"/>
      <c r="D338" s="44"/>
      <c r="E338" s="44"/>
      <c r="F338" s="44"/>
      <c r="G338" s="44"/>
      <c r="H338" s="44"/>
      <c r="I338" s="44"/>
      <c r="J338" s="44"/>
      <c r="K338" s="46"/>
      <c r="L338" s="187" t="s">
        <v>329</v>
      </c>
      <c r="M338" s="4">
        <f aca="true" t="shared" si="117" ref="M338:R338">SUM(M432:M474)</f>
        <v>15258.440235</v>
      </c>
      <c r="N338" s="4">
        <f t="shared" si="117"/>
        <v>1186.4</v>
      </c>
      <c r="O338" s="209">
        <f t="shared" si="117"/>
        <v>16444.840235</v>
      </c>
      <c r="P338" s="4">
        <f t="shared" si="117"/>
        <v>9917.98615275</v>
      </c>
      <c r="Q338" s="4">
        <f t="shared" si="117"/>
        <v>771.1600000000001</v>
      </c>
      <c r="R338" s="209">
        <f t="shared" si="117"/>
        <v>10689.146152750001</v>
      </c>
      <c r="S338" s="5">
        <f t="shared" si="113"/>
        <v>4008.4298072812508</v>
      </c>
      <c r="T338" s="5">
        <f t="shared" si="114"/>
        <v>6680.716345468751</v>
      </c>
      <c r="U338" s="29"/>
    </row>
    <row r="339" spans="1:21" ht="11.25">
      <c r="A339" s="349"/>
      <c r="B339" s="350"/>
      <c r="C339" s="45"/>
      <c r="D339" s="44"/>
      <c r="E339" s="44"/>
      <c r="F339" s="44"/>
      <c r="G339" s="44"/>
      <c r="H339" s="44"/>
      <c r="I339" s="44"/>
      <c r="J339" s="44"/>
      <c r="K339" s="46"/>
      <c r="L339" s="187" t="s">
        <v>352</v>
      </c>
      <c r="M339" s="4">
        <f aca="true" t="shared" si="118" ref="M339:R339">SUM(M475:M518)</f>
        <v>14523.406078431373</v>
      </c>
      <c r="N339" s="4">
        <f t="shared" si="118"/>
        <v>152.59</v>
      </c>
      <c r="O339" s="209">
        <f t="shared" si="118"/>
        <v>14675.996078431372</v>
      </c>
      <c r="P339" s="4">
        <f t="shared" si="118"/>
        <v>9440.213950980393</v>
      </c>
      <c r="Q339" s="4">
        <f t="shared" si="118"/>
        <v>99.18350000000001</v>
      </c>
      <c r="R339" s="209">
        <f t="shared" si="118"/>
        <v>9539.397450980396</v>
      </c>
      <c r="S339" s="5">
        <f t="shared" si="113"/>
        <v>3577.2740441176484</v>
      </c>
      <c r="T339" s="5">
        <f t="shared" si="114"/>
        <v>5962.123406862747</v>
      </c>
      <c r="U339" s="29"/>
    </row>
    <row r="340" spans="1:21" ht="11.25">
      <c r="A340" s="349"/>
      <c r="B340" s="350"/>
      <c r="C340" s="45"/>
      <c r="D340" s="44"/>
      <c r="E340" s="44"/>
      <c r="F340" s="44"/>
      <c r="G340" s="44"/>
      <c r="H340" s="44"/>
      <c r="I340" s="44"/>
      <c r="J340" s="44"/>
      <c r="K340" s="46"/>
      <c r="L340" s="187" t="s">
        <v>565</v>
      </c>
      <c r="M340" s="4">
        <f>SUM(M521:M551)</f>
        <v>28196.101233999998</v>
      </c>
      <c r="N340" s="4">
        <f>SUM(N521:N551)</f>
        <v>2998.77</v>
      </c>
      <c r="O340" s="209">
        <f>+N340+M340</f>
        <v>31194.871234</v>
      </c>
      <c r="P340" s="4">
        <f>SUM(P521:P551)</f>
        <v>18327.465802100003</v>
      </c>
      <c r="Q340" s="4">
        <f>SUM(Q521:Q551)</f>
        <v>1949.2005</v>
      </c>
      <c r="R340" s="209">
        <f>+Q340+P340</f>
        <v>20276.666302100002</v>
      </c>
      <c r="S340" s="5">
        <f t="shared" si="113"/>
        <v>7603.749863287501</v>
      </c>
      <c r="T340" s="5">
        <f t="shared" si="114"/>
        <v>12672.916438812501</v>
      </c>
      <c r="U340" s="29"/>
    </row>
    <row r="341" spans="1:21" ht="11.25">
      <c r="A341" s="349"/>
      <c r="B341" s="350"/>
      <c r="C341" s="45"/>
      <c r="D341" s="44"/>
      <c r="E341" s="44"/>
      <c r="F341" s="44"/>
      <c r="G341" s="44"/>
      <c r="H341" s="44"/>
      <c r="I341" s="44"/>
      <c r="J341" s="44"/>
      <c r="K341" s="46"/>
      <c r="L341" s="187" t="s">
        <v>588</v>
      </c>
      <c r="M341" s="4">
        <f>SUM(M552:M580)</f>
        <v>17949.08653061225</v>
      </c>
      <c r="N341" s="4">
        <f>SUM(N552:N580)</f>
        <v>470.96</v>
      </c>
      <c r="O341" s="209">
        <f>+N341+M341</f>
        <v>18420.04653061225</v>
      </c>
      <c r="P341" s="4">
        <f>SUM(P552:P580)</f>
        <v>11666.906244897962</v>
      </c>
      <c r="Q341" s="4">
        <f>SUM(Q552:Q580)</f>
        <v>306.124</v>
      </c>
      <c r="R341" s="209">
        <f>+Q341+P341</f>
        <v>11973.030244897962</v>
      </c>
      <c r="S341" s="5">
        <f t="shared" si="113"/>
        <v>4489.8863418367355</v>
      </c>
      <c r="T341" s="5">
        <f>R341-S341</f>
        <v>7483.143903061226</v>
      </c>
      <c r="U341" s="29"/>
    </row>
    <row r="342" spans="1:21" ht="11.25">
      <c r="A342" s="349"/>
      <c r="B342" s="350"/>
      <c r="C342" s="45"/>
      <c r="D342" s="44"/>
      <c r="E342" s="44"/>
      <c r="F342" s="44"/>
      <c r="G342" s="44"/>
      <c r="H342" s="44"/>
      <c r="I342" s="44"/>
      <c r="J342" s="44"/>
      <c r="K342" s="46"/>
      <c r="L342" s="187" t="s">
        <v>695</v>
      </c>
      <c r="M342" s="4">
        <f>SUM(M581:M602)</f>
        <v>18342.699148936168</v>
      </c>
      <c r="N342" s="4">
        <f>SUM(N581:N602)</f>
        <v>1800</v>
      </c>
      <c r="O342" s="209">
        <f>+N342+M342</f>
        <v>20142.699148936168</v>
      </c>
      <c r="P342" s="4">
        <f>SUM(P581:P602)</f>
        <v>11922.75444680851</v>
      </c>
      <c r="Q342" s="4">
        <f>SUM(Q581:Q602)</f>
        <v>1170</v>
      </c>
      <c r="R342" s="209">
        <f>+Q342+P342</f>
        <v>13092.75444680851</v>
      </c>
      <c r="S342" s="5">
        <f t="shared" si="113"/>
        <v>4909.7829175531915</v>
      </c>
      <c r="T342" s="5">
        <f>R342-S342</f>
        <v>8182.971529255319</v>
      </c>
      <c r="U342" s="1">
        <f>+M342*0.65-P342</f>
        <v>0</v>
      </c>
    </row>
    <row r="343" spans="1:21" ht="11.25">
      <c r="A343" s="349"/>
      <c r="B343" s="350"/>
      <c r="C343" s="45"/>
      <c r="D343" s="44"/>
      <c r="E343" s="44"/>
      <c r="F343" s="44"/>
      <c r="G343" s="44"/>
      <c r="H343" s="44"/>
      <c r="I343" s="44"/>
      <c r="J343" s="44"/>
      <c r="K343" s="46"/>
      <c r="L343" s="187" t="s">
        <v>843</v>
      </c>
      <c r="M343" s="4">
        <f>SUM(M603:M661)</f>
        <v>25979.58944379999</v>
      </c>
      <c r="N343" s="4">
        <f>SUM(N603:N661)</f>
        <v>1242.3108000000002</v>
      </c>
      <c r="O343" s="209">
        <f>+N343+M343</f>
        <v>27221.900243799988</v>
      </c>
      <c r="P343" s="4">
        <f>SUM(P603:P661)</f>
        <v>16886.73313847</v>
      </c>
      <c r="Q343" s="4">
        <f>SUM(Q603:Q661)</f>
        <v>807.5020200000001</v>
      </c>
      <c r="R343" s="209">
        <f>+Q343+P343</f>
        <v>17694.23515847</v>
      </c>
      <c r="S343" s="5">
        <f t="shared" si="113"/>
        <v>6635.33818442625</v>
      </c>
      <c r="T343" s="5">
        <f>R343-S343</f>
        <v>11058.89697404375</v>
      </c>
      <c r="U343" s="1"/>
    </row>
    <row r="344" spans="1:21" ht="11.25">
      <c r="A344" s="326"/>
      <c r="B344" s="327"/>
      <c r="C344" s="331"/>
      <c r="D344" s="332"/>
      <c r="E344" s="332"/>
      <c r="F344" s="332"/>
      <c r="G344" s="332"/>
      <c r="H344" s="332"/>
      <c r="I344" s="332"/>
      <c r="J344" s="332"/>
      <c r="K344" s="333"/>
      <c r="L344" s="188" t="s">
        <v>13</v>
      </c>
      <c r="M344" s="6">
        <f>M334-M335-M336-M337-M338-M339-M340-M341-M342-M343</f>
        <v>3639.024924749625</v>
      </c>
      <c r="N344" s="6"/>
      <c r="O344" s="210"/>
      <c r="P344" s="6"/>
      <c r="Q344" s="6"/>
      <c r="R344" s="210"/>
      <c r="S344" s="1"/>
      <c r="T344" s="1"/>
      <c r="U344" s="29"/>
    </row>
    <row r="345" spans="1:20" ht="22.5">
      <c r="A345" s="27" t="s">
        <v>14</v>
      </c>
      <c r="B345" s="27" t="s">
        <v>11</v>
      </c>
      <c r="C345" s="59" t="s">
        <v>23</v>
      </c>
      <c r="D345" s="7" t="s">
        <v>19</v>
      </c>
      <c r="E345" s="116" t="s">
        <v>2</v>
      </c>
      <c r="F345" s="7" t="s">
        <v>18</v>
      </c>
      <c r="G345" s="7" t="s">
        <v>17</v>
      </c>
      <c r="H345" s="116" t="s">
        <v>16</v>
      </c>
      <c r="I345" s="116" t="s">
        <v>15</v>
      </c>
      <c r="J345" s="7" t="s">
        <v>3</v>
      </c>
      <c r="K345" s="7" t="s">
        <v>4</v>
      </c>
      <c r="L345" s="185" t="s">
        <v>5</v>
      </c>
      <c r="M345" s="7" t="s">
        <v>20</v>
      </c>
      <c r="N345" s="7" t="s">
        <v>39</v>
      </c>
      <c r="O345" s="185" t="s">
        <v>42</v>
      </c>
      <c r="P345" s="7" t="s">
        <v>21</v>
      </c>
      <c r="Q345" s="27" t="s">
        <v>40</v>
      </c>
      <c r="R345" s="217" t="s">
        <v>41</v>
      </c>
      <c r="S345" s="334" t="s">
        <v>26</v>
      </c>
      <c r="T345" s="334"/>
    </row>
    <row r="346" spans="1:20" ht="45">
      <c r="A346" s="61" t="s">
        <v>150</v>
      </c>
      <c r="B346" s="8"/>
      <c r="C346" s="9" t="s">
        <v>151</v>
      </c>
      <c r="D346" s="14" t="s">
        <v>188</v>
      </c>
      <c r="E346" s="14" t="s">
        <v>189</v>
      </c>
      <c r="F346" s="8">
        <v>38</v>
      </c>
      <c r="G346" s="17">
        <v>38237</v>
      </c>
      <c r="H346" s="11">
        <v>38237</v>
      </c>
      <c r="I346" s="15" t="s">
        <v>190</v>
      </c>
      <c r="J346" s="12">
        <v>14586</v>
      </c>
      <c r="K346" s="12">
        <f aca="true" t="shared" si="119" ref="K346:K363">J346*0.2</f>
        <v>2917.2000000000003</v>
      </c>
      <c r="L346" s="190">
        <f>SUM(J346:K346)</f>
        <v>17503.2</v>
      </c>
      <c r="M346" s="12">
        <f>J346</f>
        <v>14586</v>
      </c>
      <c r="N346" s="7"/>
      <c r="O346" s="190">
        <f aca="true" t="shared" si="120" ref="O346:O378">M346+N346</f>
        <v>14586</v>
      </c>
      <c r="P346" s="12">
        <f aca="true" t="shared" si="121" ref="P346:P378">M346*0.65</f>
        <v>9480.9</v>
      </c>
      <c r="Q346" s="12"/>
      <c r="R346" s="190">
        <f aca="true" t="shared" si="122" ref="R346:R378">P346+Q346</f>
        <v>9480.9</v>
      </c>
      <c r="S346" s="442" t="s">
        <v>218</v>
      </c>
      <c r="T346" s="443"/>
    </row>
    <row r="347" spans="1:20" ht="11.25">
      <c r="A347" s="61" t="s">
        <v>150</v>
      </c>
      <c r="B347" s="9"/>
      <c r="C347" s="9" t="s">
        <v>151</v>
      </c>
      <c r="D347" s="9" t="s">
        <v>89</v>
      </c>
      <c r="E347" s="9" t="s">
        <v>90</v>
      </c>
      <c r="F347" s="8" t="s">
        <v>191</v>
      </c>
      <c r="G347" s="17">
        <v>38083</v>
      </c>
      <c r="H347" s="134">
        <v>38163</v>
      </c>
      <c r="I347" s="119" t="s">
        <v>162</v>
      </c>
      <c r="J347" s="12">
        <f>210.32/2</f>
        <v>105.16</v>
      </c>
      <c r="K347" s="118">
        <f t="shared" si="119"/>
        <v>21.032</v>
      </c>
      <c r="L347" s="190">
        <f aca="true" t="shared" si="123" ref="L347:L360">J347+K347</f>
        <v>126.192</v>
      </c>
      <c r="M347" s="12">
        <v>44.847647058823526</v>
      </c>
      <c r="N347" s="7"/>
      <c r="O347" s="190">
        <f t="shared" si="120"/>
        <v>44.847647058823526</v>
      </c>
      <c r="P347" s="12">
        <f t="shared" si="121"/>
        <v>29.150970588235293</v>
      </c>
      <c r="Q347" s="12"/>
      <c r="R347" s="190">
        <f t="shared" si="122"/>
        <v>29.150970588235293</v>
      </c>
      <c r="S347" s="27"/>
      <c r="T347" s="27"/>
    </row>
    <row r="348" spans="1:20" ht="11.25">
      <c r="A348" s="61" t="s">
        <v>150</v>
      </c>
      <c r="B348" s="9"/>
      <c r="C348" s="9" t="s">
        <v>151</v>
      </c>
      <c r="D348" s="9" t="s">
        <v>89</v>
      </c>
      <c r="E348" s="9" t="s">
        <v>90</v>
      </c>
      <c r="F348" s="8" t="s">
        <v>192</v>
      </c>
      <c r="G348" s="17">
        <v>38083</v>
      </c>
      <c r="H348" s="134">
        <v>38163</v>
      </c>
      <c r="I348" s="119" t="s">
        <v>162</v>
      </c>
      <c r="J348" s="12">
        <f>170.6/2</f>
        <v>85.3</v>
      </c>
      <c r="K348" s="118">
        <f t="shared" si="119"/>
        <v>17.06</v>
      </c>
      <c r="L348" s="190">
        <f t="shared" si="123"/>
        <v>102.36</v>
      </c>
      <c r="M348" s="12">
        <v>36.377941176470586</v>
      </c>
      <c r="N348" s="7"/>
      <c r="O348" s="190">
        <f t="shared" si="120"/>
        <v>36.377941176470586</v>
      </c>
      <c r="P348" s="12">
        <f t="shared" si="121"/>
        <v>23.64566176470588</v>
      </c>
      <c r="Q348" s="12"/>
      <c r="R348" s="190">
        <f t="shared" si="122"/>
        <v>23.64566176470588</v>
      </c>
      <c r="S348" s="27"/>
      <c r="T348" s="27"/>
    </row>
    <row r="349" spans="1:20" ht="11.25">
      <c r="A349" s="61" t="s">
        <v>150</v>
      </c>
      <c r="B349" s="9"/>
      <c r="C349" s="9" t="s">
        <v>151</v>
      </c>
      <c r="D349" s="9" t="s">
        <v>89</v>
      </c>
      <c r="E349" s="9" t="s">
        <v>90</v>
      </c>
      <c r="F349" s="8" t="s">
        <v>193</v>
      </c>
      <c r="G349" s="17">
        <v>38083</v>
      </c>
      <c r="H349" s="134">
        <v>38163</v>
      </c>
      <c r="I349" s="119" t="s">
        <v>162</v>
      </c>
      <c r="J349" s="12">
        <f>865.71/2</f>
        <v>432.855</v>
      </c>
      <c r="K349" s="118">
        <f t="shared" si="119"/>
        <v>86.57100000000001</v>
      </c>
      <c r="L349" s="190">
        <f t="shared" si="123"/>
        <v>519.426</v>
      </c>
      <c r="M349" s="12">
        <v>184.59992647058823</v>
      </c>
      <c r="N349" s="7"/>
      <c r="O349" s="190">
        <f t="shared" si="120"/>
        <v>184.59992647058823</v>
      </c>
      <c r="P349" s="12">
        <f t="shared" si="121"/>
        <v>119.98995220588235</v>
      </c>
      <c r="Q349" s="12"/>
      <c r="R349" s="190">
        <f t="shared" si="122"/>
        <v>119.98995220588235</v>
      </c>
      <c r="S349" s="27"/>
      <c r="T349" s="27"/>
    </row>
    <row r="350" spans="1:20" ht="11.25">
      <c r="A350" s="61" t="s">
        <v>150</v>
      </c>
      <c r="B350" s="9"/>
      <c r="C350" s="9" t="s">
        <v>151</v>
      </c>
      <c r="D350" s="9" t="s">
        <v>89</v>
      </c>
      <c r="E350" s="9" t="s">
        <v>90</v>
      </c>
      <c r="F350" s="8">
        <v>800137446</v>
      </c>
      <c r="G350" s="17">
        <v>38145</v>
      </c>
      <c r="H350" s="134">
        <v>38266</v>
      </c>
      <c r="I350" s="119" t="s">
        <v>194</v>
      </c>
      <c r="J350" s="12">
        <v>1596.44</v>
      </c>
      <c r="K350" s="118">
        <f t="shared" si="119"/>
        <v>319.288</v>
      </c>
      <c r="L350" s="190">
        <f t="shared" si="123"/>
        <v>1915.728</v>
      </c>
      <c r="M350" s="12">
        <v>680.834705882353</v>
      </c>
      <c r="N350" s="7"/>
      <c r="O350" s="190">
        <f t="shared" si="120"/>
        <v>680.834705882353</v>
      </c>
      <c r="P350" s="12">
        <f t="shared" si="121"/>
        <v>442.5425588235295</v>
      </c>
      <c r="Q350" s="12"/>
      <c r="R350" s="190">
        <f t="shared" si="122"/>
        <v>442.5425588235295</v>
      </c>
      <c r="S350" s="27"/>
      <c r="T350" s="27"/>
    </row>
    <row r="351" spans="1:20" ht="11.25">
      <c r="A351" s="61" t="s">
        <v>150</v>
      </c>
      <c r="B351" s="8"/>
      <c r="C351" s="9" t="s">
        <v>151</v>
      </c>
      <c r="D351" s="9" t="s">
        <v>89</v>
      </c>
      <c r="E351" s="9" t="s">
        <v>90</v>
      </c>
      <c r="F351" s="8" t="s">
        <v>195</v>
      </c>
      <c r="G351" s="17">
        <v>38145</v>
      </c>
      <c r="H351" s="134">
        <v>38272</v>
      </c>
      <c r="I351" s="119" t="s">
        <v>196</v>
      </c>
      <c r="J351" s="12">
        <v>968.84</v>
      </c>
      <c r="K351" s="118">
        <f t="shared" si="119"/>
        <v>193.76800000000003</v>
      </c>
      <c r="L351" s="190">
        <f t="shared" si="123"/>
        <v>1162.6080000000002</v>
      </c>
      <c r="M351" s="12">
        <v>413.18176470588236</v>
      </c>
      <c r="N351" s="7"/>
      <c r="O351" s="190">
        <f t="shared" si="120"/>
        <v>413.18176470588236</v>
      </c>
      <c r="P351" s="12">
        <f t="shared" si="121"/>
        <v>268.56814705882357</v>
      </c>
      <c r="Q351" s="12"/>
      <c r="R351" s="190">
        <f t="shared" si="122"/>
        <v>268.56814705882357</v>
      </c>
      <c r="S351" s="27"/>
      <c r="T351" s="27"/>
    </row>
    <row r="352" spans="1:20" ht="11.25">
      <c r="A352" s="61" t="s">
        <v>150</v>
      </c>
      <c r="B352" s="9"/>
      <c r="C352" s="9" t="s">
        <v>151</v>
      </c>
      <c r="D352" s="9" t="s">
        <v>89</v>
      </c>
      <c r="E352" s="9" t="s">
        <v>90</v>
      </c>
      <c r="F352" s="8" t="s">
        <v>197</v>
      </c>
      <c r="G352" s="17">
        <v>38145</v>
      </c>
      <c r="H352" s="134">
        <v>38272</v>
      </c>
      <c r="I352" s="119" t="s">
        <v>196</v>
      </c>
      <c r="J352" s="12">
        <f>19.95+125</f>
        <v>144.95</v>
      </c>
      <c r="K352" s="118">
        <f t="shared" si="119"/>
        <v>28.99</v>
      </c>
      <c r="L352" s="190">
        <f t="shared" si="123"/>
        <v>173.94</v>
      </c>
      <c r="M352" s="12">
        <v>61.88941176470588</v>
      </c>
      <c r="N352" s="7"/>
      <c r="O352" s="190">
        <f t="shared" si="120"/>
        <v>61.88941176470588</v>
      </c>
      <c r="P352" s="12">
        <f t="shared" si="121"/>
        <v>40.22811764705882</v>
      </c>
      <c r="Q352" s="12"/>
      <c r="R352" s="190">
        <f t="shared" si="122"/>
        <v>40.22811764705882</v>
      </c>
      <c r="S352" s="27"/>
      <c r="T352" s="27"/>
    </row>
    <row r="353" spans="1:20" ht="11.25">
      <c r="A353" s="61" t="s">
        <v>150</v>
      </c>
      <c r="B353" s="9"/>
      <c r="C353" s="9" t="s">
        <v>151</v>
      </c>
      <c r="D353" s="9" t="s">
        <v>89</v>
      </c>
      <c r="E353" s="9" t="s">
        <v>90</v>
      </c>
      <c r="F353" s="8" t="s">
        <v>198</v>
      </c>
      <c r="G353" s="17">
        <v>38145</v>
      </c>
      <c r="H353" s="134">
        <v>38272</v>
      </c>
      <c r="I353" s="119" t="s">
        <v>196</v>
      </c>
      <c r="J353" s="12">
        <f>104.82+125</f>
        <v>229.82</v>
      </c>
      <c r="K353" s="118">
        <f t="shared" si="119"/>
        <v>45.964</v>
      </c>
      <c r="L353" s="190">
        <f t="shared" si="123"/>
        <v>275.784</v>
      </c>
      <c r="M353" s="12">
        <v>98.08397058823529</v>
      </c>
      <c r="N353" s="7"/>
      <c r="O353" s="190">
        <f t="shared" si="120"/>
        <v>98.08397058823529</v>
      </c>
      <c r="P353" s="12">
        <f t="shared" si="121"/>
        <v>63.75458088235294</v>
      </c>
      <c r="Q353" s="12"/>
      <c r="R353" s="190">
        <f t="shared" si="122"/>
        <v>63.75458088235294</v>
      </c>
      <c r="S353" s="27"/>
      <c r="T353" s="27"/>
    </row>
    <row r="354" spans="1:20" ht="11.25">
      <c r="A354" s="61" t="s">
        <v>150</v>
      </c>
      <c r="B354" s="121"/>
      <c r="C354" s="9" t="s">
        <v>151</v>
      </c>
      <c r="D354" s="9" t="s">
        <v>89</v>
      </c>
      <c r="E354" s="9" t="s">
        <v>90</v>
      </c>
      <c r="F354" s="8">
        <v>8000183677</v>
      </c>
      <c r="G354" s="17">
        <v>38204</v>
      </c>
      <c r="H354" s="134">
        <v>38266</v>
      </c>
      <c r="I354" s="119" t="s">
        <v>194</v>
      </c>
      <c r="J354" s="12">
        <v>1617.08</v>
      </c>
      <c r="K354" s="118">
        <f t="shared" si="119"/>
        <v>323.416</v>
      </c>
      <c r="L354" s="190">
        <f t="shared" si="123"/>
        <v>1940.4959999999999</v>
      </c>
      <c r="M354" s="12">
        <v>689.6370588235294</v>
      </c>
      <c r="N354" s="7"/>
      <c r="O354" s="190">
        <f t="shared" si="120"/>
        <v>689.6370588235294</v>
      </c>
      <c r="P354" s="12">
        <f t="shared" si="121"/>
        <v>448.26408823529414</v>
      </c>
      <c r="Q354" s="12"/>
      <c r="R354" s="190">
        <f t="shared" si="122"/>
        <v>448.26408823529414</v>
      </c>
      <c r="S354" s="27"/>
      <c r="T354" s="27"/>
    </row>
    <row r="355" spans="1:20" ht="11.25">
      <c r="A355" s="61" t="s">
        <v>150</v>
      </c>
      <c r="B355" s="121"/>
      <c r="C355" s="9" t="s">
        <v>151</v>
      </c>
      <c r="D355" s="9" t="s">
        <v>89</v>
      </c>
      <c r="E355" s="9" t="s">
        <v>90</v>
      </c>
      <c r="F355" s="8">
        <v>800185833</v>
      </c>
      <c r="G355" s="17">
        <v>38204</v>
      </c>
      <c r="H355" s="134">
        <v>38266</v>
      </c>
      <c r="I355" s="119" t="s">
        <v>194</v>
      </c>
      <c r="J355" s="12">
        <v>1029.37</v>
      </c>
      <c r="K355" s="118">
        <f t="shared" si="119"/>
        <v>205.874</v>
      </c>
      <c r="L355" s="190">
        <f t="shared" si="123"/>
        <v>1235.244</v>
      </c>
      <c r="M355" s="12">
        <v>438.99602941176465</v>
      </c>
      <c r="N355" s="7"/>
      <c r="O355" s="190">
        <f t="shared" si="120"/>
        <v>438.99602941176465</v>
      </c>
      <c r="P355" s="12">
        <f t="shared" si="121"/>
        <v>285.347419117647</v>
      </c>
      <c r="Q355" s="12"/>
      <c r="R355" s="190">
        <f t="shared" si="122"/>
        <v>285.347419117647</v>
      </c>
      <c r="S355" s="27"/>
      <c r="T355" s="27"/>
    </row>
    <row r="356" spans="1:20" ht="11.25">
      <c r="A356" s="61" t="s">
        <v>150</v>
      </c>
      <c r="B356" s="121"/>
      <c r="C356" s="9" t="s">
        <v>151</v>
      </c>
      <c r="D356" s="9" t="s">
        <v>89</v>
      </c>
      <c r="E356" s="9" t="s">
        <v>90</v>
      </c>
      <c r="F356" s="8" t="s">
        <v>199</v>
      </c>
      <c r="G356" s="17">
        <v>38204</v>
      </c>
      <c r="H356" s="134">
        <v>38272</v>
      </c>
      <c r="I356" s="119" t="s">
        <v>196</v>
      </c>
      <c r="J356" s="12">
        <v>805.8</v>
      </c>
      <c r="K356" s="118">
        <f t="shared" si="119"/>
        <v>161.16</v>
      </c>
      <c r="L356" s="190">
        <f t="shared" si="123"/>
        <v>966.9599999999999</v>
      </c>
      <c r="M356" s="12">
        <v>343.65</v>
      </c>
      <c r="N356" s="7"/>
      <c r="O356" s="190">
        <f t="shared" si="120"/>
        <v>343.65</v>
      </c>
      <c r="P356" s="12">
        <f t="shared" si="121"/>
        <v>223.3725</v>
      </c>
      <c r="Q356" s="12"/>
      <c r="R356" s="190">
        <f t="shared" si="122"/>
        <v>223.3725</v>
      </c>
      <c r="S356" s="27"/>
      <c r="T356" s="27"/>
    </row>
    <row r="357" spans="1:20" ht="11.25">
      <c r="A357" s="61" t="s">
        <v>150</v>
      </c>
      <c r="B357" s="121"/>
      <c r="C357" s="9" t="s">
        <v>151</v>
      </c>
      <c r="D357" s="9" t="s">
        <v>105</v>
      </c>
      <c r="E357" s="9" t="s">
        <v>106</v>
      </c>
      <c r="F357" s="8">
        <v>1920219</v>
      </c>
      <c r="G357" s="17">
        <v>38080</v>
      </c>
      <c r="H357" s="134">
        <v>38135</v>
      </c>
      <c r="I357" s="119" t="s">
        <v>108</v>
      </c>
      <c r="J357" s="12">
        <v>967.68</v>
      </c>
      <c r="K357" s="118">
        <f t="shared" si="119"/>
        <v>193.536</v>
      </c>
      <c r="L357" s="190">
        <f t="shared" si="123"/>
        <v>1161.216</v>
      </c>
      <c r="M357" s="12">
        <v>412.68705882352936</v>
      </c>
      <c r="N357" s="7"/>
      <c r="O357" s="190">
        <f t="shared" si="120"/>
        <v>412.68705882352936</v>
      </c>
      <c r="P357" s="12">
        <f t="shared" si="121"/>
        <v>268.2465882352941</v>
      </c>
      <c r="Q357" s="12"/>
      <c r="R357" s="190">
        <f t="shared" si="122"/>
        <v>268.2465882352941</v>
      </c>
      <c r="S357" s="27"/>
      <c r="T357" s="27"/>
    </row>
    <row r="358" spans="1:20" ht="11.25">
      <c r="A358" s="61" t="s">
        <v>150</v>
      </c>
      <c r="B358" s="121"/>
      <c r="C358" s="9" t="s">
        <v>151</v>
      </c>
      <c r="D358" s="9" t="s">
        <v>105</v>
      </c>
      <c r="E358" s="9" t="s">
        <v>106</v>
      </c>
      <c r="F358" s="8">
        <v>1920211</v>
      </c>
      <c r="G358" s="17">
        <v>38109</v>
      </c>
      <c r="H358" s="134">
        <v>38175</v>
      </c>
      <c r="I358" s="119" t="s">
        <v>108</v>
      </c>
      <c r="J358" s="12">
        <v>774.28</v>
      </c>
      <c r="K358" s="118">
        <f t="shared" si="119"/>
        <v>154.856</v>
      </c>
      <c r="L358" s="190">
        <f t="shared" si="123"/>
        <v>929.136</v>
      </c>
      <c r="M358" s="12">
        <v>330.2076470588235</v>
      </c>
      <c r="N358" s="7"/>
      <c r="O358" s="190">
        <f t="shared" si="120"/>
        <v>330.2076470588235</v>
      </c>
      <c r="P358" s="12">
        <f t="shared" si="121"/>
        <v>214.6349705882353</v>
      </c>
      <c r="Q358" s="12"/>
      <c r="R358" s="190">
        <f t="shared" si="122"/>
        <v>214.6349705882353</v>
      </c>
      <c r="S358" s="27"/>
      <c r="T358" s="27"/>
    </row>
    <row r="359" spans="1:20" ht="11.25">
      <c r="A359" s="61" t="s">
        <v>150</v>
      </c>
      <c r="B359" s="121"/>
      <c r="C359" s="9" t="s">
        <v>151</v>
      </c>
      <c r="D359" s="9" t="s">
        <v>105</v>
      </c>
      <c r="E359" s="9" t="s">
        <v>106</v>
      </c>
      <c r="F359" s="8">
        <v>1920212</v>
      </c>
      <c r="G359" s="17">
        <v>38140</v>
      </c>
      <c r="H359" s="134">
        <v>38196</v>
      </c>
      <c r="I359" s="119" t="s">
        <v>108</v>
      </c>
      <c r="J359" s="12">
        <v>681.79</v>
      </c>
      <c r="K359" s="118">
        <f t="shared" si="119"/>
        <v>136.358</v>
      </c>
      <c r="L359" s="190">
        <f t="shared" si="123"/>
        <v>818.1479999999999</v>
      </c>
      <c r="M359" s="12">
        <v>290.76338235294116</v>
      </c>
      <c r="N359" s="7"/>
      <c r="O359" s="190">
        <f t="shared" si="120"/>
        <v>290.76338235294116</v>
      </c>
      <c r="P359" s="12">
        <f t="shared" si="121"/>
        <v>188.99619852941177</v>
      </c>
      <c r="Q359" s="12"/>
      <c r="R359" s="190">
        <f t="shared" si="122"/>
        <v>188.99619852941177</v>
      </c>
      <c r="S359" s="27"/>
      <c r="T359" s="27"/>
    </row>
    <row r="360" spans="1:20" ht="11.25">
      <c r="A360" s="61" t="s">
        <v>150</v>
      </c>
      <c r="B360" s="121"/>
      <c r="C360" s="9" t="s">
        <v>151</v>
      </c>
      <c r="D360" s="9" t="s">
        <v>105</v>
      </c>
      <c r="E360" s="9" t="s">
        <v>106</v>
      </c>
      <c r="F360" s="8">
        <v>1920213</v>
      </c>
      <c r="G360" s="17">
        <v>38171</v>
      </c>
      <c r="H360" s="134">
        <v>38208</v>
      </c>
      <c r="I360" s="119" t="s">
        <v>108</v>
      </c>
      <c r="J360" s="12">
        <v>839.47</v>
      </c>
      <c r="K360" s="118">
        <f t="shared" si="119"/>
        <v>167.894</v>
      </c>
      <c r="L360" s="190">
        <f t="shared" si="123"/>
        <v>1007.364</v>
      </c>
      <c r="M360" s="12">
        <v>358.00926470588234</v>
      </c>
      <c r="N360" s="7"/>
      <c r="O360" s="190">
        <f t="shared" si="120"/>
        <v>358.00926470588234</v>
      </c>
      <c r="P360" s="12">
        <f t="shared" si="121"/>
        <v>232.70602205882352</v>
      </c>
      <c r="Q360" s="12"/>
      <c r="R360" s="190">
        <f t="shared" si="122"/>
        <v>232.70602205882352</v>
      </c>
      <c r="S360" s="27"/>
      <c r="T360" s="27"/>
    </row>
    <row r="361" spans="1:20" ht="11.25">
      <c r="A361" s="61" t="s">
        <v>150</v>
      </c>
      <c r="B361" s="121"/>
      <c r="C361" s="9" t="s">
        <v>151</v>
      </c>
      <c r="D361" s="9" t="s">
        <v>105</v>
      </c>
      <c r="E361" s="9" t="s">
        <v>106</v>
      </c>
      <c r="F361" s="8">
        <v>1920214</v>
      </c>
      <c r="G361" s="17">
        <v>38202</v>
      </c>
      <c r="H361" s="134">
        <v>38280</v>
      </c>
      <c r="I361" s="119" t="s">
        <v>108</v>
      </c>
      <c r="J361" s="12">
        <v>1652.23</v>
      </c>
      <c r="K361" s="118">
        <f t="shared" si="119"/>
        <v>330.446</v>
      </c>
      <c r="L361" s="190">
        <f>J361+K361</f>
        <v>1982.676</v>
      </c>
      <c r="M361" s="12">
        <v>704.6275</v>
      </c>
      <c r="N361" s="7"/>
      <c r="O361" s="190">
        <f t="shared" si="120"/>
        <v>704.6275</v>
      </c>
      <c r="P361" s="12">
        <f t="shared" si="121"/>
        <v>458.00787500000007</v>
      </c>
      <c r="Q361" s="12"/>
      <c r="R361" s="190">
        <f t="shared" si="122"/>
        <v>458.00787500000007</v>
      </c>
      <c r="S361" s="27"/>
      <c r="T361" s="27"/>
    </row>
    <row r="362" spans="1:20" ht="11.25">
      <c r="A362" s="61" t="s">
        <v>150</v>
      </c>
      <c r="B362" s="121"/>
      <c r="C362" s="9" t="s">
        <v>151</v>
      </c>
      <c r="D362" s="9" t="s">
        <v>105</v>
      </c>
      <c r="E362" s="9" t="s">
        <v>106</v>
      </c>
      <c r="F362" s="8">
        <v>1920215</v>
      </c>
      <c r="G362" s="17">
        <v>38239</v>
      </c>
      <c r="H362" s="134">
        <v>38286</v>
      </c>
      <c r="I362" s="119" t="s">
        <v>108</v>
      </c>
      <c r="J362" s="12">
        <v>1354.95</v>
      </c>
      <c r="K362" s="118">
        <f t="shared" si="119"/>
        <v>270.99</v>
      </c>
      <c r="L362" s="190">
        <f>J362+K362</f>
        <v>1625.94</v>
      </c>
      <c r="M362" s="12">
        <v>577.8463235294117</v>
      </c>
      <c r="N362" s="7"/>
      <c r="O362" s="190">
        <f t="shared" si="120"/>
        <v>577.8463235294117</v>
      </c>
      <c r="P362" s="12">
        <f t="shared" si="121"/>
        <v>375.60011029411766</v>
      </c>
      <c r="Q362" s="12"/>
      <c r="R362" s="190">
        <f t="shared" si="122"/>
        <v>375.60011029411766</v>
      </c>
      <c r="S362" s="27"/>
      <c r="T362" s="27"/>
    </row>
    <row r="363" spans="1:20" ht="11.25">
      <c r="A363" s="61" t="s">
        <v>150</v>
      </c>
      <c r="B363" s="121"/>
      <c r="C363" s="9" t="s">
        <v>151</v>
      </c>
      <c r="D363" s="93" t="s">
        <v>113</v>
      </c>
      <c r="E363" s="9" t="s">
        <v>106</v>
      </c>
      <c r="F363" s="8">
        <v>6466923</v>
      </c>
      <c r="G363" s="17">
        <v>38076</v>
      </c>
      <c r="H363" s="134">
        <v>38096</v>
      </c>
      <c r="I363" s="119" t="s">
        <v>108</v>
      </c>
      <c r="J363" s="12">
        <v>475.74</v>
      </c>
      <c r="K363" s="118">
        <f t="shared" si="119"/>
        <v>95.14800000000001</v>
      </c>
      <c r="L363" s="190">
        <f>J363+K363</f>
        <v>570.888</v>
      </c>
      <c r="M363" s="12">
        <v>202.8891176470588</v>
      </c>
      <c r="N363" s="7"/>
      <c r="O363" s="190">
        <f t="shared" si="120"/>
        <v>202.8891176470588</v>
      </c>
      <c r="P363" s="12">
        <f t="shared" si="121"/>
        <v>131.87792647058822</v>
      </c>
      <c r="Q363" s="12"/>
      <c r="R363" s="190">
        <f t="shared" si="122"/>
        <v>131.87792647058822</v>
      </c>
      <c r="S363" s="7"/>
      <c r="T363" s="7"/>
    </row>
    <row r="364" spans="1:20" ht="11.25">
      <c r="A364" s="61" t="s">
        <v>150</v>
      </c>
      <c r="B364" s="121"/>
      <c r="C364" s="9" t="s">
        <v>151</v>
      </c>
      <c r="D364" s="9" t="s">
        <v>116</v>
      </c>
      <c r="E364" s="95" t="s">
        <v>117</v>
      </c>
      <c r="F364" s="8">
        <v>16771</v>
      </c>
      <c r="G364" s="17">
        <v>38078</v>
      </c>
      <c r="H364" s="134">
        <v>38079</v>
      </c>
      <c r="I364" s="119" t="s">
        <v>200</v>
      </c>
      <c r="J364" s="12">
        <f>237.06</f>
        <v>237.06</v>
      </c>
      <c r="K364" s="118">
        <f>J364*0.2</f>
        <v>47.412000000000006</v>
      </c>
      <c r="L364" s="190">
        <f>J364+K364</f>
        <v>284.472</v>
      </c>
      <c r="M364" s="12">
        <v>0</v>
      </c>
      <c r="N364" s="7"/>
      <c r="O364" s="190">
        <f t="shared" si="120"/>
        <v>0</v>
      </c>
      <c r="P364" s="12">
        <f t="shared" si="121"/>
        <v>0</v>
      </c>
      <c r="Q364" s="12"/>
      <c r="R364" s="190">
        <f t="shared" si="122"/>
        <v>0</v>
      </c>
      <c r="S364" s="347" t="s">
        <v>577</v>
      </c>
      <c r="T364" s="347"/>
    </row>
    <row r="365" spans="1:20" ht="11.25">
      <c r="A365" s="61" t="s">
        <v>150</v>
      </c>
      <c r="B365" s="121"/>
      <c r="C365" s="9" t="s">
        <v>151</v>
      </c>
      <c r="D365" s="9" t="s">
        <v>116</v>
      </c>
      <c r="E365" s="95" t="s">
        <v>117</v>
      </c>
      <c r="F365" s="8" t="s">
        <v>201</v>
      </c>
      <c r="G365" s="17">
        <v>38169</v>
      </c>
      <c r="H365" s="134">
        <v>38175</v>
      </c>
      <c r="I365" s="119" t="s">
        <v>202</v>
      </c>
      <c r="J365" s="12">
        <f>237.06</f>
        <v>237.06</v>
      </c>
      <c r="K365" s="118">
        <f>J365*0.2</f>
        <v>47.412000000000006</v>
      </c>
      <c r="L365" s="190">
        <f>J365+K365</f>
        <v>284.472</v>
      </c>
      <c r="M365" s="12">
        <v>101.09911764705882</v>
      </c>
      <c r="N365" s="7"/>
      <c r="O365" s="190">
        <f t="shared" si="120"/>
        <v>101.09911764705882</v>
      </c>
      <c r="P365" s="12">
        <f t="shared" si="121"/>
        <v>65.71442647058824</v>
      </c>
      <c r="Q365" s="12"/>
      <c r="R365" s="190">
        <f t="shared" si="122"/>
        <v>65.71442647058824</v>
      </c>
      <c r="S365" s="418"/>
      <c r="T365" s="418"/>
    </row>
    <row r="366" spans="1:20" ht="22.5">
      <c r="A366" s="61" t="s">
        <v>150</v>
      </c>
      <c r="B366" s="121"/>
      <c r="C366" s="9" t="s">
        <v>151</v>
      </c>
      <c r="D366" s="93" t="s">
        <v>120</v>
      </c>
      <c r="E366" s="95" t="s">
        <v>121</v>
      </c>
      <c r="F366" s="8">
        <v>67</v>
      </c>
      <c r="G366" s="17">
        <v>38077</v>
      </c>
      <c r="H366" s="134">
        <v>38203</v>
      </c>
      <c r="I366" s="137" t="s">
        <v>203</v>
      </c>
      <c r="J366" s="12">
        <v>1239.5</v>
      </c>
      <c r="K366" s="118">
        <f aca="true" t="shared" si="124" ref="K366:K372">J366*0.2</f>
        <v>247.9</v>
      </c>
      <c r="L366" s="190">
        <f aca="true" t="shared" si="125" ref="L366:L378">J366+K366</f>
        <v>1487.4</v>
      </c>
      <c r="M366" s="12">
        <v>528.6102941176471</v>
      </c>
      <c r="N366" s="7"/>
      <c r="O366" s="190">
        <f t="shared" si="120"/>
        <v>528.6102941176471</v>
      </c>
      <c r="P366" s="12">
        <f t="shared" si="121"/>
        <v>343.5966911764706</v>
      </c>
      <c r="Q366" s="12"/>
      <c r="R366" s="190">
        <f t="shared" si="122"/>
        <v>343.5966911764706</v>
      </c>
      <c r="S366" s="450"/>
      <c r="T366" s="451"/>
    </row>
    <row r="367" spans="1:20" ht="22.5">
      <c r="A367" s="61" t="s">
        <v>150</v>
      </c>
      <c r="B367" s="121"/>
      <c r="C367" s="9" t="s">
        <v>151</v>
      </c>
      <c r="D367" s="93" t="s">
        <v>120</v>
      </c>
      <c r="E367" s="95" t="s">
        <v>121</v>
      </c>
      <c r="F367" s="8">
        <v>99</v>
      </c>
      <c r="G367" s="17" t="s">
        <v>204</v>
      </c>
      <c r="H367" s="134">
        <v>38264</v>
      </c>
      <c r="I367" s="137" t="s">
        <v>205</v>
      </c>
      <c r="J367" s="12">
        <v>1239.5</v>
      </c>
      <c r="K367" s="118">
        <f t="shared" si="124"/>
        <v>247.9</v>
      </c>
      <c r="L367" s="199">
        <f t="shared" si="125"/>
        <v>1487.4</v>
      </c>
      <c r="M367" s="12">
        <v>528.6102941176471</v>
      </c>
      <c r="N367" s="7"/>
      <c r="O367" s="190">
        <f t="shared" si="120"/>
        <v>528.6102941176471</v>
      </c>
      <c r="P367" s="12">
        <f t="shared" si="121"/>
        <v>343.5966911764706</v>
      </c>
      <c r="Q367" s="12"/>
      <c r="R367" s="190">
        <f t="shared" si="122"/>
        <v>343.5966911764706</v>
      </c>
      <c r="S367" s="450"/>
      <c r="T367" s="451"/>
    </row>
    <row r="368" spans="1:20" ht="22.5">
      <c r="A368" s="61" t="s">
        <v>150</v>
      </c>
      <c r="B368" s="121"/>
      <c r="C368" s="9" t="s">
        <v>151</v>
      </c>
      <c r="D368" s="93" t="s">
        <v>120</v>
      </c>
      <c r="E368" s="95" t="s">
        <v>121</v>
      </c>
      <c r="F368" s="8">
        <v>123</v>
      </c>
      <c r="G368" s="17">
        <v>38138</v>
      </c>
      <c r="H368" s="134">
        <v>38264</v>
      </c>
      <c r="I368" s="137" t="s">
        <v>205</v>
      </c>
      <c r="J368" s="12">
        <v>1239.5</v>
      </c>
      <c r="K368" s="118">
        <f t="shared" si="124"/>
        <v>247.9</v>
      </c>
      <c r="L368" s="199">
        <f t="shared" si="125"/>
        <v>1487.4</v>
      </c>
      <c r="M368" s="12">
        <v>528.6102941176471</v>
      </c>
      <c r="N368" s="7"/>
      <c r="O368" s="190">
        <f t="shared" si="120"/>
        <v>528.6102941176471</v>
      </c>
      <c r="P368" s="12">
        <f t="shared" si="121"/>
        <v>343.5966911764706</v>
      </c>
      <c r="Q368" s="12"/>
      <c r="R368" s="190">
        <f t="shared" si="122"/>
        <v>343.5966911764706</v>
      </c>
      <c r="S368" s="450"/>
      <c r="T368" s="451"/>
    </row>
    <row r="369" spans="1:20" ht="22.5">
      <c r="A369" s="61" t="s">
        <v>150</v>
      </c>
      <c r="B369" s="121"/>
      <c r="C369" s="9" t="s">
        <v>151</v>
      </c>
      <c r="D369" s="93" t="s">
        <v>120</v>
      </c>
      <c r="E369" s="95" t="s">
        <v>121</v>
      </c>
      <c r="F369" s="8">
        <v>155</v>
      </c>
      <c r="G369" s="17">
        <v>38168</v>
      </c>
      <c r="H369" s="134">
        <v>38264</v>
      </c>
      <c r="I369" s="137" t="s">
        <v>205</v>
      </c>
      <c r="J369" s="12">
        <v>1239.5</v>
      </c>
      <c r="K369" s="118">
        <f t="shared" si="124"/>
        <v>247.9</v>
      </c>
      <c r="L369" s="199">
        <f t="shared" si="125"/>
        <v>1487.4</v>
      </c>
      <c r="M369" s="12">
        <v>528.6102941176471</v>
      </c>
      <c r="N369" s="7"/>
      <c r="O369" s="190">
        <f t="shared" si="120"/>
        <v>528.6102941176471</v>
      </c>
      <c r="P369" s="12">
        <f t="shared" si="121"/>
        <v>343.5966911764706</v>
      </c>
      <c r="Q369" s="12"/>
      <c r="R369" s="190">
        <f t="shared" si="122"/>
        <v>343.5966911764706</v>
      </c>
      <c r="S369" s="450"/>
      <c r="T369" s="451"/>
    </row>
    <row r="370" spans="1:20" ht="22.5">
      <c r="A370" s="61" t="s">
        <v>150</v>
      </c>
      <c r="B370" s="121"/>
      <c r="C370" s="9" t="s">
        <v>151</v>
      </c>
      <c r="D370" s="93" t="s">
        <v>120</v>
      </c>
      <c r="E370" s="95" t="s">
        <v>121</v>
      </c>
      <c r="F370" s="8">
        <v>172</v>
      </c>
      <c r="G370" s="17">
        <v>38198</v>
      </c>
      <c r="H370" s="17">
        <v>38334</v>
      </c>
      <c r="I370" s="137" t="s">
        <v>206</v>
      </c>
      <c r="J370" s="12">
        <v>1239.5</v>
      </c>
      <c r="K370" s="118">
        <f t="shared" si="124"/>
        <v>247.9</v>
      </c>
      <c r="L370" s="199">
        <f t="shared" si="125"/>
        <v>1487.4</v>
      </c>
      <c r="M370" s="12">
        <v>528.6102941176471</v>
      </c>
      <c r="N370" s="7"/>
      <c r="O370" s="190">
        <f t="shared" si="120"/>
        <v>528.6102941176471</v>
      </c>
      <c r="P370" s="12">
        <f t="shared" si="121"/>
        <v>343.5966911764706</v>
      </c>
      <c r="Q370" s="12"/>
      <c r="R370" s="190">
        <f t="shared" si="122"/>
        <v>343.5966911764706</v>
      </c>
      <c r="S370" s="450"/>
      <c r="T370" s="451"/>
    </row>
    <row r="371" spans="1:20" ht="22.5">
      <c r="A371" s="61" t="s">
        <v>150</v>
      </c>
      <c r="B371" s="121"/>
      <c r="C371" s="9" t="s">
        <v>151</v>
      </c>
      <c r="D371" s="93" t="s">
        <v>120</v>
      </c>
      <c r="E371" s="95" t="s">
        <v>121</v>
      </c>
      <c r="F371" s="8">
        <v>194</v>
      </c>
      <c r="G371" s="17">
        <v>38229</v>
      </c>
      <c r="H371" s="17">
        <v>38334</v>
      </c>
      <c r="I371" s="137" t="s">
        <v>206</v>
      </c>
      <c r="J371" s="12">
        <v>1239.5</v>
      </c>
      <c r="K371" s="118">
        <f t="shared" si="124"/>
        <v>247.9</v>
      </c>
      <c r="L371" s="199">
        <f t="shared" si="125"/>
        <v>1487.4</v>
      </c>
      <c r="M371" s="12">
        <v>528.6102941176471</v>
      </c>
      <c r="N371" s="7"/>
      <c r="O371" s="190">
        <f t="shared" si="120"/>
        <v>528.6102941176471</v>
      </c>
      <c r="P371" s="12">
        <f t="shared" si="121"/>
        <v>343.5966911764706</v>
      </c>
      <c r="Q371" s="12"/>
      <c r="R371" s="190">
        <f t="shared" si="122"/>
        <v>343.5966911764706</v>
      </c>
      <c r="S371" s="450"/>
      <c r="T371" s="451"/>
    </row>
    <row r="372" spans="1:20" ht="22.5">
      <c r="A372" s="61" t="s">
        <v>150</v>
      </c>
      <c r="B372" s="121"/>
      <c r="C372" s="9" t="s">
        <v>151</v>
      </c>
      <c r="D372" s="93" t="s">
        <v>120</v>
      </c>
      <c r="E372" s="95" t="s">
        <v>121</v>
      </c>
      <c r="F372" s="8">
        <v>221</v>
      </c>
      <c r="G372" s="17">
        <v>38260</v>
      </c>
      <c r="H372" s="17">
        <v>38334</v>
      </c>
      <c r="I372" s="137" t="s">
        <v>206</v>
      </c>
      <c r="J372" s="12">
        <v>1239.5</v>
      </c>
      <c r="K372" s="118">
        <f t="shared" si="124"/>
        <v>247.9</v>
      </c>
      <c r="L372" s="199">
        <f t="shared" si="125"/>
        <v>1487.4</v>
      </c>
      <c r="M372" s="12">
        <v>528.6102941176471</v>
      </c>
      <c r="N372" s="7"/>
      <c r="O372" s="190">
        <f t="shared" si="120"/>
        <v>528.6102941176471</v>
      </c>
      <c r="P372" s="12">
        <f t="shared" si="121"/>
        <v>343.5966911764706</v>
      </c>
      <c r="Q372" s="12"/>
      <c r="R372" s="190">
        <f t="shared" si="122"/>
        <v>343.5966911764706</v>
      </c>
      <c r="S372" s="450"/>
      <c r="T372" s="451"/>
    </row>
    <row r="373" spans="1:20" ht="22.5">
      <c r="A373" s="227" t="s">
        <v>150</v>
      </c>
      <c r="B373" s="133"/>
      <c r="C373" s="95" t="s">
        <v>151</v>
      </c>
      <c r="D373" s="126" t="s">
        <v>207</v>
      </c>
      <c r="E373" s="95" t="s">
        <v>208</v>
      </c>
      <c r="F373" s="97" t="s">
        <v>209</v>
      </c>
      <c r="G373" s="134">
        <v>38281</v>
      </c>
      <c r="H373" s="134">
        <v>38296</v>
      </c>
      <c r="I373" s="137" t="s">
        <v>210</v>
      </c>
      <c r="J373" s="31">
        <v>20052</v>
      </c>
      <c r="K373" s="120">
        <v>0</v>
      </c>
      <c r="L373" s="199">
        <f t="shared" si="125"/>
        <v>20052</v>
      </c>
      <c r="M373" s="31">
        <v>17824.09</v>
      </c>
      <c r="N373" s="7"/>
      <c r="O373" s="190">
        <f t="shared" si="120"/>
        <v>17824.09</v>
      </c>
      <c r="P373" s="12">
        <f t="shared" si="121"/>
        <v>11585.658500000001</v>
      </c>
      <c r="Q373" s="12"/>
      <c r="R373" s="190">
        <f t="shared" si="122"/>
        <v>11585.658500000001</v>
      </c>
      <c r="S373" s="455" t="s">
        <v>219</v>
      </c>
      <c r="T373" s="455"/>
    </row>
    <row r="374" spans="1:20" ht="22.5">
      <c r="A374" s="61" t="s">
        <v>150</v>
      </c>
      <c r="B374" s="121"/>
      <c r="C374" s="9" t="s">
        <v>151</v>
      </c>
      <c r="D374" s="16" t="s">
        <v>211</v>
      </c>
      <c r="E374" s="95" t="s">
        <v>212</v>
      </c>
      <c r="F374" s="8">
        <v>104</v>
      </c>
      <c r="G374" s="17">
        <v>38281</v>
      </c>
      <c r="H374" s="134">
        <v>38282</v>
      </c>
      <c r="I374" s="137" t="s">
        <v>213</v>
      </c>
      <c r="J374" s="12">
        <v>1623.33</v>
      </c>
      <c r="K374" s="118">
        <f>J374*0.2</f>
        <v>324.666</v>
      </c>
      <c r="L374" s="199">
        <f t="shared" si="125"/>
        <v>1947.9959999999999</v>
      </c>
      <c r="M374" s="12">
        <v>0</v>
      </c>
      <c r="N374" s="7"/>
      <c r="O374" s="190">
        <f t="shared" si="120"/>
        <v>0</v>
      </c>
      <c r="P374" s="12">
        <f t="shared" si="121"/>
        <v>0</v>
      </c>
      <c r="Q374" s="12"/>
      <c r="R374" s="190">
        <f t="shared" si="122"/>
        <v>0</v>
      </c>
      <c r="S374" s="347" t="s">
        <v>220</v>
      </c>
      <c r="T374" s="347"/>
    </row>
    <row r="375" spans="1:20" ht="11.25">
      <c r="A375" s="61" t="s">
        <v>150</v>
      </c>
      <c r="B375" s="121"/>
      <c r="C375" s="9" t="s">
        <v>151</v>
      </c>
      <c r="D375" s="93" t="s">
        <v>214</v>
      </c>
      <c r="E375" s="95" t="s">
        <v>215</v>
      </c>
      <c r="F375" s="8" t="s">
        <v>216</v>
      </c>
      <c r="G375" s="17">
        <v>38058</v>
      </c>
      <c r="H375" s="134">
        <v>38058</v>
      </c>
      <c r="I375" s="119" t="s">
        <v>217</v>
      </c>
      <c r="J375" s="12">
        <v>66.85</v>
      </c>
      <c r="K375" s="118">
        <v>0</v>
      </c>
      <c r="L375" s="199">
        <f t="shared" si="125"/>
        <v>66.85</v>
      </c>
      <c r="M375" s="12">
        <v>0</v>
      </c>
      <c r="N375" s="7"/>
      <c r="O375" s="190">
        <f t="shared" si="120"/>
        <v>0</v>
      </c>
      <c r="P375" s="12">
        <f t="shared" si="121"/>
        <v>0</v>
      </c>
      <c r="Q375" s="12"/>
      <c r="R375" s="190">
        <f t="shared" si="122"/>
        <v>0</v>
      </c>
      <c r="S375" s="347" t="s">
        <v>221</v>
      </c>
      <c r="T375" s="347"/>
    </row>
    <row r="376" spans="1:20" ht="11.25">
      <c r="A376" s="61" t="s">
        <v>150</v>
      </c>
      <c r="B376" s="121"/>
      <c r="C376" s="9" t="s">
        <v>151</v>
      </c>
      <c r="D376" s="93" t="s">
        <v>214</v>
      </c>
      <c r="E376" s="95" t="s">
        <v>215</v>
      </c>
      <c r="F376" s="8" t="s">
        <v>216</v>
      </c>
      <c r="G376" s="17">
        <v>38064</v>
      </c>
      <c r="H376" s="134">
        <v>38064</v>
      </c>
      <c r="I376" s="119" t="s">
        <v>217</v>
      </c>
      <c r="J376" s="12">
        <v>6.3</v>
      </c>
      <c r="K376" s="118">
        <v>0</v>
      </c>
      <c r="L376" s="199">
        <f t="shared" si="125"/>
        <v>6.3</v>
      </c>
      <c r="M376" s="12">
        <v>0</v>
      </c>
      <c r="N376" s="7"/>
      <c r="O376" s="190">
        <f t="shared" si="120"/>
        <v>0</v>
      </c>
      <c r="P376" s="12">
        <f t="shared" si="121"/>
        <v>0</v>
      </c>
      <c r="Q376" s="12"/>
      <c r="R376" s="190">
        <f t="shared" si="122"/>
        <v>0</v>
      </c>
      <c r="S376" s="347" t="s">
        <v>221</v>
      </c>
      <c r="T376" s="347"/>
    </row>
    <row r="377" spans="1:20" ht="11.25">
      <c r="A377" s="61" t="s">
        <v>150</v>
      </c>
      <c r="B377" s="121"/>
      <c r="C377" s="9" t="s">
        <v>151</v>
      </c>
      <c r="D377" s="93" t="s">
        <v>214</v>
      </c>
      <c r="E377" s="95" t="s">
        <v>215</v>
      </c>
      <c r="F377" s="8" t="s">
        <v>216</v>
      </c>
      <c r="G377" s="17">
        <v>38096</v>
      </c>
      <c r="H377" s="134">
        <v>38096</v>
      </c>
      <c r="I377" s="119" t="s">
        <v>217</v>
      </c>
      <c r="J377" s="12">
        <v>75</v>
      </c>
      <c r="K377" s="118">
        <v>0</v>
      </c>
      <c r="L377" s="199">
        <f t="shared" si="125"/>
        <v>75</v>
      </c>
      <c r="M377" s="12">
        <v>0</v>
      </c>
      <c r="N377" s="7"/>
      <c r="O377" s="190">
        <f t="shared" si="120"/>
        <v>0</v>
      </c>
      <c r="P377" s="12">
        <f t="shared" si="121"/>
        <v>0</v>
      </c>
      <c r="Q377" s="12"/>
      <c r="R377" s="190">
        <f t="shared" si="122"/>
        <v>0</v>
      </c>
      <c r="S377" s="347" t="s">
        <v>221</v>
      </c>
      <c r="T377" s="347"/>
    </row>
    <row r="378" spans="1:20" ht="11.25">
      <c r="A378" s="61" t="s">
        <v>150</v>
      </c>
      <c r="B378" s="121"/>
      <c r="C378" s="9" t="s">
        <v>151</v>
      </c>
      <c r="D378" s="93" t="s">
        <v>214</v>
      </c>
      <c r="E378" s="95" t="s">
        <v>215</v>
      </c>
      <c r="F378" s="8" t="s">
        <v>216</v>
      </c>
      <c r="G378" s="17">
        <v>38125</v>
      </c>
      <c r="H378" s="17">
        <v>38142</v>
      </c>
      <c r="I378" s="119" t="s">
        <v>217</v>
      </c>
      <c r="J378" s="20">
        <v>75</v>
      </c>
      <c r="K378" s="118">
        <v>0</v>
      </c>
      <c r="L378" s="199">
        <f t="shared" si="125"/>
        <v>75</v>
      </c>
      <c r="M378" s="12">
        <v>0</v>
      </c>
      <c r="N378" s="7"/>
      <c r="O378" s="190">
        <f t="shared" si="120"/>
        <v>0</v>
      </c>
      <c r="P378" s="12">
        <f t="shared" si="121"/>
        <v>0</v>
      </c>
      <c r="Q378" s="12"/>
      <c r="R378" s="190">
        <f t="shared" si="122"/>
        <v>0</v>
      </c>
      <c r="S378" s="347" t="s">
        <v>221</v>
      </c>
      <c r="T378" s="347"/>
    </row>
    <row r="379" spans="1:20" s="85" customFormat="1" ht="12">
      <c r="A379" s="61" t="s">
        <v>50</v>
      </c>
      <c r="B379" s="8"/>
      <c r="C379" s="9" t="s">
        <v>151</v>
      </c>
      <c r="D379" s="9" t="s">
        <v>89</v>
      </c>
      <c r="E379" s="9" t="s">
        <v>90</v>
      </c>
      <c r="F379" s="142" t="s">
        <v>91</v>
      </c>
      <c r="G379" s="17">
        <v>38327</v>
      </c>
      <c r="H379" s="19">
        <v>38422</v>
      </c>
      <c r="I379" s="117" t="s">
        <v>92</v>
      </c>
      <c r="J379" s="124">
        <v>1173.59</v>
      </c>
      <c r="K379" s="118">
        <f aca="true" t="shared" si="126" ref="K379:K397">J379*0.2</f>
        <v>234.718</v>
      </c>
      <c r="L379" s="190">
        <f aca="true" t="shared" si="127" ref="L379:L388">J379+K379</f>
        <v>1408.308</v>
      </c>
      <c r="M379" s="92">
        <f>J379*0.2757</f>
        <v>323.558763</v>
      </c>
      <c r="N379" s="92">
        <v>0</v>
      </c>
      <c r="O379" s="216">
        <f>M379+N379</f>
        <v>323.558763</v>
      </c>
      <c r="P379" s="84">
        <f>O379*0.65</f>
        <v>210.31319595</v>
      </c>
      <c r="Q379" s="84"/>
      <c r="R379" s="189">
        <f>SUM(P379:Q379)</f>
        <v>210.31319595</v>
      </c>
      <c r="S379" s="438"/>
      <c r="T379" s="438"/>
    </row>
    <row r="380" spans="1:20" s="85" customFormat="1" ht="12">
      <c r="A380" s="61" t="s">
        <v>50</v>
      </c>
      <c r="B380" s="8"/>
      <c r="C380" s="9" t="s">
        <v>151</v>
      </c>
      <c r="D380" s="9" t="s">
        <v>89</v>
      </c>
      <c r="E380" s="9" t="s">
        <v>90</v>
      </c>
      <c r="F380" s="142" t="s">
        <v>93</v>
      </c>
      <c r="G380" s="17">
        <v>38327</v>
      </c>
      <c r="H380" s="110">
        <v>38422</v>
      </c>
      <c r="I380" s="119" t="s">
        <v>92</v>
      </c>
      <c r="J380" s="12">
        <v>646.32</v>
      </c>
      <c r="K380" s="118">
        <f t="shared" si="126"/>
        <v>129.264</v>
      </c>
      <c r="L380" s="190">
        <f t="shared" si="127"/>
        <v>775.5840000000001</v>
      </c>
      <c r="M380" s="92">
        <f aca="true" t="shared" si="128" ref="M380:M401">J380*0.2757</f>
        <v>178.190424</v>
      </c>
      <c r="N380" s="92"/>
      <c r="O380" s="216">
        <f aca="true" t="shared" si="129" ref="O380:O404">M380+N380</f>
        <v>178.190424</v>
      </c>
      <c r="P380" s="84">
        <f aca="true" t="shared" si="130" ref="P380:P431">O380*0.65</f>
        <v>115.8237756</v>
      </c>
      <c r="Q380" s="84">
        <f>N380*0.65</f>
        <v>0</v>
      </c>
      <c r="R380" s="189">
        <f aca="true" t="shared" si="131" ref="R380:R392">SUM(P380:Q380)</f>
        <v>115.8237756</v>
      </c>
      <c r="S380" s="438"/>
      <c r="T380" s="438"/>
    </row>
    <row r="381" spans="1:20" s="85" customFormat="1" ht="12">
      <c r="A381" s="61" t="s">
        <v>50</v>
      </c>
      <c r="B381" s="8"/>
      <c r="C381" s="9" t="s">
        <v>151</v>
      </c>
      <c r="D381" s="95" t="s">
        <v>89</v>
      </c>
      <c r="E381" s="95" t="s">
        <v>90</v>
      </c>
      <c r="F381" s="97" t="s">
        <v>94</v>
      </c>
      <c r="G381" s="134">
        <v>38327</v>
      </c>
      <c r="H381" s="110">
        <v>38380</v>
      </c>
      <c r="I381" s="119" t="s">
        <v>95</v>
      </c>
      <c r="J381" s="31">
        <f>26.71+125+0.46</f>
        <v>152.17000000000002</v>
      </c>
      <c r="K381" s="120">
        <f t="shared" si="126"/>
        <v>30.434000000000005</v>
      </c>
      <c r="L381" s="190">
        <f t="shared" si="127"/>
        <v>182.604</v>
      </c>
      <c r="M381" s="92">
        <f t="shared" si="128"/>
        <v>41.953269000000006</v>
      </c>
      <c r="N381" s="92"/>
      <c r="O381" s="216">
        <f t="shared" si="129"/>
        <v>41.953269000000006</v>
      </c>
      <c r="P381" s="84">
        <f t="shared" si="130"/>
        <v>27.269624850000003</v>
      </c>
      <c r="Q381" s="84"/>
      <c r="R381" s="189">
        <f t="shared" si="131"/>
        <v>27.269624850000003</v>
      </c>
      <c r="S381" s="438"/>
      <c r="T381" s="438"/>
    </row>
    <row r="382" spans="1:20" s="85" customFormat="1" ht="12">
      <c r="A382" s="61" t="s">
        <v>50</v>
      </c>
      <c r="B382" s="8"/>
      <c r="C382" s="9" t="s">
        <v>151</v>
      </c>
      <c r="D382" s="9" t="s">
        <v>89</v>
      </c>
      <c r="E382" s="9" t="s">
        <v>90</v>
      </c>
      <c r="F382" s="8" t="s">
        <v>96</v>
      </c>
      <c r="G382" s="17">
        <v>38327</v>
      </c>
      <c r="H382" s="110">
        <v>38380</v>
      </c>
      <c r="I382" s="119" t="s">
        <v>95</v>
      </c>
      <c r="J382" s="12">
        <f>251.49-31.5</f>
        <v>219.99</v>
      </c>
      <c r="K382" s="118">
        <f t="shared" si="126"/>
        <v>43.998000000000005</v>
      </c>
      <c r="L382" s="190">
        <f t="shared" si="127"/>
        <v>263.988</v>
      </c>
      <c r="M382" s="92">
        <f t="shared" si="128"/>
        <v>60.651243</v>
      </c>
      <c r="N382" s="92"/>
      <c r="O382" s="216">
        <f t="shared" si="129"/>
        <v>60.651243</v>
      </c>
      <c r="P382" s="84">
        <f t="shared" si="130"/>
        <v>39.42330795</v>
      </c>
      <c r="Q382" s="84"/>
      <c r="R382" s="189">
        <f t="shared" si="131"/>
        <v>39.42330795</v>
      </c>
      <c r="S382" s="438"/>
      <c r="T382" s="438"/>
    </row>
    <row r="383" spans="1:20" s="98" customFormat="1" ht="12">
      <c r="A383" s="61" t="s">
        <v>50</v>
      </c>
      <c r="B383" s="97"/>
      <c r="C383" s="9" t="s">
        <v>151</v>
      </c>
      <c r="D383" s="9" t="s">
        <v>89</v>
      </c>
      <c r="E383" s="9" t="s">
        <v>90</v>
      </c>
      <c r="F383" s="8" t="s">
        <v>97</v>
      </c>
      <c r="G383" s="17">
        <v>38327</v>
      </c>
      <c r="H383" s="110">
        <v>38380</v>
      </c>
      <c r="I383" s="119" t="s">
        <v>95</v>
      </c>
      <c r="J383" s="12">
        <v>250.93</v>
      </c>
      <c r="K383" s="118">
        <f t="shared" si="126"/>
        <v>50.18600000000001</v>
      </c>
      <c r="L383" s="190">
        <f t="shared" si="127"/>
        <v>301.116</v>
      </c>
      <c r="M383" s="92">
        <f t="shared" si="128"/>
        <v>69.18140100000001</v>
      </c>
      <c r="N383" s="92"/>
      <c r="O383" s="216">
        <f t="shared" si="129"/>
        <v>69.18140100000001</v>
      </c>
      <c r="P383" s="84">
        <f t="shared" si="130"/>
        <v>44.96791065000001</v>
      </c>
      <c r="Q383" s="92"/>
      <c r="R383" s="189">
        <f t="shared" si="131"/>
        <v>44.96791065000001</v>
      </c>
      <c r="S383" s="439"/>
      <c r="T383" s="439"/>
    </row>
    <row r="384" spans="1:20" s="98" customFormat="1" ht="12">
      <c r="A384" s="61" t="s">
        <v>50</v>
      </c>
      <c r="B384" s="97"/>
      <c r="C384" s="9" t="s">
        <v>151</v>
      </c>
      <c r="D384" s="9" t="s">
        <v>89</v>
      </c>
      <c r="E384" s="9" t="s">
        <v>90</v>
      </c>
      <c r="F384" s="8" t="s">
        <v>98</v>
      </c>
      <c r="G384" s="17">
        <v>38327</v>
      </c>
      <c r="H384" s="110">
        <v>38380</v>
      </c>
      <c r="I384" s="119" t="s">
        <v>95</v>
      </c>
      <c r="J384" s="12">
        <f>932.25+125</f>
        <v>1057.25</v>
      </c>
      <c r="K384" s="118">
        <f t="shared" si="126"/>
        <v>211.45000000000002</v>
      </c>
      <c r="L384" s="190">
        <f t="shared" si="127"/>
        <v>1268.7</v>
      </c>
      <c r="M384" s="92">
        <f t="shared" si="128"/>
        <v>291.483825</v>
      </c>
      <c r="N384" s="92"/>
      <c r="O384" s="216">
        <f t="shared" si="129"/>
        <v>291.483825</v>
      </c>
      <c r="P384" s="84">
        <f t="shared" si="130"/>
        <v>189.46448625000002</v>
      </c>
      <c r="Q384" s="92"/>
      <c r="R384" s="189">
        <f t="shared" si="131"/>
        <v>189.46448625000002</v>
      </c>
      <c r="S384" s="439"/>
      <c r="T384" s="439"/>
    </row>
    <row r="385" spans="1:20" s="98" customFormat="1" ht="12">
      <c r="A385" s="61" t="s">
        <v>50</v>
      </c>
      <c r="B385" s="97"/>
      <c r="C385" s="9" t="s">
        <v>151</v>
      </c>
      <c r="D385" s="95" t="s">
        <v>99</v>
      </c>
      <c r="E385" s="95" t="s">
        <v>100</v>
      </c>
      <c r="F385" s="97">
        <v>605008779</v>
      </c>
      <c r="G385" s="134">
        <v>38380</v>
      </c>
      <c r="H385" s="110">
        <v>38381</v>
      </c>
      <c r="I385" s="119" t="s">
        <v>101</v>
      </c>
      <c r="J385" s="31">
        <v>35</v>
      </c>
      <c r="K385" s="120">
        <f t="shared" si="126"/>
        <v>7</v>
      </c>
      <c r="L385" s="190">
        <f t="shared" si="127"/>
        <v>42</v>
      </c>
      <c r="M385" s="92">
        <f t="shared" si="128"/>
        <v>9.6495</v>
      </c>
      <c r="N385" s="92"/>
      <c r="O385" s="216">
        <f t="shared" si="129"/>
        <v>9.6495</v>
      </c>
      <c r="P385" s="84">
        <f t="shared" si="130"/>
        <v>6.272175</v>
      </c>
      <c r="Q385" s="92"/>
      <c r="R385" s="189">
        <f t="shared" si="131"/>
        <v>6.272175</v>
      </c>
      <c r="S385" s="439"/>
      <c r="T385" s="439"/>
    </row>
    <row r="386" spans="1:20" s="98" customFormat="1" ht="12" customHeight="1">
      <c r="A386" s="61" t="s">
        <v>50</v>
      </c>
      <c r="B386" s="97"/>
      <c r="C386" s="9" t="s">
        <v>151</v>
      </c>
      <c r="D386" s="9" t="s">
        <v>89</v>
      </c>
      <c r="E386" s="9" t="s">
        <v>90</v>
      </c>
      <c r="F386" s="142" t="s">
        <v>102</v>
      </c>
      <c r="G386" s="17">
        <v>38390</v>
      </c>
      <c r="H386" s="110">
        <v>38449</v>
      </c>
      <c r="I386" s="119" t="s">
        <v>92</v>
      </c>
      <c r="J386" s="31">
        <f>290.85+227.32+80</f>
        <v>598.1700000000001</v>
      </c>
      <c r="K386" s="118">
        <f t="shared" si="126"/>
        <v>119.63400000000001</v>
      </c>
      <c r="L386" s="190">
        <f t="shared" si="127"/>
        <v>717.8040000000001</v>
      </c>
      <c r="M386" s="92">
        <f t="shared" si="128"/>
        <v>164.91546900000003</v>
      </c>
      <c r="N386" s="92"/>
      <c r="O386" s="216">
        <f t="shared" si="129"/>
        <v>164.91546900000003</v>
      </c>
      <c r="P386" s="84">
        <f t="shared" si="130"/>
        <v>107.19505485000002</v>
      </c>
      <c r="Q386" s="92"/>
      <c r="R386" s="189">
        <f t="shared" si="131"/>
        <v>107.19505485000002</v>
      </c>
      <c r="S386" s="439"/>
      <c r="T386" s="439"/>
    </row>
    <row r="387" spans="1:20" s="98" customFormat="1" ht="12">
      <c r="A387" s="61" t="s">
        <v>50</v>
      </c>
      <c r="B387" s="97"/>
      <c r="C387" s="9" t="s">
        <v>151</v>
      </c>
      <c r="D387" s="9" t="s">
        <v>89</v>
      </c>
      <c r="E387" s="9" t="s">
        <v>90</v>
      </c>
      <c r="F387" s="8" t="s">
        <v>103</v>
      </c>
      <c r="G387" s="17">
        <v>38390</v>
      </c>
      <c r="H387" s="110">
        <v>38449</v>
      </c>
      <c r="I387" s="119" t="s">
        <v>92</v>
      </c>
      <c r="J387" s="12">
        <f>788.73+128</f>
        <v>916.73</v>
      </c>
      <c r="K387" s="118">
        <f t="shared" si="126"/>
        <v>183.346</v>
      </c>
      <c r="L387" s="190">
        <f t="shared" si="127"/>
        <v>1100.076</v>
      </c>
      <c r="M387" s="92">
        <f t="shared" si="128"/>
        <v>252.742461</v>
      </c>
      <c r="N387" s="92"/>
      <c r="O387" s="216">
        <f t="shared" si="129"/>
        <v>252.742461</v>
      </c>
      <c r="P387" s="84">
        <f t="shared" si="130"/>
        <v>164.28259965</v>
      </c>
      <c r="Q387" s="92">
        <f aca="true" t="shared" si="132" ref="Q387:Q392">N387*0.65</f>
        <v>0</v>
      </c>
      <c r="R387" s="225">
        <f t="shared" si="131"/>
        <v>164.28259965</v>
      </c>
      <c r="S387" s="440"/>
      <c r="T387" s="441"/>
    </row>
    <row r="388" spans="1:20" s="98" customFormat="1" ht="12">
      <c r="A388" s="61" t="s">
        <v>50</v>
      </c>
      <c r="B388" s="97"/>
      <c r="C388" s="9" t="s">
        <v>151</v>
      </c>
      <c r="D388" s="9" t="s">
        <v>89</v>
      </c>
      <c r="E388" s="9" t="s">
        <v>90</v>
      </c>
      <c r="F388" s="142" t="s">
        <v>104</v>
      </c>
      <c r="G388" s="17">
        <v>38390</v>
      </c>
      <c r="H388" s="110">
        <v>38449</v>
      </c>
      <c r="I388" s="119" t="s">
        <v>92</v>
      </c>
      <c r="J388" s="12">
        <f>913.99+227.32+175</f>
        <v>1316.31</v>
      </c>
      <c r="K388" s="118">
        <f t="shared" si="126"/>
        <v>263.262</v>
      </c>
      <c r="L388" s="190">
        <f t="shared" si="127"/>
        <v>1579.572</v>
      </c>
      <c r="M388" s="92">
        <f t="shared" si="128"/>
        <v>362.90666699999997</v>
      </c>
      <c r="N388" s="92"/>
      <c r="O388" s="216">
        <f t="shared" si="129"/>
        <v>362.90666699999997</v>
      </c>
      <c r="P388" s="84">
        <f t="shared" si="130"/>
        <v>235.88933354999998</v>
      </c>
      <c r="Q388" s="92">
        <f t="shared" si="132"/>
        <v>0</v>
      </c>
      <c r="R388" s="225">
        <f t="shared" si="131"/>
        <v>235.88933354999998</v>
      </c>
      <c r="S388" s="440"/>
      <c r="T388" s="441"/>
    </row>
    <row r="389" spans="1:20" s="98" customFormat="1" ht="12">
      <c r="A389" s="61" t="s">
        <v>50</v>
      </c>
      <c r="B389" s="97"/>
      <c r="C389" s="9" t="s">
        <v>151</v>
      </c>
      <c r="D389" s="9" t="s">
        <v>105</v>
      </c>
      <c r="E389" s="9" t="s">
        <v>106</v>
      </c>
      <c r="F389" s="142" t="s">
        <v>107</v>
      </c>
      <c r="G389" s="17">
        <v>38293</v>
      </c>
      <c r="H389" s="110">
        <v>38330</v>
      </c>
      <c r="I389" s="14" t="s">
        <v>108</v>
      </c>
      <c r="J389" s="122">
        <f>977.7+4.78+104.7+2.3-1.09-29.54</f>
        <v>1058.8500000000001</v>
      </c>
      <c r="K389" s="118">
        <f t="shared" si="126"/>
        <v>211.77000000000004</v>
      </c>
      <c r="L389" s="190">
        <f aca="true" t="shared" si="133" ref="L389:L427">J389+K389</f>
        <v>1270.6200000000001</v>
      </c>
      <c r="M389" s="92">
        <f t="shared" si="128"/>
        <v>291.92494500000004</v>
      </c>
      <c r="N389" s="92"/>
      <c r="O389" s="216">
        <f t="shared" si="129"/>
        <v>291.92494500000004</v>
      </c>
      <c r="P389" s="84">
        <f t="shared" si="130"/>
        <v>189.75121425000003</v>
      </c>
      <c r="Q389" s="92">
        <f t="shared" si="132"/>
        <v>0</v>
      </c>
      <c r="R389" s="225">
        <f t="shared" si="131"/>
        <v>189.75121425000003</v>
      </c>
      <c r="S389" s="440"/>
      <c r="T389" s="441"/>
    </row>
    <row r="390" spans="1:20" s="98" customFormat="1" ht="12">
      <c r="A390" s="61" t="s">
        <v>50</v>
      </c>
      <c r="B390" s="97"/>
      <c r="C390" s="9" t="s">
        <v>151</v>
      </c>
      <c r="D390" s="9" t="s">
        <v>105</v>
      </c>
      <c r="E390" s="9" t="s">
        <v>106</v>
      </c>
      <c r="F390" s="142" t="s">
        <v>109</v>
      </c>
      <c r="G390" s="17">
        <v>38323</v>
      </c>
      <c r="H390" s="110">
        <v>38373</v>
      </c>
      <c r="I390" s="14" t="s">
        <v>108</v>
      </c>
      <c r="J390" s="122">
        <f>14.05+4.78+104.7+2.3+1064.88+4.13-37.27-33.39</f>
        <v>1124.18</v>
      </c>
      <c r="K390" s="118">
        <f t="shared" si="126"/>
        <v>224.836</v>
      </c>
      <c r="L390" s="190">
        <f t="shared" si="133"/>
        <v>1349.016</v>
      </c>
      <c r="M390" s="92">
        <f t="shared" si="128"/>
        <v>309.93642600000004</v>
      </c>
      <c r="N390" s="92"/>
      <c r="O390" s="216">
        <f t="shared" si="129"/>
        <v>309.93642600000004</v>
      </c>
      <c r="P390" s="84">
        <f t="shared" si="130"/>
        <v>201.45867690000003</v>
      </c>
      <c r="Q390" s="92">
        <f t="shared" si="132"/>
        <v>0</v>
      </c>
      <c r="R390" s="225">
        <f t="shared" si="131"/>
        <v>201.45867690000003</v>
      </c>
      <c r="S390" s="440"/>
      <c r="T390" s="441"/>
    </row>
    <row r="391" spans="1:20" s="98" customFormat="1" ht="12">
      <c r="A391" s="61" t="s">
        <v>50</v>
      </c>
      <c r="B391" s="97"/>
      <c r="C391" s="9" t="s">
        <v>151</v>
      </c>
      <c r="D391" s="9" t="s">
        <v>105</v>
      </c>
      <c r="E391" s="9" t="s">
        <v>106</v>
      </c>
      <c r="F391" s="142" t="s">
        <v>110</v>
      </c>
      <c r="G391" s="17">
        <v>38357</v>
      </c>
      <c r="H391" s="110">
        <v>38405</v>
      </c>
      <c r="I391" s="14" t="s">
        <v>108</v>
      </c>
      <c r="J391" s="122">
        <f>4.78+106.32-119.7-119.7-119.7-359.1-314.1-209.4+121.57+121.57+121.57+364.71+318.96+212.64+2.3+1073.75+4.81-33.71</f>
        <v>1177.5699999999995</v>
      </c>
      <c r="K391" s="118">
        <f t="shared" si="126"/>
        <v>235.5139999999999</v>
      </c>
      <c r="L391" s="190">
        <f t="shared" si="133"/>
        <v>1413.0839999999994</v>
      </c>
      <c r="M391" s="92">
        <f t="shared" si="128"/>
        <v>324.6560489999999</v>
      </c>
      <c r="N391" s="92"/>
      <c r="O391" s="216">
        <f t="shared" si="129"/>
        <v>324.6560489999999</v>
      </c>
      <c r="P391" s="84">
        <f t="shared" si="130"/>
        <v>211.02643184999994</v>
      </c>
      <c r="Q391" s="92">
        <f t="shared" si="132"/>
        <v>0</v>
      </c>
      <c r="R391" s="225">
        <f t="shared" si="131"/>
        <v>211.02643184999994</v>
      </c>
      <c r="S391" s="440"/>
      <c r="T391" s="441"/>
    </row>
    <row r="392" spans="1:20" s="98" customFormat="1" ht="12">
      <c r="A392" s="61" t="s">
        <v>50</v>
      </c>
      <c r="B392" s="97"/>
      <c r="C392" s="9" t="s">
        <v>151</v>
      </c>
      <c r="D392" s="9" t="s">
        <v>105</v>
      </c>
      <c r="E392" s="9" t="s">
        <v>106</v>
      </c>
      <c r="F392" s="142" t="s">
        <v>111</v>
      </c>
      <c r="G392" s="17">
        <v>38385</v>
      </c>
      <c r="H392" s="110">
        <v>38434</v>
      </c>
      <c r="I392" s="14" t="s">
        <v>108</v>
      </c>
      <c r="J392" s="122">
        <f>4.47+96.6+2.3+1168.02-8.5</f>
        <v>1262.8899999999999</v>
      </c>
      <c r="K392" s="118">
        <f t="shared" si="126"/>
        <v>252.57799999999997</v>
      </c>
      <c r="L392" s="190">
        <f t="shared" si="133"/>
        <v>1515.4679999999998</v>
      </c>
      <c r="M392" s="92">
        <f t="shared" si="128"/>
        <v>348.178773</v>
      </c>
      <c r="N392" s="92"/>
      <c r="O392" s="216">
        <f t="shared" si="129"/>
        <v>348.178773</v>
      </c>
      <c r="P392" s="84">
        <f t="shared" si="130"/>
        <v>226.31620245</v>
      </c>
      <c r="Q392" s="92">
        <f t="shared" si="132"/>
        <v>0</v>
      </c>
      <c r="R392" s="225">
        <f t="shared" si="131"/>
        <v>226.31620245</v>
      </c>
      <c r="S392" s="440"/>
      <c r="T392" s="441"/>
    </row>
    <row r="393" spans="1:20" s="85" customFormat="1" ht="22.5" customHeight="1">
      <c r="A393" s="61" t="s">
        <v>50</v>
      </c>
      <c r="B393" s="8"/>
      <c r="C393" s="9" t="s">
        <v>151</v>
      </c>
      <c r="D393" s="9" t="s">
        <v>105</v>
      </c>
      <c r="E393" s="9" t="s">
        <v>106</v>
      </c>
      <c r="F393" s="142" t="s">
        <v>112</v>
      </c>
      <c r="G393" s="17">
        <v>38406</v>
      </c>
      <c r="H393" s="110">
        <v>38432</v>
      </c>
      <c r="I393" s="14" t="s">
        <v>108</v>
      </c>
      <c r="J393" s="12">
        <f>18.89+48.11</f>
        <v>67</v>
      </c>
      <c r="K393" s="118">
        <f t="shared" si="126"/>
        <v>13.4</v>
      </c>
      <c r="L393" s="190">
        <f t="shared" si="133"/>
        <v>80.4</v>
      </c>
      <c r="M393" s="92">
        <f t="shared" si="128"/>
        <v>18.4719</v>
      </c>
      <c r="N393" s="92"/>
      <c r="O393" s="216">
        <f t="shared" si="129"/>
        <v>18.4719</v>
      </c>
      <c r="P393" s="84">
        <f t="shared" si="130"/>
        <v>12.006735</v>
      </c>
      <c r="Q393" s="84">
        <f>N393*0.65</f>
        <v>0</v>
      </c>
      <c r="R393" s="225">
        <f>SUM(P393:Q393)</f>
        <v>12.006735</v>
      </c>
      <c r="S393" s="405" t="s">
        <v>567</v>
      </c>
      <c r="T393" s="406"/>
    </row>
    <row r="394" spans="1:20" s="85" customFormat="1" ht="12">
      <c r="A394" s="61" t="s">
        <v>50</v>
      </c>
      <c r="B394" s="8"/>
      <c r="C394" s="9" t="s">
        <v>151</v>
      </c>
      <c r="D394" s="93" t="s">
        <v>113</v>
      </c>
      <c r="E394" s="9" t="s">
        <v>114</v>
      </c>
      <c r="F394" s="8">
        <v>4157442</v>
      </c>
      <c r="G394" s="17">
        <v>38314</v>
      </c>
      <c r="H394" s="94">
        <v>38372</v>
      </c>
      <c r="I394" s="123" t="s">
        <v>92</v>
      </c>
      <c r="J394" s="12">
        <v>119.63</v>
      </c>
      <c r="K394" s="118">
        <f t="shared" si="126"/>
        <v>23.926000000000002</v>
      </c>
      <c r="L394" s="190">
        <f t="shared" si="133"/>
        <v>143.55599999999998</v>
      </c>
      <c r="M394" s="92">
        <f t="shared" si="128"/>
        <v>32.981991</v>
      </c>
      <c r="N394" s="92"/>
      <c r="O394" s="216">
        <f t="shared" si="129"/>
        <v>32.981991</v>
      </c>
      <c r="P394" s="84">
        <f t="shared" si="130"/>
        <v>21.43829415</v>
      </c>
      <c r="Q394" s="84">
        <f aca="true" t="shared" si="134" ref="Q394:Q404">N394*0.65</f>
        <v>0</v>
      </c>
      <c r="R394" s="225">
        <f aca="true" t="shared" si="135" ref="R394:R404">SUM(P394:Q394)</f>
        <v>21.43829415</v>
      </c>
      <c r="S394" s="440"/>
      <c r="T394" s="441"/>
    </row>
    <row r="395" spans="1:20" s="85" customFormat="1" ht="12">
      <c r="A395" s="61" t="s">
        <v>50</v>
      </c>
      <c r="B395" s="8"/>
      <c r="C395" s="9" t="s">
        <v>151</v>
      </c>
      <c r="D395" s="93" t="s">
        <v>113</v>
      </c>
      <c r="E395" s="9" t="s">
        <v>114</v>
      </c>
      <c r="F395" s="8">
        <v>5001348</v>
      </c>
      <c r="G395" s="17">
        <v>38362</v>
      </c>
      <c r="H395" s="94">
        <v>38419</v>
      </c>
      <c r="I395" s="119" t="s">
        <v>92</v>
      </c>
      <c r="J395" s="12">
        <f>374.92+50.83</f>
        <v>425.75</v>
      </c>
      <c r="K395" s="118">
        <f t="shared" si="126"/>
        <v>85.15</v>
      </c>
      <c r="L395" s="190">
        <f t="shared" si="133"/>
        <v>510.9</v>
      </c>
      <c r="M395" s="92">
        <f t="shared" si="128"/>
        <v>117.379275</v>
      </c>
      <c r="N395" s="92"/>
      <c r="O395" s="216">
        <f t="shared" si="129"/>
        <v>117.379275</v>
      </c>
      <c r="P395" s="84">
        <f t="shared" si="130"/>
        <v>76.29652875000001</v>
      </c>
      <c r="Q395" s="84">
        <f t="shared" si="134"/>
        <v>0</v>
      </c>
      <c r="R395" s="225">
        <f t="shared" si="135"/>
        <v>76.29652875000001</v>
      </c>
      <c r="S395" s="436"/>
      <c r="T395" s="437"/>
    </row>
    <row r="396" spans="1:20" s="85" customFormat="1" ht="12">
      <c r="A396" s="61" t="s">
        <v>50</v>
      </c>
      <c r="B396" s="8"/>
      <c r="C396" s="9" t="s">
        <v>151</v>
      </c>
      <c r="D396" s="93" t="s">
        <v>113</v>
      </c>
      <c r="E396" s="9" t="s">
        <v>114</v>
      </c>
      <c r="F396" s="8">
        <v>5027405</v>
      </c>
      <c r="G396" s="17">
        <v>38394</v>
      </c>
      <c r="H396" s="94">
        <v>38422</v>
      </c>
      <c r="I396" s="119" t="s">
        <v>92</v>
      </c>
      <c r="J396" s="12">
        <v>371.28</v>
      </c>
      <c r="K396" s="118">
        <f t="shared" si="126"/>
        <v>74.256</v>
      </c>
      <c r="L396" s="190">
        <f t="shared" si="133"/>
        <v>445.53599999999994</v>
      </c>
      <c r="M396" s="92">
        <f t="shared" si="128"/>
        <v>102.36189599999999</v>
      </c>
      <c r="N396" s="92"/>
      <c r="O396" s="216">
        <f t="shared" si="129"/>
        <v>102.36189599999999</v>
      </c>
      <c r="P396" s="84">
        <f t="shared" si="130"/>
        <v>66.5352324</v>
      </c>
      <c r="Q396" s="84">
        <f t="shared" si="134"/>
        <v>0</v>
      </c>
      <c r="R396" s="225">
        <f t="shared" si="135"/>
        <v>66.5352324</v>
      </c>
      <c r="S396" s="436"/>
      <c r="T396" s="437"/>
    </row>
    <row r="397" spans="1:20" s="85" customFormat="1" ht="12">
      <c r="A397" s="61" t="s">
        <v>50</v>
      </c>
      <c r="B397" s="8"/>
      <c r="C397" s="9" t="s">
        <v>151</v>
      </c>
      <c r="D397" s="93" t="s">
        <v>113</v>
      </c>
      <c r="E397" s="9" t="s">
        <v>114</v>
      </c>
      <c r="F397" s="8">
        <v>5027797</v>
      </c>
      <c r="G397" s="17">
        <v>38394</v>
      </c>
      <c r="H397" s="94">
        <v>38434</v>
      </c>
      <c r="I397" s="123" t="s">
        <v>92</v>
      </c>
      <c r="J397" s="12">
        <v>18.59</v>
      </c>
      <c r="K397" s="118">
        <f t="shared" si="126"/>
        <v>3.718</v>
      </c>
      <c r="L397" s="190">
        <f t="shared" si="133"/>
        <v>22.308</v>
      </c>
      <c r="M397" s="92">
        <f t="shared" si="128"/>
        <v>5.125263</v>
      </c>
      <c r="N397" s="92"/>
      <c r="O397" s="216">
        <f t="shared" si="129"/>
        <v>5.125263</v>
      </c>
      <c r="P397" s="84">
        <f t="shared" si="130"/>
        <v>3.3314209500000005</v>
      </c>
      <c r="Q397" s="84">
        <f t="shared" si="134"/>
        <v>0</v>
      </c>
      <c r="R397" s="225">
        <f t="shared" si="135"/>
        <v>3.3314209500000005</v>
      </c>
      <c r="S397" s="436"/>
      <c r="T397" s="437"/>
    </row>
    <row r="398" spans="1:20" s="85" customFormat="1" ht="12" customHeight="1">
      <c r="A398" s="61" t="s">
        <v>50</v>
      </c>
      <c r="B398" s="8"/>
      <c r="C398" s="9" t="s">
        <v>151</v>
      </c>
      <c r="D398" s="121" t="s">
        <v>115</v>
      </c>
      <c r="E398" s="9" t="s">
        <v>38</v>
      </c>
      <c r="F398" s="8">
        <v>2033083756</v>
      </c>
      <c r="G398" s="17">
        <v>38293</v>
      </c>
      <c r="H398" s="110">
        <v>38434</v>
      </c>
      <c r="I398" s="123" t="s">
        <v>92</v>
      </c>
      <c r="J398" s="12">
        <v>105.35</v>
      </c>
      <c r="K398" s="118">
        <f>J398*0.1</f>
        <v>10.535</v>
      </c>
      <c r="L398" s="190">
        <f t="shared" si="133"/>
        <v>115.88499999999999</v>
      </c>
      <c r="M398" s="92">
        <f t="shared" si="128"/>
        <v>29.044995</v>
      </c>
      <c r="N398" s="92"/>
      <c r="O398" s="216">
        <f t="shared" si="129"/>
        <v>29.044995</v>
      </c>
      <c r="P398" s="84">
        <f t="shared" si="130"/>
        <v>18.87924675</v>
      </c>
      <c r="Q398" s="84">
        <f t="shared" si="134"/>
        <v>0</v>
      </c>
      <c r="R398" s="225">
        <f t="shared" si="135"/>
        <v>18.87924675</v>
      </c>
      <c r="S398" s="436"/>
      <c r="T398" s="437"/>
    </row>
    <row r="399" spans="1:20" s="85" customFormat="1" ht="12">
      <c r="A399" s="61" t="s">
        <v>50</v>
      </c>
      <c r="B399" s="8"/>
      <c r="C399" s="9" t="s">
        <v>151</v>
      </c>
      <c r="D399" s="121" t="s">
        <v>115</v>
      </c>
      <c r="E399" s="9" t="s">
        <v>38</v>
      </c>
      <c r="F399" s="8">
        <v>2030587850</v>
      </c>
      <c r="G399" s="17">
        <v>38387</v>
      </c>
      <c r="H399" s="110">
        <v>38434</v>
      </c>
      <c r="I399" s="119" t="s">
        <v>92</v>
      </c>
      <c r="J399" s="31">
        <v>103.99</v>
      </c>
      <c r="K399" s="118">
        <f>J399*0.1</f>
        <v>10.399000000000001</v>
      </c>
      <c r="L399" s="190">
        <f t="shared" si="133"/>
        <v>114.389</v>
      </c>
      <c r="M399" s="92">
        <f t="shared" si="128"/>
        <v>28.670043</v>
      </c>
      <c r="N399" s="92"/>
      <c r="O399" s="216">
        <f t="shared" si="129"/>
        <v>28.670043</v>
      </c>
      <c r="P399" s="84">
        <f t="shared" si="130"/>
        <v>18.63552795</v>
      </c>
      <c r="Q399" s="84">
        <f t="shared" si="134"/>
        <v>0</v>
      </c>
      <c r="R399" s="225">
        <f t="shared" si="135"/>
        <v>18.63552795</v>
      </c>
      <c r="S399" s="436"/>
      <c r="T399" s="437"/>
    </row>
    <row r="400" spans="1:20" s="85" customFormat="1" ht="12">
      <c r="A400" s="61" t="s">
        <v>50</v>
      </c>
      <c r="B400" s="8"/>
      <c r="C400" s="9" t="s">
        <v>151</v>
      </c>
      <c r="D400" s="9" t="s">
        <v>116</v>
      </c>
      <c r="E400" s="95" t="s">
        <v>117</v>
      </c>
      <c r="F400" s="8" t="s">
        <v>118</v>
      </c>
      <c r="G400" s="17">
        <v>38355</v>
      </c>
      <c r="H400" s="110">
        <v>38355</v>
      </c>
      <c r="I400" s="119" t="s">
        <v>119</v>
      </c>
      <c r="J400" s="12">
        <v>241.8</v>
      </c>
      <c r="K400" s="118">
        <f>J400*0.2</f>
        <v>48.36000000000001</v>
      </c>
      <c r="L400" s="190">
        <f t="shared" si="133"/>
        <v>290.16</v>
      </c>
      <c r="M400" s="92">
        <f t="shared" si="128"/>
        <v>66.66426</v>
      </c>
      <c r="N400" s="92"/>
      <c r="O400" s="216">
        <f t="shared" si="129"/>
        <v>66.66426</v>
      </c>
      <c r="P400" s="84">
        <f t="shared" si="130"/>
        <v>43.331769</v>
      </c>
      <c r="Q400" s="84">
        <f t="shared" si="134"/>
        <v>0</v>
      </c>
      <c r="R400" s="225">
        <f t="shared" si="135"/>
        <v>43.331769</v>
      </c>
      <c r="S400" s="436"/>
      <c r="T400" s="437"/>
    </row>
    <row r="401" spans="1:20" s="85" customFormat="1" ht="12">
      <c r="A401" s="61" t="s">
        <v>50</v>
      </c>
      <c r="B401" s="8"/>
      <c r="C401" s="9" t="s">
        <v>151</v>
      </c>
      <c r="D401" s="93" t="s">
        <v>120</v>
      </c>
      <c r="E401" s="95" t="s">
        <v>121</v>
      </c>
      <c r="F401" s="8">
        <v>284</v>
      </c>
      <c r="G401" s="17">
        <v>38321</v>
      </c>
      <c r="H401" s="110">
        <v>38435</v>
      </c>
      <c r="I401" s="119" t="s">
        <v>122</v>
      </c>
      <c r="J401" s="12">
        <v>1239.5</v>
      </c>
      <c r="K401" s="118">
        <f>J401*0.2</f>
        <v>247.9</v>
      </c>
      <c r="L401" s="190">
        <f t="shared" si="133"/>
        <v>1487.4</v>
      </c>
      <c r="M401" s="92">
        <f t="shared" si="128"/>
        <v>341.73015</v>
      </c>
      <c r="N401" s="92"/>
      <c r="O401" s="216">
        <f t="shared" si="129"/>
        <v>341.73015</v>
      </c>
      <c r="P401" s="84">
        <f t="shared" si="130"/>
        <v>222.1245975</v>
      </c>
      <c r="Q401" s="84">
        <f t="shared" si="134"/>
        <v>0</v>
      </c>
      <c r="R401" s="225">
        <f t="shared" si="135"/>
        <v>222.1245975</v>
      </c>
      <c r="S401" s="436"/>
      <c r="T401" s="437"/>
    </row>
    <row r="402" spans="1:20" s="85" customFormat="1" ht="48" customHeight="1">
      <c r="A402" s="61" t="s">
        <v>50</v>
      </c>
      <c r="B402" s="8"/>
      <c r="C402" s="9" t="s">
        <v>151</v>
      </c>
      <c r="D402" s="121" t="s">
        <v>123</v>
      </c>
      <c r="E402" s="14" t="s">
        <v>124</v>
      </c>
      <c r="F402" s="8" t="s">
        <v>125</v>
      </c>
      <c r="G402" s="17">
        <v>38351</v>
      </c>
      <c r="H402" s="110">
        <v>38343</v>
      </c>
      <c r="I402" s="119" t="s">
        <v>126</v>
      </c>
      <c r="J402" s="12">
        <v>500</v>
      </c>
      <c r="K402" s="118">
        <v>0</v>
      </c>
      <c r="L402" s="190">
        <f t="shared" si="133"/>
        <v>500</v>
      </c>
      <c r="M402" s="87">
        <f>L402</f>
        <v>500</v>
      </c>
      <c r="N402" s="87"/>
      <c r="O402" s="216">
        <f t="shared" si="129"/>
        <v>500</v>
      </c>
      <c r="P402" s="84">
        <f t="shared" si="130"/>
        <v>325</v>
      </c>
      <c r="Q402" s="84">
        <f t="shared" si="134"/>
        <v>0</v>
      </c>
      <c r="R402" s="225">
        <f t="shared" si="135"/>
        <v>325</v>
      </c>
      <c r="S402" s="405" t="s">
        <v>223</v>
      </c>
      <c r="T402" s="406"/>
    </row>
    <row r="403" spans="1:20" s="85" customFormat="1" ht="57.75" customHeight="1">
      <c r="A403" s="61" t="s">
        <v>50</v>
      </c>
      <c r="B403" s="8"/>
      <c r="C403" s="9" t="s">
        <v>151</v>
      </c>
      <c r="D403" s="121" t="s">
        <v>127</v>
      </c>
      <c r="E403" s="14" t="s">
        <v>124</v>
      </c>
      <c r="F403" s="8" t="s">
        <v>125</v>
      </c>
      <c r="G403" s="17">
        <v>38367</v>
      </c>
      <c r="H403" s="110">
        <v>38363</v>
      </c>
      <c r="I403" s="119" t="s">
        <v>126</v>
      </c>
      <c r="J403" s="12">
        <v>500</v>
      </c>
      <c r="K403" s="118">
        <v>0</v>
      </c>
      <c r="L403" s="190">
        <f t="shared" si="133"/>
        <v>500</v>
      </c>
      <c r="M403" s="87">
        <f>L403</f>
        <v>500</v>
      </c>
      <c r="N403" s="87"/>
      <c r="O403" s="216">
        <f t="shared" si="129"/>
        <v>500</v>
      </c>
      <c r="P403" s="84">
        <f t="shared" si="130"/>
        <v>325</v>
      </c>
      <c r="Q403" s="84">
        <f t="shared" si="134"/>
        <v>0</v>
      </c>
      <c r="R403" s="225">
        <f t="shared" si="135"/>
        <v>325</v>
      </c>
      <c r="S403" s="405" t="s">
        <v>223</v>
      </c>
      <c r="T403" s="406"/>
    </row>
    <row r="404" spans="1:20" s="85" customFormat="1" ht="63" customHeight="1">
      <c r="A404" s="61" t="s">
        <v>50</v>
      </c>
      <c r="B404" s="8"/>
      <c r="C404" s="9" t="s">
        <v>151</v>
      </c>
      <c r="D404" s="121" t="s">
        <v>128</v>
      </c>
      <c r="E404" s="14" t="s">
        <v>124</v>
      </c>
      <c r="F404" s="8" t="s">
        <v>125</v>
      </c>
      <c r="G404" s="17">
        <v>38398</v>
      </c>
      <c r="H404" s="110">
        <v>38404</v>
      </c>
      <c r="I404" s="119" t="s">
        <v>126</v>
      </c>
      <c r="J404" s="12">
        <v>250</v>
      </c>
      <c r="K404" s="118">
        <v>0</v>
      </c>
      <c r="L404" s="190">
        <f t="shared" si="133"/>
        <v>250</v>
      </c>
      <c r="M404" s="87">
        <f>L404</f>
        <v>250</v>
      </c>
      <c r="N404" s="87"/>
      <c r="O404" s="216">
        <f t="shared" si="129"/>
        <v>250</v>
      </c>
      <c r="P404" s="84">
        <f t="shared" si="130"/>
        <v>162.5</v>
      </c>
      <c r="Q404" s="84">
        <f t="shared" si="134"/>
        <v>0</v>
      </c>
      <c r="R404" s="225">
        <f t="shared" si="135"/>
        <v>162.5</v>
      </c>
      <c r="S404" s="405" t="s">
        <v>223</v>
      </c>
      <c r="T404" s="406"/>
    </row>
    <row r="405" spans="1:20" s="85" customFormat="1" ht="39" customHeight="1">
      <c r="A405" s="61" t="s">
        <v>226</v>
      </c>
      <c r="B405" s="8"/>
      <c r="C405" s="9" t="s">
        <v>151</v>
      </c>
      <c r="D405" s="9" t="s">
        <v>89</v>
      </c>
      <c r="E405" s="9" t="s">
        <v>90</v>
      </c>
      <c r="F405" s="8">
        <v>5800120428</v>
      </c>
      <c r="G405" s="17">
        <v>38448</v>
      </c>
      <c r="H405" s="110">
        <v>38511</v>
      </c>
      <c r="I405" s="119" t="s">
        <v>92</v>
      </c>
      <c r="J405" s="12">
        <v>1246.06</v>
      </c>
      <c r="K405" s="118">
        <v>249.21</v>
      </c>
      <c r="L405" s="190">
        <f t="shared" si="133"/>
        <v>1495.27</v>
      </c>
      <c r="M405" s="87">
        <f>+J405*32.05%</f>
        <v>399.3622299999999</v>
      </c>
      <c r="N405" s="87"/>
      <c r="O405" s="216">
        <f>+N405+M405</f>
        <v>399.3622299999999</v>
      </c>
      <c r="P405" s="84">
        <f t="shared" si="130"/>
        <v>259.5854494999999</v>
      </c>
      <c r="Q405" s="91"/>
      <c r="R405" s="226">
        <f>+Q405+P405</f>
        <v>259.5854494999999</v>
      </c>
      <c r="S405" s="343"/>
      <c r="T405" s="344"/>
    </row>
    <row r="406" spans="1:20" s="85" customFormat="1" ht="39" customHeight="1">
      <c r="A406" s="61" t="s">
        <v>226</v>
      </c>
      <c r="B406" s="8"/>
      <c r="C406" s="9" t="s">
        <v>151</v>
      </c>
      <c r="D406" s="9" t="s">
        <v>89</v>
      </c>
      <c r="E406" s="9" t="s">
        <v>90</v>
      </c>
      <c r="F406" s="8" t="s">
        <v>252</v>
      </c>
      <c r="G406" s="17">
        <v>38448</v>
      </c>
      <c r="H406" s="110">
        <v>38511</v>
      </c>
      <c r="I406" s="119" t="s">
        <v>92</v>
      </c>
      <c r="J406" s="12">
        <v>219.34</v>
      </c>
      <c r="K406" s="118">
        <v>43.87</v>
      </c>
      <c r="L406" s="190">
        <f t="shared" si="133"/>
        <v>263.21</v>
      </c>
      <c r="M406" s="87">
        <f aca="true" t="shared" si="136" ref="M406:M420">+J406*32.05%</f>
        <v>70.29847</v>
      </c>
      <c r="N406" s="87"/>
      <c r="O406" s="216">
        <f aca="true" t="shared" si="137" ref="O406:O411">+N406+M406</f>
        <v>70.29847</v>
      </c>
      <c r="P406" s="84">
        <f t="shared" si="130"/>
        <v>45.694005499999996</v>
      </c>
      <c r="Q406" s="91"/>
      <c r="R406" s="226">
        <f aca="true" t="shared" si="138" ref="R406:R411">+Q406+P406</f>
        <v>45.694005499999996</v>
      </c>
      <c r="S406" s="343"/>
      <c r="T406" s="344"/>
    </row>
    <row r="407" spans="1:20" s="85" customFormat="1" ht="39" customHeight="1">
      <c r="A407" s="61" t="s">
        <v>226</v>
      </c>
      <c r="B407" s="8"/>
      <c r="C407" s="9" t="s">
        <v>151</v>
      </c>
      <c r="D407" s="9" t="s">
        <v>89</v>
      </c>
      <c r="E407" s="9" t="s">
        <v>90</v>
      </c>
      <c r="F407" s="8" t="s">
        <v>253</v>
      </c>
      <c r="G407" s="17">
        <v>38448</v>
      </c>
      <c r="H407" s="110">
        <v>38511</v>
      </c>
      <c r="I407" s="119" t="s">
        <v>92</v>
      </c>
      <c r="J407" s="12">
        <v>287.41</v>
      </c>
      <c r="K407" s="118">
        <v>57.48</v>
      </c>
      <c r="L407" s="190">
        <f t="shared" si="133"/>
        <v>344.89000000000004</v>
      </c>
      <c r="M407" s="87">
        <f t="shared" si="136"/>
        <v>92.114905</v>
      </c>
      <c r="N407" s="87"/>
      <c r="O407" s="216">
        <f t="shared" si="137"/>
        <v>92.114905</v>
      </c>
      <c r="P407" s="84">
        <f t="shared" si="130"/>
        <v>59.87468825</v>
      </c>
      <c r="Q407" s="91"/>
      <c r="R407" s="226">
        <f t="shared" si="138"/>
        <v>59.87468825</v>
      </c>
      <c r="S407" s="343"/>
      <c r="T407" s="344"/>
    </row>
    <row r="408" spans="1:20" s="85" customFormat="1" ht="39" customHeight="1">
      <c r="A408" s="61" t="s">
        <v>226</v>
      </c>
      <c r="B408" s="8"/>
      <c r="C408" s="9" t="s">
        <v>151</v>
      </c>
      <c r="D408" s="9" t="s">
        <v>89</v>
      </c>
      <c r="E408" s="9" t="s">
        <v>90</v>
      </c>
      <c r="F408" s="8">
        <v>5800120167</v>
      </c>
      <c r="G408" s="17">
        <v>38448</v>
      </c>
      <c r="H408" s="110">
        <v>38511</v>
      </c>
      <c r="I408" s="119" t="s">
        <v>92</v>
      </c>
      <c r="J408" s="12">
        <v>646.97</v>
      </c>
      <c r="K408" s="118">
        <v>129.39</v>
      </c>
      <c r="L408" s="190">
        <f t="shared" si="133"/>
        <v>776.36</v>
      </c>
      <c r="M408" s="87">
        <f t="shared" si="136"/>
        <v>207.353885</v>
      </c>
      <c r="N408" s="87"/>
      <c r="O408" s="216">
        <f t="shared" si="137"/>
        <v>207.353885</v>
      </c>
      <c r="P408" s="84">
        <f t="shared" si="130"/>
        <v>134.78002525</v>
      </c>
      <c r="Q408" s="91"/>
      <c r="R408" s="226">
        <f t="shared" si="138"/>
        <v>134.78002525</v>
      </c>
      <c r="S408" s="343"/>
      <c r="T408" s="344"/>
    </row>
    <row r="409" spans="1:20" s="85" customFormat="1" ht="18.75" customHeight="1">
      <c r="A409" s="61" t="s">
        <v>226</v>
      </c>
      <c r="B409" s="8"/>
      <c r="C409" s="9" t="s">
        <v>151</v>
      </c>
      <c r="D409" s="9" t="s">
        <v>89</v>
      </c>
      <c r="E409" s="9" t="s">
        <v>90</v>
      </c>
      <c r="F409" s="8" t="s">
        <v>254</v>
      </c>
      <c r="G409" s="17">
        <v>38448</v>
      </c>
      <c r="H409" s="110">
        <v>38511</v>
      </c>
      <c r="I409" s="119" t="s">
        <v>92</v>
      </c>
      <c r="J409" s="12">
        <v>176.03</v>
      </c>
      <c r="K409" s="118">
        <v>35.21</v>
      </c>
      <c r="L409" s="190">
        <f t="shared" si="133"/>
        <v>211.24</v>
      </c>
      <c r="M409" s="87">
        <f t="shared" si="136"/>
        <v>56.41761499999999</v>
      </c>
      <c r="N409" s="87"/>
      <c r="O409" s="216">
        <f t="shared" si="137"/>
        <v>56.41761499999999</v>
      </c>
      <c r="P409" s="84">
        <f t="shared" si="130"/>
        <v>36.671449749999994</v>
      </c>
      <c r="Q409" s="91"/>
      <c r="R409" s="226">
        <f t="shared" si="138"/>
        <v>36.671449749999994</v>
      </c>
      <c r="S409" s="343"/>
      <c r="T409" s="344"/>
    </row>
    <row r="410" spans="1:20" s="85" customFormat="1" ht="18.75" customHeight="1">
      <c r="A410" s="61" t="s">
        <v>226</v>
      </c>
      <c r="B410" s="8"/>
      <c r="C410" s="9" t="s">
        <v>151</v>
      </c>
      <c r="D410" s="9" t="s">
        <v>89</v>
      </c>
      <c r="E410" s="9" t="s">
        <v>90</v>
      </c>
      <c r="F410" s="8" t="s">
        <v>255</v>
      </c>
      <c r="G410" s="17">
        <v>38448</v>
      </c>
      <c r="H410" s="110">
        <v>38511</v>
      </c>
      <c r="I410" s="119" t="s">
        <v>92</v>
      </c>
      <c r="J410" s="12">
        <v>1213.33</v>
      </c>
      <c r="K410" s="118">
        <v>242.67</v>
      </c>
      <c r="L410" s="190">
        <f t="shared" si="133"/>
        <v>1456</v>
      </c>
      <c r="M410" s="87">
        <f t="shared" si="136"/>
        <v>388.8722649999999</v>
      </c>
      <c r="N410" s="87"/>
      <c r="O410" s="216">
        <f t="shared" si="137"/>
        <v>388.8722649999999</v>
      </c>
      <c r="P410" s="84">
        <f t="shared" si="130"/>
        <v>252.76697224999995</v>
      </c>
      <c r="Q410" s="91"/>
      <c r="R410" s="226">
        <f t="shared" si="138"/>
        <v>252.76697224999995</v>
      </c>
      <c r="S410" s="343"/>
      <c r="T410" s="344"/>
    </row>
    <row r="411" spans="1:20" s="85" customFormat="1" ht="18.75" customHeight="1">
      <c r="A411" s="61" t="s">
        <v>226</v>
      </c>
      <c r="B411" s="8"/>
      <c r="C411" s="9" t="s">
        <v>151</v>
      </c>
      <c r="D411" s="9" t="s">
        <v>105</v>
      </c>
      <c r="E411" s="9" t="s">
        <v>106</v>
      </c>
      <c r="F411" s="8">
        <v>61920212</v>
      </c>
      <c r="G411" s="17">
        <v>38413</v>
      </c>
      <c r="H411" s="110">
        <v>38475</v>
      </c>
      <c r="I411" s="119" t="s">
        <v>92</v>
      </c>
      <c r="J411" s="12">
        <v>1217.29</v>
      </c>
      <c r="K411" s="118">
        <v>243.46</v>
      </c>
      <c r="L411" s="190">
        <f t="shared" si="133"/>
        <v>1460.75</v>
      </c>
      <c r="M411" s="87">
        <f t="shared" si="136"/>
        <v>390.1414449999999</v>
      </c>
      <c r="N411" s="87"/>
      <c r="O411" s="216">
        <f t="shared" si="137"/>
        <v>390.1414449999999</v>
      </c>
      <c r="P411" s="84">
        <f t="shared" si="130"/>
        <v>253.59193924999997</v>
      </c>
      <c r="Q411" s="91"/>
      <c r="R411" s="226">
        <f t="shared" si="138"/>
        <v>253.59193924999997</v>
      </c>
      <c r="S411" s="343"/>
      <c r="T411" s="344"/>
    </row>
    <row r="412" spans="1:20" s="85" customFormat="1" ht="18.75" customHeight="1">
      <c r="A412" s="61" t="s">
        <v>226</v>
      </c>
      <c r="B412" s="8"/>
      <c r="C412" s="9" t="s">
        <v>151</v>
      </c>
      <c r="D412" s="9" t="s">
        <v>105</v>
      </c>
      <c r="E412" s="9" t="s">
        <v>106</v>
      </c>
      <c r="F412" s="8">
        <v>61920213</v>
      </c>
      <c r="G412" s="17">
        <v>38445</v>
      </c>
      <c r="H412" s="110">
        <v>38482</v>
      </c>
      <c r="I412" s="119" t="s">
        <v>92</v>
      </c>
      <c r="J412" s="12">
        <f>1212.02+6.64</f>
        <v>1218.66</v>
      </c>
      <c r="K412" s="118">
        <v>242.4</v>
      </c>
      <c r="L412" s="190">
        <f t="shared" si="133"/>
        <v>1461.0600000000002</v>
      </c>
      <c r="M412" s="87">
        <f t="shared" si="136"/>
        <v>390.58052999999995</v>
      </c>
      <c r="N412" s="87"/>
      <c r="O412" s="216">
        <f aca="true" t="shared" si="139" ref="O412:O432">+N412+M412</f>
        <v>390.58052999999995</v>
      </c>
      <c r="P412" s="84">
        <f t="shared" si="130"/>
        <v>253.8773445</v>
      </c>
      <c r="Q412" s="91"/>
      <c r="R412" s="226">
        <f aca="true" t="shared" si="140" ref="R412:R432">+Q412+P412</f>
        <v>253.8773445</v>
      </c>
      <c r="S412" s="343"/>
      <c r="T412" s="344"/>
    </row>
    <row r="413" spans="1:20" s="85" customFormat="1" ht="18.75" customHeight="1">
      <c r="A413" s="61" t="s">
        <v>226</v>
      </c>
      <c r="B413" s="8"/>
      <c r="C413" s="9" t="s">
        <v>151</v>
      </c>
      <c r="D413" s="9" t="s">
        <v>105</v>
      </c>
      <c r="E413" s="9" t="s">
        <v>106</v>
      </c>
      <c r="F413" s="8">
        <v>61920214</v>
      </c>
      <c r="G413" s="17">
        <v>38474</v>
      </c>
      <c r="H413" s="110">
        <v>38512</v>
      </c>
      <c r="I413" s="119" t="s">
        <v>92</v>
      </c>
      <c r="J413" s="12">
        <v>1158.79</v>
      </c>
      <c r="K413" s="118">
        <v>231.76</v>
      </c>
      <c r="L413" s="190">
        <f t="shared" si="133"/>
        <v>1390.55</v>
      </c>
      <c r="M413" s="87">
        <f t="shared" si="136"/>
        <v>371.39219499999996</v>
      </c>
      <c r="N413" s="87"/>
      <c r="O413" s="216">
        <f t="shared" si="139"/>
        <v>371.39219499999996</v>
      </c>
      <c r="P413" s="84">
        <f t="shared" si="130"/>
        <v>241.40492675</v>
      </c>
      <c r="Q413" s="91"/>
      <c r="R413" s="226">
        <f t="shared" si="140"/>
        <v>241.40492675</v>
      </c>
      <c r="S413" s="343"/>
      <c r="T413" s="344"/>
    </row>
    <row r="414" spans="1:20" s="85" customFormat="1" ht="18.75" customHeight="1">
      <c r="A414" s="61" t="s">
        <v>226</v>
      </c>
      <c r="B414" s="8"/>
      <c r="C414" s="9" t="s">
        <v>151</v>
      </c>
      <c r="D414" s="9" t="s">
        <v>105</v>
      </c>
      <c r="E414" s="9" t="s">
        <v>106</v>
      </c>
      <c r="F414" s="8">
        <v>351918862</v>
      </c>
      <c r="G414" s="17">
        <v>38468</v>
      </c>
      <c r="H414" s="110"/>
      <c r="I414" s="119"/>
      <c r="J414" s="12">
        <v>20.67</v>
      </c>
      <c r="K414" s="118">
        <v>4.13</v>
      </c>
      <c r="L414" s="190">
        <f t="shared" si="133"/>
        <v>24.8</v>
      </c>
      <c r="M414" s="87"/>
      <c r="N414" s="87"/>
      <c r="O414" s="216">
        <f t="shared" si="139"/>
        <v>0</v>
      </c>
      <c r="P414" s="84">
        <f t="shared" si="130"/>
        <v>0</v>
      </c>
      <c r="Q414" s="91"/>
      <c r="R414" s="226">
        <f t="shared" si="140"/>
        <v>0</v>
      </c>
      <c r="S414" s="405" t="s">
        <v>335</v>
      </c>
      <c r="T414" s="406"/>
    </row>
    <row r="415" spans="1:20" s="85" customFormat="1" ht="18.75" customHeight="1">
      <c r="A415" s="61" t="s">
        <v>226</v>
      </c>
      <c r="B415" s="8"/>
      <c r="C415" s="9" t="s">
        <v>151</v>
      </c>
      <c r="D415" s="9" t="s">
        <v>105</v>
      </c>
      <c r="E415" s="9" t="s">
        <v>106</v>
      </c>
      <c r="F415" s="8">
        <v>61920215</v>
      </c>
      <c r="G415" s="17">
        <v>38505</v>
      </c>
      <c r="H415" s="110">
        <v>38527</v>
      </c>
      <c r="I415" s="119" t="s">
        <v>92</v>
      </c>
      <c r="J415" s="12">
        <v>103.36</v>
      </c>
      <c r="K415" s="118">
        <v>20.67</v>
      </c>
      <c r="L415" s="190">
        <f t="shared" si="133"/>
        <v>124.03</v>
      </c>
      <c r="M415" s="87">
        <f t="shared" si="136"/>
        <v>33.12687999999999</v>
      </c>
      <c r="N415" s="87"/>
      <c r="O415" s="216">
        <f t="shared" si="139"/>
        <v>33.12687999999999</v>
      </c>
      <c r="P415" s="84">
        <f t="shared" si="130"/>
        <v>21.532471999999995</v>
      </c>
      <c r="Q415" s="91"/>
      <c r="R415" s="226">
        <f t="shared" si="140"/>
        <v>21.532471999999995</v>
      </c>
      <c r="S415" s="343"/>
      <c r="T415" s="344"/>
    </row>
    <row r="416" spans="1:20" s="85" customFormat="1" ht="18.75" customHeight="1">
      <c r="A416" s="61" t="s">
        <v>226</v>
      </c>
      <c r="B416" s="8"/>
      <c r="C416" s="9" t="s">
        <v>151</v>
      </c>
      <c r="D416" s="9" t="s">
        <v>113</v>
      </c>
      <c r="E416" s="9" t="s">
        <v>114</v>
      </c>
      <c r="F416" s="8">
        <v>5053282</v>
      </c>
      <c r="G416" s="17">
        <v>38434</v>
      </c>
      <c r="H416" s="110">
        <v>38495</v>
      </c>
      <c r="I416" s="119" t="s">
        <v>92</v>
      </c>
      <c r="J416" s="12">
        <v>1238.64</v>
      </c>
      <c r="K416" s="118">
        <v>247.73</v>
      </c>
      <c r="L416" s="190">
        <f t="shared" si="133"/>
        <v>1486.3700000000001</v>
      </c>
      <c r="M416" s="87">
        <f t="shared" si="136"/>
        <v>396.98411999999996</v>
      </c>
      <c r="N416" s="87"/>
      <c r="O416" s="216">
        <f t="shared" si="139"/>
        <v>396.98411999999996</v>
      </c>
      <c r="P416" s="84">
        <f t="shared" si="130"/>
        <v>258.039678</v>
      </c>
      <c r="Q416" s="91"/>
      <c r="R416" s="226">
        <f t="shared" si="140"/>
        <v>258.039678</v>
      </c>
      <c r="S416" s="343"/>
      <c r="T416" s="344"/>
    </row>
    <row r="417" spans="1:20" s="85" customFormat="1" ht="18.75" customHeight="1">
      <c r="A417" s="61" t="s">
        <v>226</v>
      </c>
      <c r="B417" s="8"/>
      <c r="C417" s="9" t="s">
        <v>151</v>
      </c>
      <c r="D417" s="9" t="s">
        <v>113</v>
      </c>
      <c r="E417" s="9" t="s">
        <v>114</v>
      </c>
      <c r="F417" s="8">
        <v>5053679</v>
      </c>
      <c r="G417" s="17">
        <v>38434</v>
      </c>
      <c r="H417" s="110">
        <v>38456</v>
      </c>
      <c r="I417" s="119" t="s">
        <v>92</v>
      </c>
      <c r="J417" s="12">
        <v>14.16</v>
      </c>
      <c r="K417" s="118">
        <v>2.83</v>
      </c>
      <c r="L417" s="190">
        <f t="shared" si="133"/>
        <v>16.990000000000002</v>
      </c>
      <c r="M417" s="87">
        <f t="shared" si="136"/>
        <v>4.538279999999999</v>
      </c>
      <c r="N417" s="87"/>
      <c r="O417" s="216">
        <f t="shared" si="139"/>
        <v>4.538279999999999</v>
      </c>
      <c r="P417" s="84">
        <f t="shared" si="130"/>
        <v>2.9498819999999997</v>
      </c>
      <c r="Q417" s="91"/>
      <c r="R417" s="226">
        <f t="shared" si="140"/>
        <v>2.9498819999999997</v>
      </c>
      <c r="S417" s="343"/>
      <c r="T417" s="344"/>
    </row>
    <row r="418" spans="1:20" s="85" customFormat="1" ht="18.75" customHeight="1">
      <c r="A418" s="61" t="s">
        <v>226</v>
      </c>
      <c r="B418" s="8"/>
      <c r="C418" s="9" t="s">
        <v>151</v>
      </c>
      <c r="D418" s="9" t="s">
        <v>113</v>
      </c>
      <c r="E418" s="9" t="s">
        <v>114</v>
      </c>
      <c r="F418" s="8">
        <v>5087912</v>
      </c>
      <c r="G418" s="17">
        <v>38524</v>
      </c>
      <c r="H418" s="110">
        <v>38566</v>
      </c>
      <c r="I418" s="119" t="s">
        <v>92</v>
      </c>
      <c r="J418" s="12">
        <v>252.7</v>
      </c>
      <c r="K418" s="118">
        <v>50.54</v>
      </c>
      <c r="L418" s="190">
        <f t="shared" si="133"/>
        <v>303.24</v>
      </c>
      <c r="M418" s="87">
        <f t="shared" si="136"/>
        <v>80.99034999999998</v>
      </c>
      <c r="N418" s="87"/>
      <c r="O418" s="216">
        <f t="shared" si="139"/>
        <v>80.99034999999998</v>
      </c>
      <c r="P418" s="84">
        <f t="shared" si="130"/>
        <v>52.64372749999999</v>
      </c>
      <c r="Q418" s="91"/>
      <c r="R418" s="226">
        <f t="shared" si="140"/>
        <v>52.64372749999999</v>
      </c>
      <c r="S418" s="343"/>
      <c r="T418" s="344"/>
    </row>
    <row r="419" spans="1:20" s="85" customFormat="1" ht="18.75" customHeight="1">
      <c r="A419" s="61" t="s">
        <v>226</v>
      </c>
      <c r="B419" s="8"/>
      <c r="C419" s="9" t="s">
        <v>151</v>
      </c>
      <c r="D419" s="9" t="s">
        <v>113</v>
      </c>
      <c r="E419" s="9" t="s">
        <v>114</v>
      </c>
      <c r="F419" s="8">
        <v>5088314</v>
      </c>
      <c r="G419" s="17">
        <v>38524</v>
      </c>
      <c r="H419" s="110">
        <v>38566</v>
      </c>
      <c r="I419" s="119" t="s">
        <v>92</v>
      </c>
      <c r="J419" s="12">
        <v>26</v>
      </c>
      <c r="K419" s="118">
        <v>5.2</v>
      </c>
      <c r="L419" s="190">
        <f t="shared" si="133"/>
        <v>31.2</v>
      </c>
      <c r="M419" s="87">
        <f t="shared" si="136"/>
        <v>8.332999999999998</v>
      </c>
      <c r="N419" s="87"/>
      <c r="O419" s="216">
        <f t="shared" si="139"/>
        <v>8.332999999999998</v>
      </c>
      <c r="P419" s="84">
        <f t="shared" si="130"/>
        <v>5.416449999999999</v>
      </c>
      <c r="Q419" s="91"/>
      <c r="R419" s="226">
        <f t="shared" si="140"/>
        <v>5.416449999999999</v>
      </c>
      <c r="S419" s="343"/>
      <c r="T419" s="344"/>
    </row>
    <row r="420" spans="1:20" s="85" customFormat="1" ht="18.75" customHeight="1">
      <c r="A420" s="61" t="s">
        <v>226</v>
      </c>
      <c r="B420" s="8"/>
      <c r="C420" s="9" t="s">
        <v>151</v>
      </c>
      <c r="D420" s="154" t="s">
        <v>115</v>
      </c>
      <c r="E420" s="14" t="s">
        <v>38</v>
      </c>
      <c r="F420" s="8">
        <v>1538171</v>
      </c>
      <c r="G420" s="17">
        <v>38474</v>
      </c>
      <c r="H420" s="110">
        <v>38530</v>
      </c>
      <c r="I420" s="119" t="s">
        <v>92</v>
      </c>
      <c r="J420" s="12">
        <v>108.8</v>
      </c>
      <c r="K420" s="118">
        <v>21.76</v>
      </c>
      <c r="L420" s="190">
        <f t="shared" si="133"/>
        <v>130.56</v>
      </c>
      <c r="M420" s="87">
        <f t="shared" si="136"/>
        <v>34.8704</v>
      </c>
      <c r="N420" s="87"/>
      <c r="O420" s="216">
        <f t="shared" si="139"/>
        <v>34.8704</v>
      </c>
      <c r="P420" s="84">
        <f t="shared" si="130"/>
        <v>22.66576</v>
      </c>
      <c r="Q420" s="91"/>
      <c r="R420" s="226">
        <f t="shared" si="140"/>
        <v>22.66576</v>
      </c>
      <c r="S420" s="343"/>
      <c r="T420" s="344"/>
    </row>
    <row r="421" spans="1:20" s="85" customFormat="1" ht="18.75" customHeight="1">
      <c r="A421" s="61" t="s">
        <v>226</v>
      </c>
      <c r="B421" s="8"/>
      <c r="C421" s="9" t="s">
        <v>151</v>
      </c>
      <c r="D421" s="154" t="s">
        <v>116</v>
      </c>
      <c r="E421" s="14" t="s">
        <v>117</v>
      </c>
      <c r="F421" s="8">
        <v>17972</v>
      </c>
      <c r="G421" s="17">
        <v>38443</v>
      </c>
      <c r="H421" s="110">
        <v>38450</v>
      </c>
      <c r="I421" s="119" t="s">
        <v>256</v>
      </c>
      <c r="J421" s="12">
        <v>241.8</v>
      </c>
      <c r="K421" s="118">
        <v>48.36</v>
      </c>
      <c r="L421" s="190">
        <f t="shared" si="133"/>
        <v>290.16</v>
      </c>
      <c r="M421" s="87">
        <f aca="true" t="shared" si="141" ref="M421:M426">+J421*32.05%</f>
        <v>77.4969</v>
      </c>
      <c r="N421" s="87"/>
      <c r="O421" s="216">
        <f t="shared" si="139"/>
        <v>77.4969</v>
      </c>
      <c r="P421" s="84">
        <f t="shared" si="130"/>
        <v>50.372985</v>
      </c>
      <c r="Q421" s="91"/>
      <c r="R421" s="226">
        <f t="shared" si="140"/>
        <v>50.372985</v>
      </c>
      <c r="S421" s="343"/>
      <c r="T421" s="344"/>
    </row>
    <row r="422" spans="1:20" s="85" customFormat="1" ht="21" customHeight="1">
      <c r="A422" s="61" t="s">
        <v>226</v>
      </c>
      <c r="B422" s="8"/>
      <c r="C422" s="9" t="s">
        <v>151</v>
      </c>
      <c r="D422" s="154" t="s">
        <v>120</v>
      </c>
      <c r="E422" s="14" t="s">
        <v>121</v>
      </c>
      <c r="F422" s="8">
        <v>45</v>
      </c>
      <c r="G422" s="17">
        <v>38435</v>
      </c>
      <c r="H422" s="110">
        <v>38458</v>
      </c>
      <c r="I422" s="119" t="s">
        <v>257</v>
      </c>
      <c r="J422" s="12">
        <v>1239.5</v>
      </c>
      <c r="K422" s="118">
        <v>247.9</v>
      </c>
      <c r="L422" s="190">
        <f t="shared" si="133"/>
        <v>1487.4</v>
      </c>
      <c r="M422" s="87">
        <f t="shared" si="141"/>
        <v>397.25974999999994</v>
      </c>
      <c r="N422" s="87"/>
      <c r="O422" s="216">
        <f t="shared" si="139"/>
        <v>397.25974999999994</v>
      </c>
      <c r="P422" s="84">
        <f t="shared" si="130"/>
        <v>258.21883749999995</v>
      </c>
      <c r="Q422" s="91"/>
      <c r="R422" s="226">
        <f t="shared" si="140"/>
        <v>258.21883749999995</v>
      </c>
      <c r="S422" s="343"/>
      <c r="T422" s="344"/>
    </row>
    <row r="423" spans="1:20" s="85" customFormat="1" ht="23.25" customHeight="1">
      <c r="A423" s="61" t="s">
        <v>226</v>
      </c>
      <c r="B423" s="8"/>
      <c r="C423" s="9" t="s">
        <v>151</v>
      </c>
      <c r="D423" s="154" t="s">
        <v>120</v>
      </c>
      <c r="E423" s="14" t="s">
        <v>121</v>
      </c>
      <c r="F423" s="8">
        <v>46</v>
      </c>
      <c r="G423" s="17">
        <v>38435</v>
      </c>
      <c r="H423" s="110">
        <v>38458</v>
      </c>
      <c r="I423" s="119" t="s">
        <v>257</v>
      </c>
      <c r="J423" s="12">
        <v>929.94</v>
      </c>
      <c r="K423" s="118">
        <v>185.99</v>
      </c>
      <c r="L423" s="190">
        <f t="shared" si="133"/>
        <v>1115.93</v>
      </c>
      <c r="M423" s="87">
        <f t="shared" si="141"/>
        <v>298.04576999999995</v>
      </c>
      <c r="N423" s="87"/>
      <c r="O423" s="216">
        <f t="shared" si="139"/>
        <v>298.04576999999995</v>
      </c>
      <c r="P423" s="84">
        <f t="shared" si="130"/>
        <v>193.72975049999997</v>
      </c>
      <c r="Q423" s="91"/>
      <c r="R423" s="226">
        <f t="shared" si="140"/>
        <v>193.72975049999997</v>
      </c>
      <c r="S423" s="343"/>
      <c r="T423" s="344"/>
    </row>
    <row r="424" spans="1:20" s="85" customFormat="1" ht="23.25" customHeight="1">
      <c r="A424" s="61" t="s">
        <v>226</v>
      </c>
      <c r="B424" s="8"/>
      <c r="C424" s="9" t="s">
        <v>151</v>
      </c>
      <c r="D424" s="154" t="s">
        <v>120</v>
      </c>
      <c r="E424" s="14" t="s">
        <v>121</v>
      </c>
      <c r="F424" s="8">
        <v>53</v>
      </c>
      <c r="G424" s="17">
        <v>38442</v>
      </c>
      <c r="H424" s="110">
        <v>38458</v>
      </c>
      <c r="I424" s="119" t="s">
        <v>257</v>
      </c>
      <c r="J424" s="12">
        <v>1239.5</v>
      </c>
      <c r="K424" s="118">
        <v>247.9</v>
      </c>
      <c r="L424" s="190">
        <f t="shared" si="133"/>
        <v>1487.4</v>
      </c>
      <c r="M424" s="87">
        <f t="shared" si="141"/>
        <v>397.25974999999994</v>
      </c>
      <c r="N424" s="87"/>
      <c r="O424" s="216">
        <f t="shared" si="139"/>
        <v>397.25974999999994</v>
      </c>
      <c r="P424" s="84">
        <f t="shared" si="130"/>
        <v>258.21883749999995</v>
      </c>
      <c r="Q424" s="91"/>
      <c r="R424" s="226">
        <f t="shared" si="140"/>
        <v>258.21883749999995</v>
      </c>
      <c r="S424" s="343"/>
      <c r="T424" s="344"/>
    </row>
    <row r="425" spans="1:20" s="85" customFormat="1" ht="18.75" customHeight="1">
      <c r="A425" s="61" t="s">
        <v>226</v>
      </c>
      <c r="B425" s="8"/>
      <c r="C425" s="9" t="s">
        <v>151</v>
      </c>
      <c r="D425" s="154" t="s">
        <v>120</v>
      </c>
      <c r="E425" s="14" t="s">
        <v>121</v>
      </c>
      <c r="F425" s="8">
        <v>66</v>
      </c>
      <c r="G425" s="17">
        <v>38471</v>
      </c>
      <c r="H425" s="110">
        <v>38547</v>
      </c>
      <c r="I425" s="119" t="s">
        <v>258</v>
      </c>
      <c r="J425" s="12">
        <v>1549.5</v>
      </c>
      <c r="K425" s="118">
        <v>309.9</v>
      </c>
      <c r="L425" s="190">
        <f t="shared" si="133"/>
        <v>1859.4</v>
      </c>
      <c r="M425" s="87">
        <f t="shared" si="141"/>
        <v>496.6147499999999</v>
      </c>
      <c r="N425" s="87"/>
      <c r="O425" s="216">
        <f t="shared" si="139"/>
        <v>496.6147499999999</v>
      </c>
      <c r="P425" s="84">
        <f t="shared" si="130"/>
        <v>322.7995875</v>
      </c>
      <c r="Q425" s="91"/>
      <c r="R425" s="226">
        <f t="shared" si="140"/>
        <v>322.7995875</v>
      </c>
      <c r="S425" s="343"/>
      <c r="T425" s="344"/>
    </row>
    <row r="426" spans="1:20" s="85" customFormat="1" ht="18.75" customHeight="1">
      <c r="A426" s="61" t="s">
        <v>226</v>
      </c>
      <c r="B426" s="8"/>
      <c r="C426" s="9" t="s">
        <v>151</v>
      </c>
      <c r="D426" s="154" t="s">
        <v>120</v>
      </c>
      <c r="E426" s="14" t="s">
        <v>259</v>
      </c>
      <c r="F426" s="8">
        <v>5</v>
      </c>
      <c r="G426" s="17">
        <v>38503</v>
      </c>
      <c r="H426" s="110">
        <v>38512</v>
      </c>
      <c r="I426" s="119" t="s">
        <v>260</v>
      </c>
      <c r="J426" s="12">
        <v>1300</v>
      </c>
      <c r="K426" s="118">
        <v>260</v>
      </c>
      <c r="L426" s="190">
        <f t="shared" si="133"/>
        <v>1560</v>
      </c>
      <c r="M426" s="87">
        <f t="shared" si="141"/>
        <v>416.6499999999999</v>
      </c>
      <c r="N426" s="87"/>
      <c r="O426" s="216">
        <f t="shared" si="139"/>
        <v>416.6499999999999</v>
      </c>
      <c r="P426" s="84">
        <f t="shared" si="130"/>
        <v>270.82249999999993</v>
      </c>
      <c r="Q426" s="91"/>
      <c r="R426" s="226">
        <f t="shared" si="140"/>
        <v>270.82249999999993</v>
      </c>
      <c r="S426" s="343"/>
      <c r="T426" s="344"/>
    </row>
    <row r="427" spans="1:20" s="85" customFormat="1" ht="33.75" customHeight="1">
      <c r="A427" s="61" t="s">
        <v>226</v>
      </c>
      <c r="B427" s="8"/>
      <c r="C427" s="9" t="s">
        <v>151</v>
      </c>
      <c r="D427" s="154" t="s">
        <v>261</v>
      </c>
      <c r="E427" s="14" t="s">
        <v>124</v>
      </c>
      <c r="F427" s="8" t="s">
        <v>125</v>
      </c>
      <c r="G427" s="17">
        <v>38398</v>
      </c>
      <c r="H427" s="110">
        <v>38404</v>
      </c>
      <c r="I427" s="119" t="s">
        <v>194</v>
      </c>
      <c r="J427" s="12">
        <v>500</v>
      </c>
      <c r="K427" s="118">
        <v>0</v>
      </c>
      <c r="L427" s="190">
        <f t="shared" si="133"/>
        <v>500</v>
      </c>
      <c r="M427" s="87">
        <f>+J427*50%</f>
        <v>250</v>
      </c>
      <c r="N427" s="87"/>
      <c r="O427" s="216">
        <f t="shared" si="139"/>
        <v>250</v>
      </c>
      <c r="P427" s="84">
        <f t="shared" si="130"/>
        <v>162.5</v>
      </c>
      <c r="Q427" s="91"/>
      <c r="R427" s="226">
        <f t="shared" si="140"/>
        <v>162.5</v>
      </c>
      <c r="S427" s="343"/>
      <c r="T427" s="344"/>
    </row>
    <row r="428" spans="1:20" s="85" customFormat="1" ht="33.75" customHeight="1">
      <c r="A428" s="61" t="s">
        <v>226</v>
      </c>
      <c r="B428" s="8"/>
      <c r="C428" s="9" t="s">
        <v>151</v>
      </c>
      <c r="D428" s="154" t="s">
        <v>262</v>
      </c>
      <c r="E428" s="14" t="s">
        <v>124</v>
      </c>
      <c r="F428" s="8" t="s">
        <v>125</v>
      </c>
      <c r="G428" s="17">
        <v>38426</v>
      </c>
      <c r="H428" s="110">
        <v>38427</v>
      </c>
      <c r="I428" s="119" t="s">
        <v>194</v>
      </c>
      <c r="J428" s="12">
        <v>500</v>
      </c>
      <c r="K428" s="118">
        <v>0</v>
      </c>
      <c r="L428" s="190">
        <f>J428+K428</f>
        <v>500</v>
      </c>
      <c r="M428" s="87">
        <f>+J428*100%</f>
        <v>500</v>
      </c>
      <c r="N428" s="87"/>
      <c r="O428" s="216">
        <f t="shared" si="139"/>
        <v>500</v>
      </c>
      <c r="P428" s="84">
        <f t="shared" si="130"/>
        <v>325</v>
      </c>
      <c r="Q428" s="91"/>
      <c r="R428" s="226">
        <f t="shared" si="140"/>
        <v>325</v>
      </c>
      <c r="S428" s="343"/>
      <c r="T428" s="344"/>
    </row>
    <row r="429" spans="1:20" s="85" customFormat="1" ht="33.75" customHeight="1">
      <c r="A429" s="61" t="s">
        <v>226</v>
      </c>
      <c r="B429" s="8"/>
      <c r="C429" s="9" t="s">
        <v>151</v>
      </c>
      <c r="D429" s="121" t="s">
        <v>263</v>
      </c>
      <c r="E429" s="14" t="s">
        <v>124</v>
      </c>
      <c r="F429" s="8" t="s">
        <v>125</v>
      </c>
      <c r="G429" s="17">
        <v>38457</v>
      </c>
      <c r="H429" s="110">
        <v>38476</v>
      </c>
      <c r="I429" s="119" t="s">
        <v>194</v>
      </c>
      <c r="J429" s="12">
        <v>500</v>
      </c>
      <c r="K429" s="118">
        <v>0</v>
      </c>
      <c r="L429" s="190">
        <f>J429+K429</f>
        <v>500</v>
      </c>
      <c r="M429" s="87">
        <f>+J429*100%</f>
        <v>500</v>
      </c>
      <c r="N429" s="87"/>
      <c r="O429" s="216">
        <f t="shared" si="139"/>
        <v>500</v>
      </c>
      <c r="P429" s="84">
        <f t="shared" si="130"/>
        <v>325</v>
      </c>
      <c r="Q429" s="91"/>
      <c r="R429" s="226">
        <f t="shared" si="140"/>
        <v>325</v>
      </c>
      <c r="S429" s="343"/>
      <c r="T429" s="344"/>
    </row>
    <row r="430" spans="1:20" s="85" customFormat="1" ht="33.75" customHeight="1">
      <c r="A430" s="61" t="s">
        <v>226</v>
      </c>
      <c r="B430" s="8"/>
      <c r="C430" s="9" t="s">
        <v>151</v>
      </c>
      <c r="D430" s="121" t="s">
        <v>264</v>
      </c>
      <c r="E430" s="14" t="s">
        <v>124</v>
      </c>
      <c r="F430" s="8" t="s">
        <v>125</v>
      </c>
      <c r="G430" s="17">
        <v>38487</v>
      </c>
      <c r="H430" s="110">
        <v>38516</v>
      </c>
      <c r="I430" s="119" t="s">
        <v>194</v>
      </c>
      <c r="J430" s="12">
        <v>500</v>
      </c>
      <c r="K430" s="118">
        <v>0</v>
      </c>
      <c r="L430" s="190">
        <f>J430+K430</f>
        <v>500</v>
      </c>
      <c r="M430" s="87">
        <f>+J430*100%</f>
        <v>500</v>
      </c>
      <c r="N430" s="87"/>
      <c r="O430" s="216">
        <f t="shared" si="139"/>
        <v>500</v>
      </c>
      <c r="P430" s="84">
        <f t="shared" si="130"/>
        <v>325</v>
      </c>
      <c r="Q430" s="91"/>
      <c r="R430" s="226">
        <f t="shared" si="140"/>
        <v>325</v>
      </c>
      <c r="S430" s="343"/>
      <c r="T430" s="344"/>
    </row>
    <row r="431" spans="1:20" s="85" customFormat="1" ht="33.75" customHeight="1">
      <c r="A431" s="61" t="s">
        <v>226</v>
      </c>
      <c r="B431" s="8"/>
      <c r="C431" s="9" t="s">
        <v>151</v>
      </c>
      <c r="D431" s="121" t="s">
        <v>265</v>
      </c>
      <c r="E431" s="14" t="s">
        <v>124</v>
      </c>
      <c r="F431" s="8" t="s">
        <v>125</v>
      </c>
      <c r="G431" s="17">
        <v>38518</v>
      </c>
      <c r="H431" s="17">
        <v>38520</v>
      </c>
      <c r="I431" s="119" t="s">
        <v>194</v>
      </c>
      <c r="J431" s="12">
        <v>500</v>
      </c>
      <c r="K431" s="118">
        <v>0</v>
      </c>
      <c r="L431" s="190">
        <f>J431+K431</f>
        <v>500</v>
      </c>
      <c r="M431" s="87">
        <f>+J431*50%</f>
        <v>250</v>
      </c>
      <c r="N431" s="87"/>
      <c r="O431" s="216">
        <f t="shared" si="139"/>
        <v>250</v>
      </c>
      <c r="P431" s="84">
        <f t="shared" si="130"/>
        <v>162.5</v>
      </c>
      <c r="Q431" s="91"/>
      <c r="R431" s="226">
        <f t="shared" si="140"/>
        <v>162.5</v>
      </c>
      <c r="S431" s="343"/>
      <c r="T431" s="344"/>
    </row>
    <row r="432" spans="1:20" s="85" customFormat="1" ht="33.75" customHeight="1">
      <c r="A432" s="61" t="s">
        <v>271</v>
      </c>
      <c r="B432" s="235" t="s">
        <v>348</v>
      </c>
      <c r="C432" s="14" t="s">
        <v>51</v>
      </c>
      <c r="D432" s="173" t="s">
        <v>273</v>
      </c>
      <c r="E432" s="14" t="s">
        <v>274</v>
      </c>
      <c r="F432" s="174">
        <v>8</v>
      </c>
      <c r="G432" s="134">
        <v>38527</v>
      </c>
      <c r="H432" s="18">
        <v>38547</v>
      </c>
      <c r="I432" s="121" t="s">
        <v>275</v>
      </c>
      <c r="J432" s="170">
        <v>1500</v>
      </c>
      <c r="K432" s="170">
        <f>J432*0.2</f>
        <v>300</v>
      </c>
      <c r="L432" s="204">
        <f>J432+K432</f>
        <v>1800</v>
      </c>
      <c r="M432" s="87">
        <f>+J432*100%</f>
        <v>1500</v>
      </c>
      <c r="N432" s="87">
        <f>+K432*100%</f>
        <v>300</v>
      </c>
      <c r="O432" s="216">
        <f t="shared" si="139"/>
        <v>1800</v>
      </c>
      <c r="P432" s="84">
        <f>M432*0.65</f>
        <v>975</v>
      </c>
      <c r="Q432" s="84">
        <f>N432*0.65</f>
        <v>195</v>
      </c>
      <c r="R432" s="226">
        <f t="shared" si="140"/>
        <v>1170</v>
      </c>
      <c r="S432" s="343"/>
      <c r="T432" s="344"/>
    </row>
    <row r="433" spans="1:20" s="85" customFormat="1" ht="33.75" customHeight="1">
      <c r="A433" s="61" t="s">
        <v>271</v>
      </c>
      <c r="B433" s="8"/>
      <c r="C433" s="14" t="s">
        <v>51</v>
      </c>
      <c r="D433" s="14" t="s">
        <v>276</v>
      </c>
      <c r="E433" s="14" t="s">
        <v>277</v>
      </c>
      <c r="F433" s="142">
        <v>11</v>
      </c>
      <c r="G433" s="17">
        <v>38642</v>
      </c>
      <c r="H433" s="18" t="s">
        <v>291</v>
      </c>
      <c r="I433" s="121" t="s">
        <v>278</v>
      </c>
      <c r="J433" s="170">
        <v>12400</v>
      </c>
      <c r="K433" s="170">
        <f>J433*0.2</f>
        <v>2480</v>
      </c>
      <c r="L433" s="204">
        <f aca="true" t="shared" si="142" ref="L433:L463">J433+K433</f>
        <v>14880</v>
      </c>
      <c r="M433" s="87">
        <v>0</v>
      </c>
      <c r="N433" s="87"/>
      <c r="O433" s="216"/>
      <c r="P433" s="84"/>
      <c r="Q433" s="91"/>
      <c r="R433" s="226"/>
      <c r="S433" s="405" t="s">
        <v>349</v>
      </c>
      <c r="T433" s="456"/>
    </row>
    <row r="434" spans="1:20" s="85" customFormat="1" ht="33.75" customHeight="1">
      <c r="A434" s="61" t="s">
        <v>271</v>
      </c>
      <c r="B434" s="235" t="s">
        <v>348</v>
      </c>
      <c r="C434" s="14" t="s">
        <v>51</v>
      </c>
      <c r="D434" s="62" t="s">
        <v>279</v>
      </c>
      <c r="E434" s="14" t="s">
        <v>280</v>
      </c>
      <c r="F434" s="97">
        <v>485</v>
      </c>
      <c r="G434" s="134">
        <v>38546</v>
      </c>
      <c r="H434" s="18">
        <v>38547</v>
      </c>
      <c r="I434" s="121" t="s">
        <v>275</v>
      </c>
      <c r="J434" s="171">
        <v>1642</v>
      </c>
      <c r="K434" s="170">
        <f>J434*0.2</f>
        <v>328.40000000000003</v>
      </c>
      <c r="L434" s="204">
        <f t="shared" si="142"/>
        <v>1970.4</v>
      </c>
      <c r="M434" s="87">
        <f aca="true" t="shared" si="143" ref="M434:N436">+J434*100%</f>
        <v>1642</v>
      </c>
      <c r="N434" s="87">
        <f t="shared" si="143"/>
        <v>328.40000000000003</v>
      </c>
      <c r="O434" s="216">
        <f>+N434+M434</f>
        <v>1970.4</v>
      </c>
      <c r="P434" s="84">
        <f aca="true" t="shared" si="144" ref="P434:Q436">M434*0.65</f>
        <v>1067.3</v>
      </c>
      <c r="Q434" s="84">
        <f t="shared" si="144"/>
        <v>213.46000000000004</v>
      </c>
      <c r="R434" s="226">
        <f>+Q434+P434</f>
        <v>1280.76</v>
      </c>
      <c r="S434" s="405" t="s">
        <v>129</v>
      </c>
      <c r="T434" s="406"/>
    </row>
    <row r="435" spans="1:20" s="85" customFormat="1" ht="33.75" customHeight="1">
      <c r="A435" s="61" t="s">
        <v>271</v>
      </c>
      <c r="B435" s="235" t="s">
        <v>348</v>
      </c>
      <c r="C435" s="14" t="s">
        <v>51</v>
      </c>
      <c r="D435" s="62" t="s">
        <v>279</v>
      </c>
      <c r="E435" s="14" t="s">
        <v>280</v>
      </c>
      <c r="F435" s="8">
        <v>535</v>
      </c>
      <c r="G435" s="17">
        <v>38563</v>
      </c>
      <c r="H435" s="18">
        <v>38658</v>
      </c>
      <c r="I435" s="121" t="s">
        <v>275</v>
      </c>
      <c r="J435" s="171">
        <v>2670</v>
      </c>
      <c r="K435" s="171">
        <v>534</v>
      </c>
      <c r="L435" s="204">
        <f t="shared" si="142"/>
        <v>3204</v>
      </c>
      <c r="M435" s="87">
        <f t="shared" si="143"/>
        <v>2670</v>
      </c>
      <c r="N435" s="87">
        <f t="shared" si="143"/>
        <v>534</v>
      </c>
      <c r="O435" s="216">
        <f>+N435+M435</f>
        <v>3204</v>
      </c>
      <c r="P435" s="84">
        <f t="shared" si="144"/>
        <v>1735.5</v>
      </c>
      <c r="Q435" s="84">
        <f t="shared" si="144"/>
        <v>347.1</v>
      </c>
      <c r="R435" s="226">
        <f>+Q435+P435</f>
        <v>2082.6</v>
      </c>
      <c r="S435" s="405" t="s">
        <v>129</v>
      </c>
      <c r="T435" s="406"/>
    </row>
    <row r="436" spans="1:20" s="85" customFormat="1" ht="29.25" customHeight="1">
      <c r="A436" s="61" t="s">
        <v>271</v>
      </c>
      <c r="B436" s="235" t="s">
        <v>348</v>
      </c>
      <c r="C436" s="14" t="s">
        <v>51</v>
      </c>
      <c r="D436" s="95" t="s">
        <v>281</v>
      </c>
      <c r="E436" s="161" t="s">
        <v>282</v>
      </c>
      <c r="F436" s="97">
        <v>325</v>
      </c>
      <c r="G436" s="134" t="s">
        <v>283</v>
      </c>
      <c r="H436" s="18">
        <v>38667</v>
      </c>
      <c r="I436" s="172" t="s">
        <v>284</v>
      </c>
      <c r="J436" s="171">
        <v>120</v>
      </c>
      <c r="K436" s="171">
        <f>J436*0.2</f>
        <v>24</v>
      </c>
      <c r="L436" s="204">
        <f t="shared" si="142"/>
        <v>144</v>
      </c>
      <c r="M436" s="87">
        <f t="shared" si="143"/>
        <v>120</v>
      </c>
      <c r="N436" s="87">
        <f t="shared" si="143"/>
        <v>24</v>
      </c>
      <c r="O436" s="216">
        <f>+N436+M436</f>
        <v>144</v>
      </c>
      <c r="P436" s="84">
        <f t="shared" si="144"/>
        <v>78</v>
      </c>
      <c r="Q436" s="84">
        <f t="shared" si="144"/>
        <v>15.600000000000001</v>
      </c>
      <c r="R436" s="226">
        <f>+Q436+P436</f>
        <v>93.6</v>
      </c>
      <c r="S436" s="405" t="s">
        <v>129</v>
      </c>
      <c r="T436" s="406"/>
    </row>
    <row r="437" spans="1:20" s="98" customFormat="1" ht="22.5" customHeight="1">
      <c r="A437" s="227" t="s">
        <v>271</v>
      </c>
      <c r="B437" s="97"/>
      <c r="C437" s="161" t="s">
        <v>51</v>
      </c>
      <c r="D437" s="161" t="s">
        <v>285</v>
      </c>
      <c r="E437" s="161" t="s">
        <v>286</v>
      </c>
      <c r="F437" s="97" t="s">
        <v>287</v>
      </c>
      <c r="G437" s="134">
        <v>38625</v>
      </c>
      <c r="H437" s="183">
        <v>38666</v>
      </c>
      <c r="I437" s="172" t="s">
        <v>284</v>
      </c>
      <c r="J437" s="171">
        <v>225.58</v>
      </c>
      <c r="K437" s="171">
        <v>0</v>
      </c>
      <c r="L437" s="204">
        <f t="shared" si="142"/>
        <v>225.58</v>
      </c>
      <c r="M437" s="87"/>
      <c r="N437" s="87"/>
      <c r="O437" s="216"/>
      <c r="P437" s="92"/>
      <c r="Q437" s="236"/>
      <c r="R437" s="226"/>
      <c r="S437" s="457" t="s">
        <v>292</v>
      </c>
      <c r="T437" s="458"/>
    </row>
    <row r="438" spans="1:20" s="98" customFormat="1" ht="22.5" customHeight="1">
      <c r="A438" s="227" t="s">
        <v>271</v>
      </c>
      <c r="B438" s="97"/>
      <c r="C438" s="161" t="s">
        <v>51</v>
      </c>
      <c r="D438" s="161" t="s">
        <v>285</v>
      </c>
      <c r="E438" s="161" t="s">
        <v>286</v>
      </c>
      <c r="F438" s="97" t="s">
        <v>288</v>
      </c>
      <c r="G438" s="134">
        <v>38645</v>
      </c>
      <c r="H438" s="183">
        <v>38666</v>
      </c>
      <c r="I438" s="172" t="s">
        <v>284</v>
      </c>
      <c r="J438" s="171">
        <v>243.97</v>
      </c>
      <c r="K438" s="171">
        <v>0</v>
      </c>
      <c r="L438" s="204">
        <f t="shared" si="142"/>
        <v>243.97</v>
      </c>
      <c r="M438" s="87"/>
      <c r="N438" s="87"/>
      <c r="O438" s="216"/>
      <c r="P438" s="92"/>
      <c r="Q438" s="236"/>
      <c r="R438" s="226"/>
      <c r="S438" s="459"/>
      <c r="T438" s="460"/>
    </row>
    <row r="439" spans="1:20" s="98" customFormat="1" ht="22.5" customHeight="1">
      <c r="A439" s="227" t="s">
        <v>271</v>
      </c>
      <c r="B439" s="97"/>
      <c r="C439" s="161" t="s">
        <v>51</v>
      </c>
      <c r="D439" s="161" t="s">
        <v>285</v>
      </c>
      <c r="E439" s="161" t="s">
        <v>286</v>
      </c>
      <c r="F439" s="97" t="s">
        <v>289</v>
      </c>
      <c r="G439" s="134">
        <v>38496</v>
      </c>
      <c r="H439" s="183">
        <v>38666</v>
      </c>
      <c r="I439" s="172" t="s">
        <v>284</v>
      </c>
      <c r="J439" s="171">
        <v>280</v>
      </c>
      <c r="K439" s="171">
        <v>0</v>
      </c>
      <c r="L439" s="204">
        <f t="shared" si="142"/>
        <v>280</v>
      </c>
      <c r="M439" s="87"/>
      <c r="N439" s="87"/>
      <c r="O439" s="216"/>
      <c r="P439" s="92"/>
      <c r="Q439" s="236"/>
      <c r="R439" s="226"/>
      <c r="S439" s="459"/>
      <c r="T439" s="460"/>
    </row>
    <row r="440" spans="1:20" s="98" customFormat="1" ht="22.5" customHeight="1">
      <c r="A440" s="227" t="s">
        <v>271</v>
      </c>
      <c r="B440" s="97"/>
      <c r="C440" s="161" t="s">
        <v>51</v>
      </c>
      <c r="D440" s="161" t="s">
        <v>285</v>
      </c>
      <c r="E440" s="161" t="s">
        <v>286</v>
      </c>
      <c r="F440" s="97" t="s">
        <v>290</v>
      </c>
      <c r="G440" s="134">
        <v>38645</v>
      </c>
      <c r="H440" s="183">
        <v>38666</v>
      </c>
      <c r="I440" s="172" t="s">
        <v>284</v>
      </c>
      <c r="J440" s="171">
        <v>100</v>
      </c>
      <c r="K440" s="171">
        <v>0</v>
      </c>
      <c r="L440" s="204">
        <f t="shared" si="142"/>
        <v>100</v>
      </c>
      <c r="M440" s="87"/>
      <c r="N440" s="87"/>
      <c r="O440" s="216"/>
      <c r="P440" s="92"/>
      <c r="Q440" s="236"/>
      <c r="R440" s="226"/>
      <c r="S440" s="461"/>
      <c r="T440" s="462"/>
    </row>
    <row r="441" spans="1:20" s="98" customFormat="1" ht="33.75" customHeight="1">
      <c r="A441" s="61" t="s">
        <v>271</v>
      </c>
      <c r="B441" s="97"/>
      <c r="C441" s="9" t="s">
        <v>151</v>
      </c>
      <c r="D441" s="9" t="s">
        <v>89</v>
      </c>
      <c r="E441" s="14" t="s">
        <v>90</v>
      </c>
      <c r="F441" s="142">
        <v>8500669254</v>
      </c>
      <c r="G441" s="17">
        <v>38510</v>
      </c>
      <c r="H441" s="15">
        <v>38582</v>
      </c>
      <c r="I441" s="93" t="s">
        <v>92</v>
      </c>
      <c r="J441" s="124">
        <f>210+41.32-31.5</f>
        <v>219.82</v>
      </c>
      <c r="K441" s="118">
        <f>J441*0.2</f>
        <v>43.964</v>
      </c>
      <c r="L441" s="205">
        <f t="shared" si="142"/>
        <v>263.784</v>
      </c>
      <c r="M441" s="87">
        <v>70.45231</v>
      </c>
      <c r="N441" s="87"/>
      <c r="O441" s="216">
        <f aca="true" t="shared" si="145" ref="O441:O474">+N441+M441</f>
        <v>70.45231</v>
      </c>
      <c r="P441" s="84">
        <f aca="true" t="shared" si="146" ref="P441:P474">M441*0.65</f>
        <v>45.7940015</v>
      </c>
      <c r="Q441" s="84">
        <f aca="true" t="shared" si="147" ref="Q441:Q474">N441*0.65</f>
        <v>0</v>
      </c>
      <c r="R441" s="226">
        <f aca="true" t="shared" si="148" ref="R441:R474">+Q441+P441</f>
        <v>45.7940015</v>
      </c>
      <c r="S441" s="416"/>
      <c r="T441" s="417"/>
    </row>
    <row r="442" spans="1:20" s="98" customFormat="1" ht="33.75" customHeight="1">
      <c r="A442" s="61" t="s">
        <v>271</v>
      </c>
      <c r="B442" s="97"/>
      <c r="C442" s="9" t="s">
        <v>151</v>
      </c>
      <c r="D442" s="9" t="s">
        <v>89</v>
      </c>
      <c r="E442" s="14" t="s">
        <v>90</v>
      </c>
      <c r="F442" s="8" t="s">
        <v>305</v>
      </c>
      <c r="G442" s="17">
        <v>38510</v>
      </c>
      <c r="H442" s="134">
        <v>38582</v>
      </c>
      <c r="I442" s="93" t="s">
        <v>92</v>
      </c>
      <c r="J442" s="12">
        <f>36.6</f>
        <v>36.6</v>
      </c>
      <c r="K442" s="118">
        <f aca="true" t="shared" si="149" ref="K442:K468">J442*0.2</f>
        <v>7.32</v>
      </c>
      <c r="L442" s="205">
        <f t="shared" si="142"/>
        <v>43.92</v>
      </c>
      <c r="M442" s="87">
        <v>11.730300000000002</v>
      </c>
      <c r="N442" s="87"/>
      <c r="O442" s="216">
        <f t="shared" si="145"/>
        <v>11.730300000000002</v>
      </c>
      <c r="P442" s="84">
        <f t="shared" si="146"/>
        <v>7.624695000000001</v>
      </c>
      <c r="Q442" s="84">
        <f t="shared" si="147"/>
        <v>0</v>
      </c>
      <c r="R442" s="226">
        <f t="shared" si="148"/>
        <v>7.624695000000001</v>
      </c>
      <c r="S442" s="416"/>
      <c r="T442" s="417"/>
    </row>
    <row r="443" spans="1:20" s="98" customFormat="1" ht="33.75" customHeight="1">
      <c r="A443" s="61" t="s">
        <v>271</v>
      </c>
      <c r="B443" s="97"/>
      <c r="C443" s="9" t="s">
        <v>151</v>
      </c>
      <c r="D443" s="9" t="s">
        <v>89</v>
      </c>
      <c r="E443" s="14" t="s">
        <v>90</v>
      </c>
      <c r="F443" s="8" t="s">
        <v>306</v>
      </c>
      <c r="G443" s="17">
        <v>38510</v>
      </c>
      <c r="H443" s="134">
        <v>38582</v>
      </c>
      <c r="I443" s="93" t="s">
        <v>92</v>
      </c>
      <c r="J443" s="12">
        <f>1002.64+126.5</f>
        <v>1129.1399999999999</v>
      </c>
      <c r="K443" s="118">
        <f t="shared" si="149"/>
        <v>225.82799999999997</v>
      </c>
      <c r="L443" s="205">
        <f t="shared" si="142"/>
        <v>1354.9679999999998</v>
      </c>
      <c r="M443" s="87">
        <v>361.88937</v>
      </c>
      <c r="N443" s="87"/>
      <c r="O443" s="216">
        <f t="shared" si="145"/>
        <v>361.88937</v>
      </c>
      <c r="P443" s="84">
        <f t="shared" si="146"/>
        <v>235.2280905</v>
      </c>
      <c r="Q443" s="84">
        <f t="shared" si="147"/>
        <v>0</v>
      </c>
      <c r="R443" s="226">
        <f t="shared" si="148"/>
        <v>235.2280905</v>
      </c>
      <c r="S443" s="416"/>
      <c r="T443" s="417"/>
    </row>
    <row r="444" spans="1:20" s="98" customFormat="1" ht="33.75" customHeight="1">
      <c r="A444" s="61" t="s">
        <v>271</v>
      </c>
      <c r="B444" s="97"/>
      <c r="C444" s="9" t="s">
        <v>151</v>
      </c>
      <c r="D444" s="9" t="s">
        <v>89</v>
      </c>
      <c r="E444" s="14" t="s">
        <v>90</v>
      </c>
      <c r="F444" s="8" t="s">
        <v>307</v>
      </c>
      <c r="G444" s="17">
        <v>38510</v>
      </c>
      <c r="H444" s="134">
        <v>38582</v>
      </c>
      <c r="I444" s="93" t="s">
        <v>92</v>
      </c>
      <c r="J444" s="12">
        <f>154.69+126.5</f>
        <v>281.19</v>
      </c>
      <c r="K444" s="118">
        <f t="shared" si="149"/>
        <v>56.238</v>
      </c>
      <c r="L444" s="205">
        <f t="shared" si="142"/>
        <v>337.428</v>
      </c>
      <c r="M444" s="87">
        <v>90.121395</v>
      </c>
      <c r="N444" s="87"/>
      <c r="O444" s="216">
        <f t="shared" si="145"/>
        <v>90.121395</v>
      </c>
      <c r="P444" s="84">
        <f t="shared" si="146"/>
        <v>58.57890675000001</v>
      </c>
      <c r="Q444" s="84">
        <f t="shared" si="147"/>
        <v>0</v>
      </c>
      <c r="R444" s="226">
        <f t="shared" si="148"/>
        <v>58.57890675000001</v>
      </c>
      <c r="S444" s="416"/>
      <c r="T444" s="417"/>
    </row>
    <row r="445" spans="1:20" s="98" customFormat="1" ht="33.75" customHeight="1">
      <c r="A445" s="61" t="s">
        <v>271</v>
      </c>
      <c r="B445" s="97"/>
      <c r="C445" s="9" t="s">
        <v>151</v>
      </c>
      <c r="D445" s="9" t="s">
        <v>89</v>
      </c>
      <c r="E445" s="14" t="s">
        <v>90</v>
      </c>
      <c r="F445" s="8" t="s">
        <v>308</v>
      </c>
      <c r="G445" s="134">
        <v>38510</v>
      </c>
      <c r="H445" s="134">
        <v>38582</v>
      </c>
      <c r="I445" s="93" t="s">
        <v>92</v>
      </c>
      <c r="J445" s="12">
        <f>48.71+126.5</f>
        <v>175.21</v>
      </c>
      <c r="K445" s="118">
        <f t="shared" si="149"/>
        <v>35.042</v>
      </c>
      <c r="L445" s="205">
        <f t="shared" si="142"/>
        <v>210.252</v>
      </c>
      <c r="M445" s="87">
        <v>56.154805</v>
      </c>
      <c r="N445" s="87"/>
      <c r="O445" s="216">
        <f t="shared" si="145"/>
        <v>56.154805</v>
      </c>
      <c r="P445" s="84">
        <f t="shared" si="146"/>
        <v>36.500623250000004</v>
      </c>
      <c r="Q445" s="84">
        <f t="shared" si="147"/>
        <v>0</v>
      </c>
      <c r="R445" s="226">
        <f t="shared" si="148"/>
        <v>36.500623250000004</v>
      </c>
      <c r="S445" s="416"/>
      <c r="T445" s="417"/>
    </row>
    <row r="446" spans="1:20" s="98" customFormat="1" ht="33.75" customHeight="1">
      <c r="A446" s="61" t="s">
        <v>271</v>
      </c>
      <c r="B446" s="97"/>
      <c r="C446" s="9" t="s">
        <v>151</v>
      </c>
      <c r="D446" s="9" t="s">
        <v>89</v>
      </c>
      <c r="E446" s="14" t="s">
        <v>90</v>
      </c>
      <c r="F446" s="8" t="s">
        <v>309</v>
      </c>
      <c r="G446" s="134">
        <v>38569</v>
      </c>
      <c r="H446" s="134">
        <v>38608</v>
      </c>
      <c r="I446" s="93" t="s">
        <v>92</v>
      </c>
      <c r="J446" s="12">
        <f>1123.21+126.5</f>
        <v>1249.71</v>
      </c>
      <c r="K446" s="118">
        <f t="shared" si="149"/>
        <v>249.942</v>
      </c>
      <c r="L446" s="205">
        <f t="shared" si="142"/>
        <v>1499.652</v>
      </c>
      <c r="M446" s="87">
        <v>400.532055</v>
      </c>
      <c r="N446" s="87"/>
      <c r="O446" s="216">
        <f t="shared" si="145"/>
        <v>400.532055</v>
      </c>
      <c r="P446" s="84">
        <f t="shared" si="146"/>
        <v>260.34583575</v>
      </c>
      <c r="Q446" s="84">
        <f t="shared" si="147"/>
        <v>0</v>
      </c>
      <c r="R446" s="226">
        <f t="shared" si="148"/>
        <v>260.34583575</v>
      </c>
      <c r="S446" s="416"/>
      <c r="T446" s="417"/>
    </row>
    <row r="447" spans="1:20" s="98" customFormat="1" ht="33.75" customHeight="1">
      <c r="A447" s="61" t="s">
        <v>271</v>
      </c>
      <c r="B447" s="97"/>
      <c r="C447" s="9" t="s">
        <v>151</v>
      </c>
      <c r="D447" s="9" t="s">
        <v>89</v>
      </c>
      <c r="E447" s="14" t="s">
        <v>90</v>
      </c>
      <c r="F447" s="8" t="s">
        <v>310</v>
      </c>
      <c r="G447" s="134">
        <v>38569</v>
      </c>
      <c r="H447" s="134">
        <v>38608</v>
      </c>
      <c r="I447" s="93" t="s">
        <v>92</v>
      </c>
      <c r="J447" s="12">
        <f>157.97+126.5</f>
        <v>284.47</v>
      </c>
      <c r="K447" s="118">
        <f t="shared" si="149"/>
        <v>56.894000000000005</v>
      </c>
      <c r="L447" s="205">
        <f t="shared" si="142"/>
        <v>341.36400000000003</v>
      </c>
      <c r="M447" s="87">
        <v>91.17263500000001</v>
      </c>
      <c r="N447" s="87"/>
      <c r="O447" s="216">
        <f t="shared" si="145"/>
        <v>91.17263500000001</v>
      </c>
      <c r="P447" s="84">
        <f t="shared" si="146"/>
        <v>59.26221275000001</v>
      </c>
      <c r="Q447" s="84">
        <f t="shared" si="147"/>
        <v>0</v>
      </c>
      <c r="R447" s="226">
        <f t="shared" si="148"/>
        <v>59.26221275000001</v>
      </c>
      <c r="S447" s="416"/>
      <c r="T447" s="417"/>
    </row>
    <row r="448" spans="1:20" s="98" customFormat="1" ht="33.75" customHeight="1">
      <c r="A448" s="61" t="s">
        <v>271</v>
      </c>
      <c r="B448" s="97"/>
      <c r="C448" s="9" t="s">
        <v>151</v>
      </c>
      <c r="D448" s="9" t="s">
        <v>89</v>
      </c>
      <c r="E448" s="14" t="s">
        <v>90</v>
      </c>
      <c r="F448" s="8" t="s">
        <v>311</v>
      </c>
      <c r="G448" s="134">
        <v>38569</v>
      </c>
      <c r="H448" s="134">
        <v>38608</v>
      </c>
      <c r="I448" s="93" t="s">
        <v>92</v>
      </c>
      <c r="J448" s="12">
        <f>36.6</f>
        <v>36.6</v>
      </c>
      <c r="K448" s="118">
        <f t="shared" si="149"/>
        <v>7.32</v>
      </c>
      <c r="L448" s="205">
        <f t="shared" si="142"/>
        <v>43.92</v>
      </c>
      <c r="M448" s="87">
        <v>11.730300000000002</v>
      </c>
      <c r="N448" s="87"/>
      <c r="O448" s="216">
        <f t="shared" si="145"/>
        <v>11.730300000000002</v>
      </c>
      <c r="P448" s="84">
        <f t="shared" si="146"/>
        <v>7.624695000000001</v>
      </c>
      <c r="Q448" s="84">
        <f t="shared" si="147"/>
        <v>0</v>
      </c>
      <c r="R448" s="226">
        <f t="shared" si="148"/>
        <v>7.624695000000001</v>
      </c>
      <c r="S448" s="416"/>
      <c r="T448" s="417"/>
    </row>
    <row r="449" spans="1:20" s="98" customFormat="1" ht="33.75" customHeight="1">
      <c r="A449" s="61" t="s">
        <v>271</v>
      </c>
      <c r="B449" s="97"/>
      <c r="C449" s="9" t="s">
        <v>151</v>
      </c>
      <c r="D449" s="9" t="s">
        <v>89</v>
      </c>
      <c r="E449" s="14" t="s">
        <v>90</v>
      </c>
      <c r="F449" s="8" t="s">
        <v>312</v>
      </c>
      <c r="G449" s="134">
        <v>38569</v>
      </c>
      <c r="H449" s="134">
        <v>38608</v>
      </c>
      <c r="I449" s="93" t="s">
        <v>92</v>
      </c>
      <c r="J449" s="12">
        <f>210+41.32-31.5</f>
        <v>219.82</v>
      </c>
      <c r="K449" s="118">
        <f t="shared" si="149"/>
        <v>43.964</v>
      </c>
      <c r="L449" s="205">
        <f t="shared" si="142"/>
        <v>263.784</v>
      </c>
      <c r="M449" s="87"/>
      <c r="N449" s="87"/>
      <c r="O449" s="216">
        <f t="shared" si="145"/>
        <v>0</v>
      </c>
      <c r="P449" s="84">
        <f t="shared" si="146"/>
        <v>0</v>
      </c>
      <c r="Q449" s="84">
        <f t="shared" si="147"/>
        <v>0</v>
      </c>
      <c r="R449" s="226">
        <f t="shared" si="148"/>
        <v>0</v>
      </c>
      <c r="S449" s="414" t="s">
        <v>568</v>
      </c>
      <c r="T449" s="415"/>
    </row>
    <row r="450" spans="1:20" s="98" customFormat="1" ht="33.75" customHeight="1">
      <c r="A450" s="61" t="s">
        <v>271</v>
      </c>
      <c r="B450" s="97"/>
      <c r="C450" s="9" t="s">
        <v>151</v>
      </c>
      <c r="D450" s="9" t="s">
        <v>89</v>
      </c>
      <c r="E450" s="14" t="s">
        <v>90</v>
      </c>
      <c r="F450" s="8" t="s">
        <v>313</v>
      </c>
      <c r="G450" s="134">
        <v>38569</v>
      </c>
      <c r="H450" s="134">
        <v>38608</v>
      </c>
      <c r="I450" s="93" t="s">
        <v>92</v>
      </c>
      <c r="J450" s="12">
        <f>34.93+126.5</f>
        <v>161.43</v>
      </c>
      <c r="K450" s="118">
        <f t="shared" si="149"/>
        <v>32.286</v>
      </c>
      <c r="L450" s="205">
        <f t="shared" si="142"/>
        <v>193.716</v>
      </c>
      <c r="M450" s="87">
        <v>51.738315</v>
      </c>
      <c r="N450" s="87"/>
      <c r="O450" s="216">
        <f t="shared" si="145"/>
        <v>51.738315</v>
      </c>
      <c r="P450" s="84">
        <f t="shared" si="146"/>
        <v>33.62990475</v>
      </c>
      <c r="Q450" s="84">
        <f t="shared" si="147"/>
        <v>0</v>
      </c>
      <c r="R450" s="226">
        <f t="shared" si="148"/>
        <v>33.62990475</v>
      </c>
      <c r="S450" s="416"/>
      <c r="T450" s="417"/>
    </row>
    <row r="451" spans="1:20" s="98" customFormat="1" ht="33.75" customHeight="1">
      <c r="A451" s="61" t="s">
        <v>271</v>
      </c>
      <c r="B451" s="97"/>
      <c r="C451" s="9" t="s">
        <v>151</v>
      </c>
      <c r="D451" s="9" t="s">
        <v>89</v>
      </c>
      <c r="E451" s="14" t="s">
        <v>90</v>
      </c>
      <c r="F451" s="8">
        <v>5800159343</v>
      </c>
      <c r="G451" s="17">
        <v>38510</v>
      </c>
      <c r="H451" s="134">
        <v>38582</v>
      </c>
      <c r="I451" s="93" t="s">
        <v>92</v>
      </c>
      <c r="J451" s="12">
        <f>375.45+227.32</f>
        <v>602.77</v>
      </c>
      <c r="K451" s="118">
        <f t="shared" si="149"/>
        <v>120.554</v>
      </c>
      <c r="L451" s="205">
        <f t="shared" si="142"/>
        <v>723.324</v>
      </c>
      <c r="M451" s="87">
        <v>193.187785</v>
      </c>
      <c r="N451" s="87"/>
      <c r="O451" s="216">
        <f t="shared" si="145"/>
        <v>193.187785</v>
      </c>
      <c r="P451" s="84">
        <f t="shared" si="146"/>
        <v>125.57206024999999</v>
      </c>
      <c r="Q451" s="84">
        <f t="shared" si="147"/>
        <v>0</v>
      </c>
      <c r="R451" s="226">
        <f t="shared" si="148"/>
        <v>125.57206024999999</v>
      </c>
      <c r="S451" s="416"/>
      <c r="T451" s="417"/>
    </row>
    <row r="452" spans="1:20" s="98" customFormat="1" ht="33.75" customHeight="1">
      <c r="A452" s="61" t="s">
        <v>271</v>
      </c>
      <c r="B452" s="97"/>
      <c r="C452" s="9" t="s">
        <v>151</v>
      </c>
      <c r="D452" s="9" t="s">
        <v>89</v>
      </c>
      <c r="E452" s="14" t="s">
        <v>90</v>
      </c>
      <c r="F452" s="8">
        <v>5800158651</v>
      </c>
      <c r="G452" s="17">
        <v>38510</v>
      </c>
      <c r="H452" s="134">
        <v>38582</v>
      </c>
      <c r="I452" s="93" t="s">
        <v>92</v>
      </c>
      <c r="J452" s="12">
        <f>737.18+227.32</f>
        <v>964.5</v>
      </c>
      <c r="K452" s="118">
        <f t="shared" si="149"/>
        <v>192.9</v>
      </c>
      <c r="L452" s="205">
        <f t="shared" si="142"/>
        <v>1157.4</v>
      </c>
      <c r="M452" s="87">
        <v>309.12225</v>
      </c>
      <c r="N452" s="87"/>
      <c r="O452" s="216">
        <f t="shared" si="145"/>
        <v>309.12225</v>
      </c>
      <c r="P452" s="84">
        <f t="shared" si="146"/>
        <v>200.9294625</v>
      </c>
      <c r="Q452" s="84">
        <f t="shared" si="147"/>
        <v>0</v>
      </c>
      <c r="R452" s="226">
        <f t="shared" si="148"/>
        <v>200.9294625</v>
      </c>
      <c r="S452" s="416"/>
      <c r="T452" s="417"/>
    </row>
    <row r="453" spans="1:20" s="98" customFormat="1" ht="33.75" customHeight="1">
      <c r="A453" s="61" t="s">
        <v>271</v>
      </c>
      <c r="B453" s="97"/>
      <c r="C453" s="9" t="s">
        <v>151</v>
      </c>
      <c r="D453" s="9" t="s">
        <v>89</v>
      </c>
      <c r="E453" s="14" t="s">
        <v>90</v>
      </c>
      <c r="F453" s="8">
        <v>5800207565</v>
      </c>
      <c r="G453" s="134">
        <v>38569</v>
      </c>
      <c r="H453" s="134">
        <v>38608</v>
      </c>
      <c r="I453" s="93" t="s">
        <v>92</v>
      </c>
      <c r="J453" s="12">
        <f>492.21+227.32</f>
        <v>719.53</v>
      </c>
      <c r="K453" s="118">
        <f>J453*0.2</f>
        <v>143.906</v>
      </c>
      <c r="L453" s="205">
        <f>J453+K453</f>
        <v>863.4359999999999</v>
      </c>
      <c r="M453" s="87"/>
      <c r="N453" s="87"/>
      <c r="O453" s="216">
        <f t="shared" si="145"/>
        <v>0</v>
      </c>
      <c r="P453" s="84">
        <f t="shared" si="146"/>
        <v>0</v>
      </c>
      <c r="Q453" s="84">
        <f t="shared" si="147"/>
        <v>0</v>
      </c>
      <c r="R453" s="226">
        <f t="shared" si="148"/>
        <v>0</v>
      </c>
      <c r="S453" s="414" t="s">
        <v>568</v>
      </c>
      <c r="T453" s="415"/>
    </row>
    <row r="454" spans="1:20" s="98" customFormat="1" ht="33.75" customHeight="1">
      <c r="A454" s="61" t="s">
        <v>271</v>
      </c>
      <c r="B454" s="97"/>
      <c r="C454" s="9" t="s">
        <v>151</v>
      </c>
      <c r="D454" s="9" t="s">
        <v>105</v>
      </c>
      <c r="E454" s="9" t="s">
        <v>106</v>
      </c>
      <c r="F454" s="142">
        <v>61920216</v>
      </c>
      <c r="G454" s="17">
        <v>38536</v>
      </c>
      <c r="H454" s="134">
        <v>38588</v>
      </c>
      <c r="I454" s="93" t="s">
        <v>92</v>
      </c>
      <c r="J454" s="122">
        <v>178.33</v>
      </c>
      <c r="K454" s="118">
        <f t="shared" si="149"/>
        <v>35.666000000000004</v>
      </c>
      <c r="L454" s="205">
        <f t="shared" si="142"/>
        <v>213.996</v>
      </c>
      <c r="M454" s="87">
        <v>57.154765000000005</v>
      </c>
      <c r="N454" s="87"/>
      <c r="O454" s="216">
        <f t="shared" si="145"/>
        <v>57.154765000000005</v>
      </c>
      <c r="P454" s="84">
        <f t="shared" si="146"/>
        <v>37.150597250000004</v>
      </c>
      <c r="Q454" s="84">
        <f t="shared" si="147"/>
        <v>0</v>
      </c>
      <c r="R454" s="226">
        <f t="shared" si="148"/>
        <v>37.150597250000004</v>
      </c>
      <c r="S454" s="416"/>
      <c r="T454" s="417"/>
    </row>
    <row r="455" spans="1:20" s="98" customFormat="1" ht="33.75" customHeight="1">
      <c r="A455" s="61" t="s">
        <v>271</v>
      </c>
      <c r="B455" s="97"/>
      <c r="C455" s="9" t="s">
        <v>151</v>
      </c>
      <c r="D455" s="9" t="s">
        <v>105</v>
      </c>
      <c r="E455" s="9" t="s">
        <v>106</v>
      </c>
      <c r="F455" s="142">
        <v>61920217</v>
      </c>
      <c r="G455" s="17">
        <v>38566</v>
      </c>
      <c r="H455" s="134">
        <v>38600</v>
      </c>
      <c r="I455" s="93" t="s">
        <v>92</v>
      </c>
      <c r="J455" s="122">
        <v>4981.76</v>
      </c>
      <c r="K455" s="118">
        <f t="shared" si="149"/>
        <v>996.3520000000001</v>
      </c>
      <c r="L455" s="205">
        <f t="shared" si="142"/>
        <v>5978.112</v>
      </c>
      <c r="M455" s="87">
        <v>1596.65408</v>
      </c>
      <c r="N455" s="87"/>
      <c r="O455" s="216">
        <f t="shared" si="145"/>
        <v>1596.65408</v>
      </c>
      <c r="P455" s="84">
        <f t="shared" si="146"/>
        <v>1037.8251520000001</v>
      </c>
      <c r="Q455" s="84">
        <f t="shared" si="147"/>
        <v>0</v>
      </c>
      <c r="R455" s="226">
        <f t="shared" si="148"/>
        <v>1037.8251520000001</v>
      </c>
      <c r="S455" s="416"/>
      <c r="T455" s="417"/>
    </row>
    <row r="456" spans="1:20" s="98" customFormat="1" ht="33.75" customHeight="1">
      <c r="A456" s="61" t="s">
        <v>271</v>
      </c>
      <c r="B456" s="97"/>
      <c r="C456" s="9" t="s">
        <v>151</v>
      </c>
      <c r="D456" s="9" t="s">
        <v>105</v>
      </c>
      <c r="E456" s="9" t="s">
        <v>106</v>
      </c>
      <c r="F456" s="142">
        <v>51918862</v>
      </c>
      <c r="G456" s="17">
        <v>38468</v>
      </c>
      <c r="H456" s="134">
        <v>38566</v>
      </c>
      <c r="I456" s="93" t="s">
        <v>92</v>
      </c>
      <c r="J456" s="122">
        <v>20.67</v>
      </c>
      <c r="K456" s="118">
        <v>4.13</v>
      </c>
      <c r="L456" s="205">
        <v>24.8</v>
      </c>
      <c r="M456" s="87"/>
      <c r="N456" s="87"/>
      <c r="O456" s="216">
        <f t="shared" si="145"/>
        <v>0</v>
      </c>
      <c r="P456" s="84">
        <f t="shared" si="146"/>
        <v>0</v>
      </c>
      <c r="Q456" s="84">
        <f t="shared" si="147"/>
        <v>0</v>
      </c>
      <c r="R456" s="226">
        <f t="shared" si="148"/>
        <v>0</v>
      </c>
      <c r="S456" s="416"/>
      <c r="T456" s="417"/>
    </row>
    <row r="457" spans="1:20" s="98" customFormat="1" ht="33.75" customHeight="1">
      <c r="A457" s="61" t="s">
        <v>271</v>
      </c>
      <c r="B457" s="97"/>
      <c r="C457" s="9" t="s">
        <v>151</v>
      </c>
      <c r="D457" s="9" t="s">
        <v>105</v>
      </c>
      <c r="E457" s="9" t="s">
        <v>106</v>
      </c>
      <c r="F457" s="142">
        <v>51918863</v>
      </c>
      <c r="G457" s="17">
        <v>38523</v>
      </c>
      <c r="H457" s="134">
        <v>38566</v>
      </c>
      <c r="I457" s="93" t="s">
        <v>92</v>
      </c>
      <c r="J457" s="122">
        <v>29.09</v>
      </c>
      <c r="K457" s="118">
        <f t="shared" si="149"/>
        <v>5.8180000000000005</v>
      </c>
      <c r="L457" s="205">
        <f t="shared" si="142"/>
        <v>34.908</v>
      </c>
      <c r="M457" s="87">
        <v>9.323345</v>
      </c>
      <c r="N457" s="87"/>
      <c r="O457" s="216">
        <f t="shared" si="145"/>
        <v>9.323345</v>
      </c>
      <c r="P457" s="84">
        <f t="shared" si="146"/>
        <v>6.06017425</v>
      </c>
      <c r="Q457" s="84">
        <f t="shared" si="147"/>
        <v>0</v>
      </c>
      <c r="R457" s="226">
        <f t="shared" si="148"/>
        <v>6.06017425</v>
      </c>
      <c r="S457" s="416"/>
      <c r="T457" s="417"/>
    </row>
    <row r="458" spans="1:20" s="98" customFormat="1" ht="33.75" customHeight="1">
      <c r="A458" s="61" t="s">
        <v>271</v>
      </c>
      <c r="B458" s="97"/>
      <c r="C458" s="9" t="s">
        <v>151</v>
      </c>
      <c r="D458" s="9" t="s">
        <v>105</v>
      </c>
      <c r="E458" s="9" t="s">
        <v>106</v>
      </c>
      <c r="F458" s="142">
        <v>51918864</v>
      </c>
      <c r="G458" s="17">
        <v>38590</v>
      </c>
      <c r="H458" s="134">
        <v>38608</v>
      </c>
      <c r="I458" s="93" t="s">
        <v>92</v>
      </c>
      <c r="J458" s="122">
        <v>30.78</v>
      </c>
      <c r="K458" s="118">
        <f t="shared" si="149"/>
        <v>6.156000000000001</v>
      </c>
      <c r="L458" s="205">
        <f t="shared" si="142"/>
        <v>36.936</v>
      </c>
      <c r="M458" s="87">
        <v>9.86499</v>
      </c>
      <c r="N458" s="87"/>
      <c r="O458" s="216">
        <f t="shared" si="145"/>
        <v>9.86499</v>
      </c>
      <c r="P458" s="84">
        <f t="shared" si="146"/>
        <v>6.412243500000001</v>
      </c>
      <c r="Q458" s="84">
        <f t="shared" si="147"/>
        <v>0</v>
      </c>
      <c r="R458" s="226">
        <f t="shared" si="148"/>
        <v>6.412243500000001</v>
      </c>
      <c r="S458" s="416"/>
      <c r="T458" s="417"/>
    </row>
    <row r="459" spans="1:20" s="98" customFormat="1" ht="33.75" customHeight="1">
      <c r="A459" s="61" t="s">
        <v>271</v>
      </c>
      <c r="B459" s="97"/>
      <c r="C459" s="9" t="s">
        <v>151</v>
      </c>
      <c r="D459" s="9" t="s">
        <v>105</v>
      </c>
      <c r="E459" s="9" t="s">
        <v>106</v>
      </c>
      <c r="F459" s="142">
        <v>61920218</v>
      </c>
      <c r="G459" s="17">
        <v>38597</v>
      </c>
      <c r="H459" s="134">
        <v>38618</v>
      </c>
      <c r="I459" s="93" t="s">
        <v>92</v>
      </c>
      <c r="J459" s="12">
        <v>1615.27</v>
      </c>
      <c r="K459" s="118">
        <f t="shared" si="149"/>
        <v>323.05400000000003</v>
      </c>
      <c r="L459" s="205">
        <f t="shared" si="142"/>
        <v>1938.324</v>
      </c>
      <c r="M459" s="87">
        <v>517.694035</v>
      </c>
      <c r="N459" s="87"/>
      <c r="O459" s="216">
        <f t="shared" si="145"/>
        <v>517.694035</v>
      </c>
      <c r="P459" s="84">
        <f t="shared" si="146"/>
        <v>336.50112275</v>
      </c>
      <c r="Q459" s="84">
        <f t="shared" si="147"/>
        <v>0</v>
      </c>
      <c r="R459" s="226">
        <f t="shared" si="148"/>
        <v>336.50112275</v>
      </c>
      <c r="S459" s="416"/>
      <c r="T459" s="417"/>
    </row>
    <row r="460" spans="1:20" s="98" customFormat="1" ht="33.75" customHeight="1">
      <c r="A460" s="61" t="s">
        <v>271</v>
      </c>
      <c r="B460" s="97"/>
      <c r="C460" s="9" t="s">
        <v>151</v>
      </c>
      <c r="D460" s="9" t="s">
        <v>105</v>
      </c>
      <c r="E460" s="9" t="s">
        <v>106</v>
      </c>
      <c r="F460" s="142">
        <v>61920219</v>
      </c>
      <c r="G460" s="17">
        <v>38628</v>
      </c>
      <c r="H460" s="134">
        <v>38666</v>
      </c>
      <c r="I460" s="93" t="s">
        <v>92</v>
      </c>
      <c r="J460" s="12">
        <f>4.17+265.08+2.3+1275.4</f>
        <v>1546.95</v>
      </c>
      <c r="K460" s="118">
        <f t="shared" si="149"/>
        <v>309.39000000000004</v>
      </c>
      <c r="L460" s="205">
        <f t="shared" si="142"/>
        <v>1856.3400000000001</v>
      </c>
      <c r="M460" s="87">
        <v>495.797475</v>
      </c>
      <c r="N460" s="87"/>
      <c r="O460" s="216">
        <f t="shared" si="145"/>
        <v>495.797475</v>
      </c>
      <c r="P460" s="84">
        <f t="shared" si="146"/>
        <v>322.26835875</v>
      </c>
      <c r="Q460" s="84">
        <f t="shared" si="147"/>
        <v>0</v>
      </c>
      <c r="R460" s="226">
        <f t="shared" si="148"/>
        <v>322.26835875</v>
      </c>
      <c r="S460" s="416"/>
      <c r="T460" s="417"/>
    </row>
    <row r="461" spans="1:20" s="85" customFormat="1" ht="33.75" customHeight="1">
      <c r="A461" s="61" t="s">
        <v>271</v>
      </c>
      <c r="B461" s="8"/>
      <c r="C461" s="9" t="s">
        <v>151</v>
      </c>
      <c r="D461" s="9" t="s">
        <v>113</v>
      </c>
      <c r="E461" s="9" t="s">
        <v>114</v>
      </c>
      <c r="F461" s="142">
        <v>5123212</v>
      </c>
      <c r="G461" s="17">
        <v>38611</v>
      </c>
      <c r="H461" s="134">
        <v>38666</v>
      </c>
      <c r="I461" s="93" t="s">
        <v>92</v>
      </c>
      <c r="J461" s="12">
        <f>2.3+16.14+5.71+1.19+7.86</f>
        <v>33.2</v>
      </c>
      <c r="K461" s="118">
        <f t="shared" si="149"/>
        <v>6.640000000000001</v>
      </c>
      <c r="L461" s="205">
        <f t="shared" si="142"/>
        <v>39.84</v>
      </c>
      <c r="M461" s="87">
        <v>10.640600000000001</v>
      </c>
      <c r="N461" s="87"/>
      <c r="O461" s="216">
        <f t="shared" si="145"/>
        <v>10.640600000000001</v>
      </c>
      <c r="P461" s="84">
        <f t="shared" si="146"/>
        <v>6.916390000000001</v>
      </c>
      <c r="Q461" s="84">
        <f t="shared" si="147"/>
        <v>0</v>
      </c>
      <c r="R461" s="226">
        <f t="shared" si="148"/>
        <v>6.916390000000001</v>
      </c>
      <c r="S461" s="416"/>
      <c r="T461" s="417"/>
    </row>
    <row r="462" spans="1:20" s="85" customFormat="1" ht="33.75" customHeight="1">
      <c r="A462" s="61" t="s">
        <v>271</v>
      </c>
      <c r="B462" s="8"/>
      <c r="C462" s="9" t="s">
        <v>151</v>
      </c>
      <c r="D462" s="9" t="s">
        <v>113</v>
      </c>
      <c r="E462" s="9" t="s">
        <v>114</v>
      </c>
      <c r="F462" s="142">
        <v>5122807</v>
      </c>
      <c r="G462" s="17">
        <v>38611</v>
      </c>
      <c r="H462" s="134">
        <v>38666</v>
      </c>
      <c r="I462" s="93" t="s">
        <v>92</v>
      </c>
      <c r="J462" s="12">
        <f>45.7+197.52+146.67+132.91+27.61-162.5-56.52-11.74+7.86</f>
        <v>327.51</v>
      </c>
      <c r="K462" s="118">
        <f t="shared" si="149"/>
        <v>65.502</v>
      </c>
      <c r="L462" s="205">
        <f t="shared" si="142"/>
        <v>393.012</v>
      </c>
      <c r="M462" s="87">
        <v>104.966955</v>
      </c>
      <c r="N462" s="87"/>
      <c r="O462" s="216">
        <f t="shared" si="145"/>
        <v>104.966955</v>
      </c>
      <c r="P462" s="84">
        <f t="shared" si="146"/>
        <v>68.22852075</v>
      </c>
      <c r="Q462" s="84">
        <f t="shared" si="147"/>
        <v>0</v>
      </c>
      <c r="R462" s="226">
        <f t="shared" si="148"/>
        <v>68.22852075</v>
      </c>
      <c r="S462" s="416"/>
      <c r="T462" s="417"/>
    </row>
    <row r="463" spans="1:20" s="85" customFormat="1" ht="12">
      <c r="A463" s="61" t="s">
        <v>271</v>
      </c>
      <c r="B463" s="8"/>
      <c r="C463" s="9" t="s">
        <v>151</v>
      </c>
      <c r="D463" s="121" t="s">
        <v>115</v>
      </c>
      <c r="E463" s="9" t="s">
        <v>38</v>
      </c>
      <c r="F463" s="8">
        <v>1980498</v>
      </c>
      <c r="G463" s="17">
        <v>38565</v>
      </c>
      <c r="H463" s="134">
        <v>38608</v>
      </c>
      <c r="I463" s="93" t="s">
        <v>92</v>
      </c>
      <c r="J463" s="12">
        <v>123.79</v>
      </c>
      <c r="K463" s="118">
        <v>12.38</v>
      </c>
      <c r="L463" s="205">
        <f t="shared" si="142"/>
        <v>136.17000000000002</v>
      </c>
      <c r="M463" s="87">
        <v>39.674695</v>
      </c>
      <c r="N463" s="87"/>
      <c r="O463" s="216">
        <f t="shared" si="145"/>
        <v>39.674695</v>
      </c>
      <c r="P463" s="84">
        <f t="shared" si="146"/>
        <v>25.78855175</v>
      </c>
      <c r="Q463" s="84">
        <f t="shared" si="147"/>
        <v>0</v>
      </c>
      <c r="R463" s="226">
        <f t="shared" si="148"/>
        <v>25.78855175</v>
      </c>
      <c r="S463" s="416"/>
      <c r="T463" s="417"/>
    </row>
    <row r="464" spans="1:20" s="85" customFormat="1" ht="22.5">
      <c r="A464" s="61" t="s">
        <v>271</v>
      </c>
      <c r="B464" s="8"/>
      <c r="C464" s="9" t="s">
        <v>151</v>
      </c>
      <c r="D464" s="95" t="s">
        <v>116</v>
      </c>
      <c r="E464" s="161" t="s">
        <v>117</v>
      </c>
      <c r="F464" s="97">
        <v>36928</v>
      </c>
      <c r="G464" s="134">
        <v>38534</v>
      </c>
      <c r="H464" s="134">
        <v>38544</v>
      </c>
      <c r="I464" s="137" t="s">
        <v>314</v>
      </c>
      <c r="J464" s="31">
        <v>241.8</v>
      </c>
      <c r="K464" s="120">
        <f t="shared" si="149"/>
        <v>48.36000000000001</v>
      </c>
      <c r="L464" s="205">
        <f aca="true" t="shared" si="150" ref="L464:L472">J464+K464</f>
        <v>290.16</v>
      </c>
      <c r="M464" s="87">
        <v>77.49690000000001</v>
      </c>
      <c r="N464" s="87"/>
      <c r="O464" s="216">
        <f t="shared" si="145"/>
        <v>77.49690000000001</v>
      </c>
      <c r="P464" s="84">
        <f t="shared" si="146"/>
        <v>50.37298500000001</v>
      </c>
      <c r="Q464" s="84">
        <f t="shared" si="147"/>
        <v>0</v>
      </c>
      <c r="R464" s="226">
        <f t="shared" si="148"/>
        <v>50.37298500000001</v>
      </c>
      <c r="S464" s="416"/>
      <c r="T464" s="417"/>
    </row>
    <row r="465" spans="1:20" s="85" customFormat="1" ht="12">
      <c r="A465" s="61" t="s">
        <v>271</v>
      </c>
      <c r="B465" s="8"/>
      <c r="C465" s="9" t="s">
        <v>151</v>
      </c>
      <c r="D465" s="93" t="s">
        <v>120</v>
      </c>
      <c r="E465" s="95" t="s">
        <v>315</v>
      </c>
      <c r="F465" s="8">
        <v>10</v>
      </c>
      <c r="G465" s="17">
        <v>38533</v>
      </c>
      <c r="H465" s="134">
        <v>38546</v>
      </c>
      <c r="I465" s="137" t="s">
        <v>316</v>
      </c>
      <c r="J465" s="12">
        <v>1300</v>
      </c>
      <c r="K465" s="118">
        <f t="shared" si="149"/>
        <v>260</v>
      </c>
      <c r="L465" s="205">
        <f t="shared" si="150"/>
        <v>1560</v>
      </c>
      <c r="M465" s="87">
        <v>416.65</v>
      </c>
      <c r="N465" s="87"/>
      <c r="O465" s="216">
        <f t="shared" si="145"/>
        <v>416.65</v>
      </c>
      <c r="P465" s="84">
        <f t="shared" si="146"/>
        <v>270.8225</v>
      </c>
      <c r="Q465" s="84">
        <f t="shared" si="147"/>
        <v>0</v>
      </c>
      <c r="R465" s="226">
        <f t="shared" si="148"/>
        <v>270.8225</v>
      </c>
      <c r="S465" s="416"/>
      <c r="T465" s="417"/>
    </row>
    <row r="466" spans="1:20" s="85" customFormat="1" ht="12">
      <c r="A466" s="61" t="s">
        <v>271</v>
      </c>
      <c r="B466" s="8"/>
      <c r="C466" s="9" t="s">
        <v>151</v>
      </c>
      <c r="D466" s="93" t="s">
        <v>120</v>
      </c>
      <c r="E466" s="95" t="s">
        <v>315</v>
      </c>
      <c r="F466" s="8">
        <v>17</v>
      </c>
      <c r="G466" s="17">
        <v>38559</v>
      </c>
      <c r="H466" s="134">
        <v>38582</v>
      </c>
      <c r="I466" s="137" t="s">
        <v>317</v>
      </c>
      <c r="J466" s="12">
        <v>1300</v>
      </c>
      <c r="K466" s="118">
        <f t="shared" si="149"/>
        <v>260</v>
      </c>
      <c r="L466" s="205">
        <f t="shared" si="150"/>
        <v>1560</v>
      </c>
      <c r="M466" s="87">
        <v>416.65</v>
      </c>
      <c r="N466" s="87"/>
      <c r="O466" s="216">
        <f t="shared" si="145"/>
        <v>416.65</v>
      </c>
      <c r="P466" s="84">
        <f t="shared" si="146"/>
        <v>270.8225</v>
      </c>
      <c r="Q466" s="84">
        <f t="shared" si="147"/>
        <v>0</v>
      </c>
      <c r="R466" s="226">
        <f t="shared" si="148"/>
        <v>270.8225</v>
      </c>
      <c r="S466" s="416"/>
      <c r="T466" s="417"/>
    </row>
    <row r="467" spans="1:20" s="85" customFormat="1" ht="12">
      <c r="A467" s="61" t="s">
        <v>271</v>
      </c>
      <c r="B467" s="8"/>
      <c r="C467" s="9" t="s">
        <v>151</v>
      </c>
      <c r="D467" s="93" t="s">
        <v>120</v>
      </c>
      <c r="E467" s="95" t="s">
        <v>315</v>
      </c>
      <c r="F467" s="8">
        <v>22</v>
      </c>
      <c r="G467" s="17">
        <v>38564</v>
      </c>
      <c r="H467" s="134">
        <v>38618</v>
      </c>
      <c r="I467" s="137" t="s">
        <v>318</v>
      </c>
      <c r="J467" s="12">
        <v>1300</v>
      </c>
      <c r="K467" s="118">
        <f t="shared" si="149"/>
        <v>260</v>
      </c>
      <c r="L467" s="205">
        <f t="shared" si="150"/>
        <v>1560</v>
      </c>
      <c r="M467" s="87">
        <v>416.65</v>
      </c>
      <c r="N467" s="87"/>
      <c r="O467" s="216">
        <f t="shared" si="145"/>
        <v>416.65</v>
      </c>
      <c r="P467" s="84">
        <f t="shared" si="146"/>
        <v>270.8225</v>
      </c>
      <c r="Q467" s="84">
        <f t="shared" si="147"/>
        <v>0</v>
      </c>
      <c r="R467" s="226">
        <f t="shared" si="148"/>
        <v>270.8225</v>
      </c>
      <c r="S467" s="416"/>
      <c r="T467" s="417"/>
    </row>
    <row r="468" spans="1:20" s="85" customFormat="1" ht="22.5">
      <c r="A468" s="61" t="s">
        <v>271</v>
      </c>
      <c r="B468" s="8"/>
      <c r="C468" s="9" t="s">
        <v>151</v>
      </c>
      <c r="D468" s="93" t="s">
        <v>120</v>
      </c>
      <c r="E468" s="95" t="s">
        <v>315</v>
      </c>
      <c r="F468" s="8">
        <v>25</v>
      </c>
      <c r="G468" s="17">
        <v>38625</v>
      </c>
      <c r="H468" s="134">
        <v>38645</v>
      </c>
      <c r="I468" s="137" t="s">
        <v>319</v>
      </c>
      <c r="J468" s="12">
        <v>1300</v>
      </c>
      <c r="K468" s="118">
        <f t="shared" si="149"/>
        <v>260</v>
      </c>
      <c r="L468" s="205">
        <f t="shared" si="150"/>
        <v>1560</v>
      </c>
      <c r="M468" s="87">
        <v>416.65</v>
      </c>
      <c r="N468" s="87"/>
      <c r="O468" s="216">
        <f t="shared" si="145"/>
        <v>416.65</v>
      </c>
      <c r="P468" s="84">
        <f t="shared" si="146"/>
        <v>270.8225</v>
      </c>
      <c r="Q468" s="84">
        <f t="shared" si="147"/>
        <v>0</v>
      </c>
      <c r="R468" s="226">
        <f t="shared" si="148"/>
        <v>270.8225</v>
      </c>
      <c r="S468" s="416"/>
      <c r="T468" s="417"/>
    </row>
    <row r="469" spans="1:20" s="85" customFormat="1" ht="12">
      <c r="A469" s="61" t="s">
        <v>271</v>
      </c>
      <c r="B469" s="8"/>
      <c r="C469" s="9" t="s">
        <v>151</v>
      </c>
      <c r="D469" s="9" t="s">
        <v>320</v>
      </c>
      <c r="E469" s="95" t="s">
        <v>321</v>
      </c>
      <c r="F469" s="8">
        <v>536</v>
      </c>
      <c r="G469" s="17">
        <v>38563</v>
      </c>
      <c r="H469" s="134">
        <v>38665</v>
      </c>
      <c r="I469" s="137" t="s">
        <v>69</v>
      </c>
      <c r="J469" s="12">
        <v>1696.75</v>
      </c>
      <c r="K469" s="118">
        <v>339.35</v>
      </c>
      <c r="L469" s="205">
        <f t="shared" si="150"/>
        <v>2036.1</v>
      </c>
      <c r="M469" s="87">
        <v>543.808375</v>
      </c>
      <c r="N469" s="87"/>
      <c r="O469" s="216">
        <f t="shared" si="145"/>
        <v>543.808375</v>
      </c>
      <c r="P469" s="84">
        <f t="shared" si="146"/>
        <v>353.47544375</v>
      </c>
      <c r="Q469" s="84">
        <f t="shared" si="147"/>
        <v>0</v>
      </c>
      <c r="R469" s="226">
        <f t="shared" si="148"/>
        <v>353.47544375</v>
      </c>
      <c r="S469" s="416"/>
      <c r="T469" s="417"/>
    </row>
    <row r="470" spans="1:20" s="85" customFormat="1" ht="12">
      <c r="A470" s="61" t="s">
        <v>271</v>
      </c>
      <c r="B470" s="8"/>
      <c r="C470" s="9" t="s">
        <v>151</v>
      </c>
      <c r="D470" s="9" t="s">
        <v>320</v>
      </c>
      <c r="E470" s="95" t="s">
        <v>321</v>
      </c>
      <c r="F470" s="8">
        <v>685</v>
      </c>
      <c r="G470" s="17">
        <v>38640</v>
      </c>
      <c r="H470" s="134">
        <v>38665</v>
      </c>
      <c r="I470" s="137" t="s">
        <v>69</v>
      </c>
      <c r="J470" s="12">
        <v>1265</v>
      </c>
      <c r="K470" s="118">
        <v>253</v>
      </c>
      <c r="L470" s="205">
        <f t="shared" si="150"/>
        <v>1518</v>
      </c>
      <c r="M470" s="87">
        <v>405.4325</v>
      </c>
      <c r="N470" s="87"/>
      <c r="O470" s="216">
        <f t="shared" si="145"/>
        <v>405.4325</v>
      </c>
      <c r="P470" s="84">
        <f t="shared" si="146"/>
        <v>263.53112500000003</v>
      </c>
      <c r="Q470" s="84">
        <f t="shared" si="147"/>
        <v>0</v>
      </c>
      <c r="R470" s="226">
        <f t="shared" si="148"/>
        <v>263.53112500000003</v>
      </c>
      <c r="S470" s="416"/>
      <c r="T470" s="417"/>
    </row>
    <row r="471" spans="1:20" s="85" customFormat="1" ht="22.5">
      <c r="A471" s="61" t="s">
        <v>271</v>
      </c>
      <c r="B471" s="8"/>
      <c r="C471" s="9" t="s">
        <v>151</v>
      </c>
      <c r="D471" s="126" t="s">
        <v>322</v>
      </c>
      <c r="E471" s="95" t="s">
        <v>215</v>
      </c>
      <c r="F471" s="97" t="s">
        <v>216</v>
      </c>
      <c r="G471" s="134">
        <v>38611</v>
      </c>
      <c r="H471" s="134">
        <v>38611</v>
      </c>
      <c r="I471" s="137" t="s">
        <v>323</v>
      </c>
      <c r="J471" s="31">
        <v>223.5</v>
      </c>
      <c r="K471" s="120">
        <v>0</v>
      </c>
      <c r="L471" s="205">
        <f t="shared" si="150"/>
        <v>223.5</v>
      </c>
      <c r="M471" s="87">
        <v>223.5</v>
      </c>
      <c r="N471" s="87"/>
      <c r="O471" s="216">
        <f t="shared" si="145"/>
        <v>223.5</v>
      </c>
      <c r="P471" s="84">
        <f t="shared" si="146"/>
        <v>145.275</v>
      </c>
      <c r="Q471" s="84">
        <f t="shared" si="147"/>
        <v>0</v>
      </c>
      <c r="R471" s="226">
        <f t="shared" si="148"/>
        <v>145.275</v>
      </c>
      <c r="S471" s="416"/>
      <c r="T471" s="417"/>
    </row>
    <row r="472" spans="1:20" s="85" customFormat="1" ht="22.5">
      <c r="A472" s="61" t="s">
        <v>271</v>
      </c>
      <c r="B472" s="8"/>
      <c r="C472" s="9" t="s">
        <v>151</v>
      </c>
      <c r="D472" s="126" t="s">
        <v>324</v>
      </c>
      <c r="E472" s="95" t="s">
        <v>215</v>
      </c>
      <c r="F472" s="97" t="s">
        <v>216</v>
      </c>
      <c r="G472" s="134">
        <v>38625</v>
      </c>
      <c r="H472" s="134">
        <v>38624</v>
      </c>
      <c r="I472" s="137" t="s">
        <v>323</v>
      </c>
      <c r="J472" s="31">
        <v>170</v>
      </c>
      <c r="K472" s="120">
        <v>0</v>
      </c>
      <c r="L472" s="205">
        <f t="shared" si="150"/>
        <v>170</v>
      </c>
      <c r="M472" s="87">
        <v>170</v>
      </c>
      <c r="N472" s="87"/>
      <c r="O472" s="216">
        <f t="shared" si="145"/>
        <v>170</v>
      </c>
      <c r="P472" s="84">
        <f t="shared" si="146"/>
        <v>110.5</v>
      </c>
      <c r="Q472" s="84">
        <f t="shared" si="147"/>
        <v>0</v>
      </c>
      <c r="R472" s="226">
        <f t="shared" si="148"/>
        <v>110.5</v>
      </c>
      <c r="S472" s="416"/>
      <c r="T472" s="417"/>
    </row>
    <row r="473" spans="1:20" ht="33.75">
      <c r="A473" s="61" t="s">
        <v>271</v>
      </c>
      <c r="B473" s="8"/>
      <c r="C473" s="9" t="s">
        <v>151</v>
      </c>
      <c r="D473" s="121" t="s">
        <v>325</v>
      </c>
      <c r="E473" s="14" t="s">
        <v>124</v>
      </c>
      <c r="F473" s="8" t="s">
        <v>125</v>
      </c>
      <c r="G473" s="17"/>
      <c r="H473" s="134">
        <v>38520</v>
      </c>
      <c r="I473" s="137"/>
      <c r="J473" s="12">
        <v>500</v>
      </c>
      <c r="K473" s="118">
        <v>0</v>
      </c>
      <c r="L473" s="205">
        <v>500</v>
      </c>
      <c r="M473" s="87">
        <v>250</v>
      </c>
      <c r="N473" s="87"/>
      <c r="O473" s="216">
        <f t="shared" si="145"/>
        <v>250</v>
      </c>
      <c r="P473" s="84">
        <f t="shared" si="146"/>
        <v>162.5</v>
      </c>
      <c r="Q473" s="84">
        <f t="shared" si="147"/>
        <v>0</v>
      </c>
      <c r="R473" s="226">
        <f t="shared" si="148"/>
        <v>162.5</v>
      </c>
      <c r="S473" s="416"/>
      <c r="T473" s="417"/>
    </row>
    <row r="474" spans="1:20" ht="33.75">
      <c r="A474" s="61" t="s">
        <v>271</v>
      </c>
      <c r="B474" s="8"/>
      <c r="C474" s="9" t="s">
        <v>151</v>
      </c>
      <c r="D474" s="121" t="s">
        <v>326</v>
      </c>
      <c r="E474" s="14" t="s">
        <v>124</v>
      </c>
      <c r="F474" s="8" t="s">
        <v>125</v>
      </c>
      <c r="G474" s="17"/>
      <c r="H474" s="134">
        <v>38635</v>
      </c>
      <c r="I474" s="137"/>
      <c r="J474" s="12">
        <v>1500</v>
      </c>
      <c r="K474" s="118">
        <v>0</v>
      </c>
      <c r="L474" s="205">
        <v>1500</v>
      </c>
      <c r="M474" s="87">
        <v>1500</v>
      </c>
      <c r="N474" s="87"/>
      <c r="O474" s="216">
        <f t="shared" si="145"/>
        <v>1500</v>
      </c>
      <c r="P474" s="84">
        <f t="shared" si="146"/>
        <v>975</v>
      </c>
      <c r="Q474" s="84">
        <f t="shared" si="147"/>
        <v>0</v>
      </c>
      <c r="R474" s="226">
        <f t="shared" si="148"/>
        <v>975</v>
      </c>
      <c r="S474" s="416"/>
      <c r="T474" s="417"/>
    </row>
    <row r="475" spans="1:20" s="98" customFormat="1" ht="22.5" customHeight="1">
      <c r="A475" s="227" t="s">
        <v>354</v>
      </c>
      <c r="B475" s="97"/>
      <c r="C475" s="161" t="s">
        <v>51</v>
      </c>
      <c r="D475" s="14" t="s">
        <v>369</v>
      </c>
      <c r="E475" s="14" t="s">
        <v>370</v>
      </c>
      <c r="F475" s="97"/>
      <c r="G475" s="134"/>
      <c r="H475" s="18">
        <v>38764</v>
      </c>
      <c r="I475" s="16" t="s">
        <v>371</v>
      </c>
      <c r="J475" s="255">
        <v>2319</v>
      </c>
      <c r="K475" s="256"/>
      <c r="L475" s="291">
        <f>J475</f>
        <v>2319</v>
      </c>
      <c r="M475" s="87"/>
      <c r="N475" s="87"/>
      <c r="O475" s="216">
        <f>+N475+M475</f>
        <v>0</v>
      </c>
      <c r="P475" s="84">
        <f>M475*0.65</f>
        <v>0</v>
      </c>
      <c r="Q475" s="84">
        <f>N475*0.65</f>
        <v>0</v>
      </c>
      <c r="R475" s="226">
        <f>+Q475+P475</f>
        <v>0</v>
      </c>
      <c r="S475" s="414" t="s">
        <v>457</v>
      </c>
      <c r="T475" s="415"/>
    </row>
    <row r="476" spans="1:20" s="98" customFormat="1" ht="22.5" customHeight="1">
      <c r="A476" s="227" t="s">
        <v>354</v>
      </c>
      <c r="B476" s="97"/>
      <c r="C476" s="161" t="s">
        <v>51</v>
      </c>
      <c r="D476" s="14" t="s">
        <v>372</v>
      </c>
      <c r="E476" s="14" t="s">
        <v>373</v>
      </c>
      <c r="F476" s="8" t="s">
        <v>374</v>
      </c>
      <c r="G476" s="17">
        <v>38734</v>
      </c>
      <c r="H476" s="18">
        <v>38789</v>
      </c>
      <c r="I476" s="299" t="s">
        <v>371</v>
      </c>
      <c r="J476" s="255">
        <f>1180.51-K476</f>
        <v>1027.92</v>
      </c>
      <c r="K476" s="255">
        <v>152.59</v>
      </c>
      <c r="L476" s="291">
        <f>J476+K476</f>
        <v>1180.51</v>
      </c>
      <c r="M476" s="87">
        <v>1027.92</v>
      </c>
      <c r="N476" s="87">
        <v>152.59</v>
      </c>
      <c r="O476" s="216">
        <f>+N476+M476</f>
        <v>1180.51</v>
      </c>
      <c r="P476" s="84">
        <f>M476*0.65</f>
        <v>668.148</v>
      </c>
      <c r="Q476" s="84">
        <f>N476*0.65</f>
        <v>99.18350000000001</v>
      </c>
      <c r="R476" s="226">
        <f>+Q476+P476</f>
        <v>767.3315</v>
      </c>
      <c r="S476" s="416"/>
      <c r="T476" s="417"/>
    </row>
    <row r="477" spans="1:20" s="98" customFormat="1" ht="22.5" customHeight="1">
      <c r="A477" s="227" t="s">
        <v>354</v>
      </c>
      <c r="B477" s="97"/>
      <c r="C477" s="161" t="s">
        <v>151</v>
      </c>
      <c r="D477" s="9" t="s">
        <v>89</v>
      </c>
      <c r="E477" s="161" t="s">
        <v>90</v>
      </c>
      <c r="F477" s="8" t="s">
        <v>419</v>
      </c>
      <c r="G477" s="17">
        <v>38631</v>
      </c>
      <c r="H477" s="134">
        <v>38713</v>
      </c>
      <c r="I477" s="126" t="s">
        <v>196</v>
      </c>
      <c r="J477" s="282">
        <f>146.12+126.5</f>
        <v>272.62</v>
      </c>
      <c r="K477" s="283">
        <v>54.56</v>
      </c>
      <c r="L477" s="292">
        <f>J477+K477+13.65+0.17</f>
        <v>341</v>
      </c>
      <c r="M477" s="87">
        <v>176.40117647058824</v>
      </c>
      <c r="N477" s="87"/>
      <c r="O477" s="216">
        <f aca="true" t="shared" si="151" ref="O477:O518">+N477+M477</f>
        <v>176.40117647058824</v>
      </c>
      <c r="P477" s="84">
        <f aca="true" t="shared" si="152" ref="P477:P518">M477*0.65</f>
        <v>114.66076470588236</v>
      </c>
      <c r="Q477" s="84">
        <f aca="true" t="shared" si="153" ref="Q477:Q518">N477*0.65</f>
        <v>0</v>
      </c>
      <c r="R477" s="226">
        <f aca="true" t="shared" si="154" ref="R477:R518">+Q477+P477</f>
        <v>114.66076470588236</v>
      </c>
      <c r="S477" s="416"/>
      <c r="T477" s="417"/>
    </row>
    <row r="478" spans="1:20" s="98" customFormat="1" ht="22.5" customHeight="1">
      <c r="A478" s="227" t="s">
        <v>354</v>
      </c>
      <c r="B478" s="97"/>
      <c r="C478" s="161" t="s">
        <v>151</v>
      </c>
      <c r="D478" s="9" t="s">
        <v>89</v>
      </c>
      <c r="E478" s="161" t="s">
        <v>90</v>
      </c>
      <c r="F478" s="8" t="s">
        <v>420</v>
      </c>
      <c r="G478" s="17">
        <v>38631</v>
      </c>
      <c r="H478" s="134">
        <v>38713</v>
      </c>
      <c r="I478" s="126" t="s">
        <v>196</v>
      </c>
      <c r="J478" s="282">
        <f>994.3+126.5</f>
        <v>1120.8</v>
      </c>
      <c r="K478" s="283">
        <v>224.19</v>
      </c>
      <c r="L478" s="292">
        <f>J478+K478+56.62-0.11</f>
        <v>1401.5</v>
      </c>
      <c r="M478" s="87">
        <v>725.2235294117647</v>
      </c>
      <c r="N478" s="87"/>
      <c r="O478" s="216">
        <f t="shared" si="151"/>
        <v>725.2235294117647</v>
      </c>
      <c r="P478" s="84">
        <f t="shared" si="152"/>
        <v>471.3952941176471</v>
      </c>
      <c r="Q478" s="84">
        <f t="shared" si="153"/>
        <v>0</v>
      </c>
      <c r="R478" s="226">
        <f t="shared" si="154"/>
        <v>471.3952941176471</v>
      </c>
      <c r="S478" s="416"/>
      <c r="T478" s="417"/>
    </row>
    <row r="479" spans="1:20" s="98" customFormat="1" ht="22.5" customHeight="1">
      <c r="A479" s="227" t="s">
        <v>354</v>
      </c>
      <c r="B479" s="97"/>
      <c r="C479" s="161" t="s">
        <v>151</v>
      </c>
      <c r="D479" s="9" t="s">
        <v>89</v>
      </c>
      <c r="E479" s="161" t="s">
        <v>90</v>
      </c>
      <c r="F479" s="8" t="s">
        <v>421</v>
      </c>
      <c r="G479" s="17">
        <v>38631</v>
      </c>
      <c r="H479" s="134">
        <v>38713</v>
      </c>
      <c r="I479" s="126" t="s">
        <v>92</v>
      </c>
      <c r="J479" s="282">
        <v>36.6</v>
      </c>
      <c r="K479" s="283">
        <v>7.35</v>
      </c>
      <c r="L479" s="292">
        <f>K479+J479+0.17-0.12</f>
        <v>44.00000000000001</v>
      </c>
      <c r="M479" s="87">
        <v>23.68235294117647</v>
      </c>
      <c r="N479" s="87"/>
      <c r="O479" s="216">
        <f t="shared" si="151"/>
        <v>23.68235294117647</v>
      </c>
      <c r="P479" s="84">
        <f t="shared" si="152"/>
        <v>15.393529411764707</v>
      </c>
      <c r="Q479" s="84">
        <f t="shared" si="153"/>
        <v>0</v>
      </c>
      <c r="R479" s="226">
        <f t="shared" si="154"/>
        <v>15.393529411764707</v>
      </c>
      <c r="S479" s="412"/>
      <c r="T479" s="413"/>
    </row>
    <row r="480" spans="1:20" s="98" customFormat="1" ht="22.5" customHeight="1">
      <c r="A480" s="227" t="s">
        <v>354</v>
      </c>
      <c r="B480" s="97"/>
      <c r="C480" s="161" t="s">
        <v>151</v>
      </c>
      <c r="D480" s="9" t="s">
        <v>89</v>
      </c>
      <c r="E480" s="161" t="s">
        <v>90</v>
      </c>
      <c r="F480" s="8" t="s">
        <v>422</v>
      </c>
      <c r="G480" s="17">
        <v>38448</v>
      </c>
      <c r="H480" s="134">
        <v>38713</v>
      </c>
      <c r="I480" s="126" t="s">
        <v>92</v>
      </c>
      <c r="J480" s="282">
        <f>86.93</f>
        <v>86.93</v>
      </c>
      <c r="K480" s="283">
        <v>57.42</v>
      </c>
      <c r="L480" s="292">
        <f>J480+K480+304.75-0.1</f>
        <v>449</v>
      </c>
      <c r="M480" s="87">
        <v>56.24882352941177</v>
      </c>
      <c r="N480" s="87"/>
      <c r="O480" s="216">
        <f t="shared" si="151"/>
        <v>56.24882352941177</v>
      </c>
      <c r="P480" s="84">
        <f t="shared" si="152"/>
        <v>36.56173529411765</v>
      </c>
      <c r="Q480" s="84">
        <f t="shared" si="153"/>
        <v>0</v>
      </c>
      <c r="R480" s="226">
        <f t="shared" si="154"/>
        <v>36.56173529411765</v>
      </c>
      <c r="S480" s="412"/>
      <c r="T480" s="413"/>
    </row>
    <row r="481" spans="1:20" s="98" customFormat="1" ht="22.5" customHeight="1">
      <c r="A481" s="227" t="s">
        <v>354</v>
      </c>
      <c r="B481" s="97"/>
      <c r="C481" s="161" t="s">
        <v>151</v>
      </c>
      <c r="D481" s="9" t="s">
        <v>89</v>
      </c>
      <c r="E481" s="161" t="s">
        <v>90</v>
      </c>
      <c r="F481" s="8" t="s">
        <v>423</v>
      </c>
      <c r="G481" s="17">
        <v>38510</v>
      </c>
      <c r="H481" s="134">
        <v>38713</v>
      </c>
      <c r="I481" s="126" t="s">
        <v>92</v>
      </c>
      <c r="J481" s="282">
        <v>36.6</v>
      </c>
      <c r="K481" s="283">
        <v>7.35</v>
      </c>
      <c r="L481" s="292">
        <f>J481+K481-0.12+0.17</f>
        <v>44.00000000000001</v>
      </c>
      <c r="M481" s="87">
        <v>23.68235294117647</v>
      </c>
      <c r="N481" s="87"/>
      <c r="O481" s="216">
        <f t="shared" si="151"/>
        <v>23.68235294117647</v>
      </c>
      <c r="P481" s="84">
        <f t="shared" si="152"/>
        <v>15.393529411764707</v>
      </c>
      <c r="Q481" s="84">
        <f t="shared" si="153"/>
        <v>0</v>
      </c>
      <c r="R481" s="226">
        <f t="shared" si="154"/>
        <v>15.393529411764707</v>
      </c>
      <c r="S481" s="412"/>
      <c r="T481" s="413"/>
    </row>
    <row r="482" spans="1:20" s="98" customFormat="1" ht="22.5" customHeight="1">
      <c r="A482" s="227" t="s">
        <v>354</v>
      </c>
      <c r="B482" s="97"/>
      <c r="C482" s="161" t="s">
        <v>151</v>
      </c>
      <c r="D482" s="9" t="s">
        <v>89</v>
      </c>
      <c r="E482" s="161" t="s">
        <v>90</v>
      </c>
      <c r="F482" s="8" t="s">
        <v>424</v>
      </c>
      <c r="G482" s="17">
        <v>38631</v>
      </c>
      <c r="H482" s="134">
        <v>38713</v>
      </c>
      <c r="I482" s="126" t="s">
        <v>92</v>
      </c>
      <c r="J482" s="282">
        <v>36.6</v>
      </c>
      <c r="K482" s="283">
        <v>7.35</v>
      </c>
      <c r="L482" s="292">
        <f>J482+K482+0.17-0.12</f>
        <v>44.00000000000001</v>
      </c>
      <c r="M482" s="87">
        <v>23.68235294117647</v>
      </c>
      <c r="N482" s="87"/>
      <c r="O482" s="216">
        <f t="shared" si="151"/>
        <v>23.68235294117647</v>
      </c>
      <c r="P482" s="84">
        <f t="shared" si="152"/>
        <v>15.393529411764707</v>
      </c>
      <c r="Q482" s="84">
        <f t="shared" si="153"/>
        <v>0</v>
      </c>
      <c r="R482" s="226">
        <f t="shared" si="154"/>
        <v>15.393529411764707</v>
      </c>
      <c r="S482" s="412"/>
      <c r="T482" s="413"/>
    </row>
    <row r="483" spans="1:20" s="98" customFormat="1" ht="22.5" customHeight="1">
      <c r="A483" s="227" t="s">
        <v>354</v>
      </c>
      <c r="B483" s="97"/>
      <c r="C483" s="161" t="s">
        <v>151</v>
      </c>
      <c r="D483" s="9" t="s">
        <v>89</v>
      </c>
      <c r="E483" s="161" t="s">
        <v>90</v>
      </c>
      <c r="F483" s="8" t="s">
        <v>425</v>
      </c>
      <c r="G483" s="17">
        <v>38631</v>
      </c>
      <c r="H483" s="134">
        <v>38713</v>
      </c>
      <c r="I483" s="126" t="s">
        <v>92</v>
      </c>
      <c r="J483" s="282">
        <f>16.83+126.5</f>
        <v>143.32999999999998</v>
      </c>
      <c r="K483" s="283">
        <v>30.76</v>
      </c>
      <c r="L483" s="292">
        <f>J483+K483+18.9+0.01</f>
        <v>192.99999999999997</v>
      </c>
      <c r="M483" s="87">
        <v>92.74294117647058</v>
      </c>
      <c r="N483" s="87"/>
      <c r="O483" s="216">
        <f t="shared" si="151"/>
        <v>92.74294117647058</v>
      </c>
      <c r="P483" s="84">
        <f t="shared" si="152"/>
        <v>60.28291176470588</v>
      </c>
      <c r="Q483" s="84">
        <f t="shared" si="153"/>
        <v>0</v>
      </c>
      <c r="R483" s="226">
        <f t="shared" si="154"/>
        <v>60.28291176470588</v>
      </c>
      <c r="S483" s="416"/>
      <c r="T483" s="417"/>
    </row>
    <row r="484" spans="1:20" s="98" customFormat="1" ht="22.5" customHeight="1">
      <c r="A484" s="227" t="s">
        <v>354</v>
      </c>
      <c r="B484" s="97"/>
      <c r="C484" s="161" t="s">
        <v>151</v>
      </c>
      <c r="D484" s="9" t="s">
        <v>89</v>
      </c>
      <c r="E484" s="161" t="s">
        <v>90</v>
      </c>
      <c r="F484" s="8" t="s">
        <v>426</v>
      </c>
      <c r="G484" s="17">
        <v>38631</v>
      </c>
      <c r="H484" s="134">
        <v>38713</v>
      </c>
      <c r="I484" s="126" t="s">
        <v>92</v>
      </c>
      <c r="J484" s="282">
        <f>210+41.32</f>
        <v>251.32</v>
      </c>
      <c r="K484" s="283">
        <v>50.3</v>
      </c>
      <c r="L484" s="292">
        <f>J484+K484-31.33+0.01-6.3</f>
        <v>264</v>
      </c>
      <c r="M484" s="87">
        <v>162.61882352941177</v>
      </c>
      <c r="N484" s="87"/>
      <c r="O484" s="216">
        <f t="shared" si="151"/>
        <v>162.61882352941177</v>
      </c>
      <c r="P484" s="84">
        <f t="shared" si="152"/>
        <v>105.70223529411766</v>
      </c>
      <c r="Q484" s="84">
        <f t="shared" si="153"/>
        <v>0</v>
      </c>
      <c r="R484" s="226">
        <f t="shared" si="154"/>
        <v>105.70223529411766</v>
      </c>
      <c r="S484" s="416"/>
      <c r="T484" s="417"/>
    </row>
    <row r="485" spans="1:20" s="98" customFormat="1" ht="22.5" customHeight="1">
      <c r="A485" s="227" t="s">
        <v>354</v>
      </c>
      <c r="B485" s="97"/>
      <c r="C485" s="161" t="s">
        <v>151</v>
      </c>
      <c r="D485" s="9" t="s">
        <v>89</v>
      </c>
      <c r="E485" s="161" t="s">
        <v>90</v>
      </c>
      <c r="F485" s="97" t="s">
        <v>427</v>
      </c>
      <c r="G485" s="17">
        <v>38692</v>
      </c>
      <c r="H485" s="134">
        <v>38770</v>
      </c>
      <c r="I485" s="126" t="s">
        <v>126</v>
      </c>
      <c r="J485" s="282">
        <f>21.41+126.5</f>
        <v>147.91</v>
      </c>
      <c r="K485" s="283">
        <v>31.67</v>
      </c>
      <c r="L485" s="292">
        <f>J485+K485+12.94+1.04+9.24+0.17+0.03</f>
        <v>202.99999999999997</v>
      </c>
      <c r="M485" s="87">
        <v>95.70647058823529</v>
      </c>
      <c r="N485" s="87"/>
      <c r="O485" s="216">
        <f t="shared" si="151"/>
        <v>95.70647058823529</v>
      </c>
      <c r="P485" s="84">
        <f t="shared" si="152"/>
        <v>62.20920588235294</v>
      </c>
      <c r="Q485" s="84">
        <f t="shared" si="153"/>
        <v>0</v>
      </c>
      <c r="R485" s="226">
        <f t="shared" si="154"/>
        <v>62.20920588235294</v>
      </c>
      <c r="S485" s="416"/>
      <c r="T485" s="417"/>
    </row>
    <row r="486" spans="1:20" s="98" customFormat="1" ht="22.5" customHeight="1">
      <c r="A486" s="227" t="s">
        <v>354</v>
      </c>
      <c r="B486" s="97"/>
      <c r="C486" s="161" t="s">
        <v>151</v>
      </c>
      <c r="D486" s="9" t="s">
        <v>89</v>
      </c>
      <c r="E486" s="161" t="s">
        <v>90</v>
      </c>
      <c r="F486" s="97" t="s">
        <v>428</v>
      </c>
      <c r="G486" s="17">
        <v>38692</v>
      </c>
      <c r="H486" s="134">
        <v>38770</v>
      </c>
      <c r="I486" s="126" t="s">
        <v>126</v>
      </c>
      <c r="J486" s="282">
        <f>160.82+126.5</f>
        <v>287.32</v>
      </c>
      <c r="K486" s="283">
        <v>57.5</v>
      </c>
      <c r="L486" s="292">
        <f>J486+K486+20.18+0.17-0.17</f>
        <v>365</v>
      </c>
      <c r="M486" s="87">
        <v>185.91294117647058</v>
      </c>
      <c r="N486" s="87"/>
      <c r="O486" s="216">
        <f t="shared" si="151"/>
        <v>185.91294117647058</v>
      </c>
      <c r="P486" s="84">
        <f t="shared" si="152"/>
        <v>120.84341176470588</v>
      </c>
      <c r="Q486" s="84">
        <f t="shared" si="153"/>
        <v>0</v>
      </c>
      <c r="R486" s="226">
        <f t="shared" si="154"/>
        <v>120.84341176470588</v>
      </c>
      <c r="S486" s="416"/>
      <c r="T486" s="417"/>
    </row>
    <row r="487" spans="1:20" s="98" customFormat="1" ht="22.5" customHeight="1">
      <c r="A487" s="227" t="s">
        <v>354</v>
      </c>
      <c r="B487" s="97"/>
      <c r="C487" s="161" t="s">
        <v>151</v>
      </c>
      <c r="D487" s="9" t="s">
        <v>89</v>
      </c>
      <c r="E487" s="161" t="s">
        <v>90</v>
      </c>
      <c r="F487" s="97" t="s">
        <v>429</v>
      </c>
      <c r="G487" s="17">
        <v>38692</v>
      </c>
      <c r="H487" s="134">
        <v>38770</v>
      </c>
      <c r="I487" s="126" t="s">
        <v>126</v>
      </c>
      <c r="J487" s="282">
        <f>1204.74+126.5</f>
        <v>1331.24</v>
      </c>
      <c r="K487" s="283">
        <f>266.28</f>
        <v>266.28</v>
      </c>
      <c r="L487" s="292">
        <f>J487+K487+82.3+0.18</f>
        <v>1680</v>
      </c>
      <c r="M487" s="87">
        <v>861.3905882352942</v>
      </c>
      <c r="N487" s="87"/>
      <c r="O487" s="216">
        <f t="shared" si="151"/>
        <v>861.3905882352942</v>
      </c>
      <c r="P487" s="84">
        <f t="shared" si="152"/>
        <v>559.9038823529413</v>
      </c>
      <c r="Q487" s="84">
        <f t="shared" si="153"/>
        <v>0</v>
      </c>
      <c r="R487" s="226">
        <f t="shared" si="154"/>
        <v>559.9038823529413</v>
      </c>
      <c r="S487" s="416"/>
      <c r="T487" s="417"/>
    </row>
    <row r="488" spans="1:20" s="98" customFormat="1" ht="22.5" customHeight="1">
      <c r="A488" s="227" t="s">
        <v>354</v>
      </c>
      <c r="B488" s="97"/>
      <c r="C488" s="161" t="s">
        <v>151</v>
      </c>
      <c r="D488" s="9" t="s">
        <v>89</v>
      </c>
      <c r="E488" s="161" t="s">
        <v>90</v>
      </c>
      <c r="F488" s="97" t="s">
        <v>430</v>
      </c>
      <c r="G488" s="17">
        <v>38692</v>
      </c>
      <c r="H488" s="134">
        <v>38770</v>
      </c>
      <c r="I488" s="126" t="s">
        <v>126</v>
      </c>
      <c r="J488" s="282">
        <f>36.6</f>
        <v>36.6</v>
      </c>
      <c r="K488" s="283">
        <v>7.35</v>
      </c>
      <c r="L488" s="292">
        <f>36.6+K488+2.84-0.29</f>
        <v>46.50000000000001</v>
      </c>
      <c r="M488" s="87">
        <v>23.68235294117647</v>
      </c>
      <c r="N488" s="87"/>
      <c r="O488" s="216">
        <f t="shared" si="151"/>
        <v>23.68235294117647</v>
      </c>
      <c r="P488" s="84">
        <f t="shared" si="152"/>
        <v>15.393529411764707</v>
      </c>
      <c r="Q488" s="84">
        <f t="shared" si="153"/>
        <v>0</v>
      </c>
      <c r="R488" s="226">
        <f t="shared" si="154"/>
        <v>15.393529411764707</v>
      </c>
      <c r="S488" s="416"/>
      <c r="T488" s="417"/>
    </row>
    <row r="489" spans="1:20" s="98" customFormat="1" ht="22.5" customHeight="1">
      <c r="A489" s="227" t="s">
        <v>354</v>
      </c>
      <c r="B489" s="97"/>
      <c r="C489" s="161" t="s">
        <v>151</v>
      </c>
      <c r="D489" s="9" t="s">
        <v>105</v>
      </c>
      <c r="E489" s="14" t="s">
        <v>106</v>
      </c>
      <c r="F489" s="97">
        <v>351918865</v>
      </c>
      <c r="G489" s="17">
        <v>38651</v>
      </c>
      <c r="H489" s="134">
        <v>38713</v>
      </c>
      <c r="I489" s="126" t="s">
        <v>92</v>
      </c>
      <c r="J489" s="282">
        <v>30.08</v>
      </c>
      <c r="K489" s="283">
        <v>6.02</v>
      </c>
      <c r="L489" s="292">
        <f>K489+J489</f>
        <v>36.099999999999994</v>
      </c>
      <c r="M489" s="87">
        <v>19.463529411764707</v>
      </c>
      <c r="N489" s="87"/>
      <c r="O489" s="216">
        <f t="shared" si="151"/>
        <v>19.463529411764707</v>
      </c>
      <c r="P489" s="84">
        <f t="shared" si="152"/>
        <v>12.65129411764706</v>
      </c>
      <c r="Q489" s="84">
        <f t="shared" si="153"/>
        <v>0</v>
      </c>
      <c r="R489" s="226">
        <f t="shared" si="154"/>
        <v>12.65129411764706</v>
      </c>
      <c r="S489" s="412"/>
      <c r="T489" s="413"/>
    </row>
    <row r="490" spans="1:20" s="98" customFormat="1" ht="22.5" customHeight="1">
      <c r="A490" s="227" t="s">
        <v>354</v>
      </c>
      <c r="B490" s="97"/>
      <c r="C490" s="161" t="s">
        <v>151</v>
      </c>
      <c r="D490" s="9" t="s">
        <v>105</v>
      </c>
      <c r="E490" s="14" t="s">
        <v>106</v>
      </c>
      <c r="F490" s="97">
        <v>61920211</v>
      </c>
      <c r="G490" s="17">
        <v>38658</v>
      </c>
      <c r="H490" s="134">
        <v>38713</v>
      </c>
      <c r="I490" s="126" t="s">
        <v>92</v>
      </c>
      <c r="J490" s="282">
        <v>808.22</v>
      </c>
      <c r="K490" s="283">
        <v>161.64</v>
      </c>
      <c r="L490" s="292">
        <f>K490+J490</f>
        <v>969.86</v>
      </c>
      <c r="M490" s="87">
        <v>522.9658823529412</v>
      </c>
      <c r="N490" s="87"/>
      <c r="O490" s="216">
        <f t="shared" si="151"/>
        <v>522.9658823529412</v>
      </c>
      <c r="P490" s="84">
        <f t="shared" si="152"/>
        <v>339.9278235294118</v>
      </c>
      <c r="Q490" s="84">
        <f t="shared" si="153"/>
        <v>0</v>
      </c>
      <c r="R490" s="226">
        <f t="shared" si="154"/>
        <v>339.9278235294118</v>
      </c>
      <c r="S490" s="412"/>
      <c r="T490" s="413"/>
    </row>
    <row r="491" spans="1:20" s="98" customFormat="1" ht="22.5" customHeight="1">
      <c r="A491" s="227" t="s">
        <v>354</v>
      </c>
      <c r="B491" s="97"/>
      <c r="C491" s="161" t="s">
        <v>151</v>
      </c>
      <c r="D491" s="9" t="s">
        <v>105</v>
      </c>
      <c r="E491" s="14" t="s">
        <v>106</v>
      </c>
      <c r="F491" s="97">
        <v>61920212</v>
      </c>
      <c r="G491" s="17">
        <v>38688</v>
      </c>
      <c r="H491" s="134">
        <v>38713</v>
      </c>
      <c r="I491" s="126" t="s">
        <v>92</v>
      </c>
      <c r="J491" s="282">
        <f>1014.69+4.17+265.08+2.3-8.23</f>
        <v>1278.01</v>
      </c>
      <c r="K491" s="283">
        <v>255.6</v>
      </c>
      <c r="L491" s="292">
        <v>1538.37</v>
      </c>
      <c r="M491" s="87">
        <v>826.9476470588236</v>
      </c>
      <c r="N491" s="87"/>
      <c r="O491" s="216">
        <f t="shared" si="151"/>
        <v>826.9476470588236</v>
      </c>
      <c r="P491" s="84">
        <f t="shared" si="152"/>
        <v>537.5159705882353</v>
      </c>
      <c r="Q491" s="84">
        <f t="shared" si="153"/>
        <v>0</v>
      </c>
      <c r="R491" s="226">
        <f t="shared" si="154"/>
        <v>537.5159705882353</v>
      </c>
      <c r="S491" s="412"/>
      <c r="T491" s="413"/>
    </row>
    <row r="492" spans="1:20" s="98" customFormat="1" ht="22.5" customHeight="1">
      <c r="A492" s="227" t="s">
        <v>354</v>
      </c>
      <c r="B492" s="97"/>
      <c r="C492" s="161" t="s">
        <v>151</v>
      </c>
      <c r="D492" s="9" t="s">
        <v>105</v>
      </c>
      <c r="E492" s="14" t="s">
        <v>106</v>
      </c>
      <c r="F492" s="97">
        <v>35198866</v>
      </c>
      <c r="G492" s="17">
        <v>38713</v>
      </c>
      <c r="H492" s="134">
        <v>38762</v>
      </c>
      <c r="I492" s="126" t="s">
        <v>92</v>
      </c>
      <c r="J492" s="282">
        <v>29.55</v>
      </c>
      <c r="K492" s="283">
        <v>5.91</v>
      </c>
      <c r="L492" s="292">
        <f>K492+J492</f>
        <v>35.46</v>
      </c>
      <c r="M492" s="87">
        <v>19.120588235294118</v>
      </c>
      <c r="N492" s="87"/>
      <c r="O492" s="216">
        <f t="shared" si="151"/>
        <v>19.120588235294118</v>
      </c>
      <c r="P492" s="84">
        <f t="shared" si="152"/>
        <v>12.428382352941178</v>
      </c>
      <c r="Q492" s="84">
        <f t="shared" si="153"/>
        <v>0</v>
      </c>
      <c r="R492" s="226">
        <f t="shared" si="154"/>
        <v>12.428382352941178</v>
      </c>
      <c r="S492" s="412"/>
      <c r="T492" s="413"/>
    </row>
    <row r="493" spans="1:20" s="98" customFormat="1" ht="22.5" customHeight="1">
      <c r="A493" s="227" t="s">
        <v>354</v>
      </c>
      <c r="B493" s="97"/>
      <c r="C493" s="161" t="s">
        <v>151</v>
      </c>
      <c r="D493" s="9" t="s">
        <v>105</v>
      </c>
      <c r="E493" s="14" t="s">
        <v>106</v>
      </c>
      <c r="F493" s="97">
        <v>61920213</v>
      </c>
      <c r="G493" s="17">
        <v>38723</v>
      </c>
      <c r="H493" s="134">
        <v>38779</v>
      </c>
      <c r="I493" s="126" t="s">
        <v>92</v>
      </c>
      <c r="J493" s="282">
        <v>1672.06</v>
      </c>
      <c r="K493" s="283">
        <v>334.41</v>
      </c>
      <c r="L493" s="292">
        <f>K493+J493+1.9+3.36+1.21</f>
        <v>2012.94</v>
      </c>
      <c r="M493" s="87">
        <v>1081.9211764705883</v>
      </c>
      <c r="N493" s="87"/>
      <c r="O493" s="216">
        <f t="shared" si="151"/>
        <v>1081.9211764705883</v>
      </c>
      <c r="P493" s="84">
        <f t="shared" si="152"/>
        <v>703.2487647058824</v>
      </c>
      <c r="Q493" s="84">
        <f t="shared" si="153"/>
        <v>0</v>
      </c>
      <c r="R493" s="226">
        <f t="shared" si="154"/>
        <v>703.2487647058824</v>
      </c>
      <c r="S493" s="412"/>
      <c r="T493" s="413"/>
    </row>
    <row r="494" spans="1:20" s="98" customFormat="1" ht="22.5" customHeight="1">
      <c r="A494" s="227" t="s">
        <v>354</v>
      </c>
      <c r="B494" s="97"/>
      <c r="C494" s="161" t="s">
        <v>151</v>
      </c>
      <c r="D494" s="9" t="s">
        <v>105</v>
      </c>
      <c r="E494" s="14" t="s">
        <v>106</v>
      </c>
      <c r="F494" s="97">
        <v>35198867</v>
      </c>
      <c r="G494" s="17">
        <v>38765</v>
      </c>
      <c r="H494" s="134">
        <v>38786</v>
      </c>
      <c r="I494" s="126" t="s">
        <v>92</v>
      </c>
      <c r="J494" s="282">
        <f>8.53+16.05+4.61+0.22+2.86+0.5</f>
        <v>32.769999999999996</v>
      </c>
      <c r="K494" s="283">
        <v>6.57</v>
      </c>
      <c r="L494" s="292">
        <v>39.82</v>
      </c>
      <c r="M494" s="87">
        <v>21.204117647058823</v>
      </c>
      <c r="N494" s="87"/>
      <c r="O494" s="216">
        <f t="shared" si="151"/>
        <v>21.204117647058823</v>
      </c>
      <c r="P494" s="84">
        <f t="shared" si="152"/>
        <v>13.782676470588235</v>
      </c>
      <c r="Q494" s="84">
        <f t="shared" si="153"/>
        <v>0</v>
      </c>
      <c r="R494" s="226">
        <f t="shared" si="154"/>
        <v>13.782676470588235</v>
      </c>
      <c r="S494" s="412"/>
      <c r="T494" s="413"/>
    </row>
    <row r="495" spans="1:20" s="98" customFormat="1" ht="22.5" customHeight="1">
      <c r="A495" s="227" t="s">
        <v>354</v>
      </c>
      <c r="B495" s="97"/>
      <c r="C495" s="161" t="s">
        <v>151</v>
      </c>
      <c r="D495" s="9" t="s">
        <v>113</v>
      </c>
      <c r="E495" s="14" t="s">
        <v>114</v>
      </c>
      <c r="F495" s="97">
        <v>5157185</v>
      </c>
      <c r="G495" s="17">
        <v>38672</v>
      </c>
      <c r="H495" s="134">
        <v>38713</v>
      </c>
      <c r="I495" s="126" t="s">
        <v>92</v>
      </c>
      <c r="J495" s="282">
        <f>153.83+32.17+177.67+62.48+5</f>
        <v>431.15</v>
      </c>
      <c r="K495" s="283">
        <v>118.29</v>
      </c>
      <c r="L495" s="292">
        <f>J495+K495+130.43+27.09+2.8+1.95</f>
        <v>711.7099999999999</v>
      </c>
      <c r="M495" s="87">
        <v>278.9794117647059</v>
      </c>
      <c r="N495" s="87"/>
      <c r="O495" s="216">
        <f t="shared" si="151"/>
        <v>278.9794117647059</v>
      </c>
      <c r="P495" s="84">
        <f t="shared" si="152"/>
        <v>181.33661764705883</v>
      </c>
      <c r="Q495" s="84">
        <f t="shared" si="153"/>
        <v>0</v>
      </c>
      <c r="R495" s="226">
        <f t="shared" si="154"/>
        <v>181.33661764705883</v>
      </c>
      <c r="S495" s="412"/>
      <c r="T495" s="413"/>
    </row>
    <row r="496" spans="1:20" s="98" customFormat="1" ht="22.5" customHeight="1">
      <c r="A496" s="227" t="s">
        <v>354</v>
      </c>
      <c r="B496" s="97"/>
      <c r="C496" s="161" t="s">
        <v>151</v>
      </c>
      <c r="D496" s="9" t="s">
        <v>113</v>
      </c>
      <c r="E496" s="14" t="s">
        <v>114</v>
      </c>
      <c r="F496" s="97">
        <v>5157594</v>
      </c>
      <c r="G496" s="17">
        <v>38672</v>
      </c>
      <c r="H496" s="134">
        <v>38713</v>
      </c>
      <c r="I496" s="126" t="s">
        <v>92</v>
      </c>
      <c r="J496" s="282">
        <f>10.9+24.54+5</f>
        <v>40.44</v>
      </c>
      <c r="K496" s="283">
        <v>11.12</v>
      </c>
      <c r="L496" s="292">
        <f>J496+K496+12.55+2.61</f>
        <v>66.72</v>
      </c>
      <c r="M496" s="87">
        <v>26.167058823529413</v>
      </c>
      <c r="N496" s="87"/>
      <c r="O496" s="216">
        <f t="shared" si="151"/>
        <v>26.167058823529413</v>
      </c>
      <c r="P496" s="84">
        <f t="shared" si="152"/>
        <v>17.00858823529412</v>
      </c>
      <c r="Q496" s="84">
        <f t="shared" si="153"/>
        <v>0</v>
      </c>
      <c r="R496" s="226">
        <f t="shared" si="154"/>
        <v>17.00858823529412</v>
      </c>
      <c r="S496" s="412"/>
      <c r="T496" s="413"/>
    </row>
    <row r="497" spans="1:20" s="98" customFormat="1" ht="22.5" customHeight="1">
      <c r="A497" s="227" t="s">
        <v>354</v>
      </c>
      <c r="B497" s="97"/>
      <c r="C497" s="161" t="s">
        <v>151</v>
      </c>
      <c r="D497" s="9" t="s">
        <v>113</v>
      </c>
      <c r="E497" s="14" t="s">
        <v>114</v>
      </c>
      <c r="F497" s="97">
        <v>5184371</v>
      </c>
      <c r="G497" s="17">
        <v>38709</v>
      </c>
      <c r="H497" s="134">
        <v>38762</v>
      </c>
      <c r="I497" s="126" t="s">
        <v>92</v>
      </c>
      <c r="J497" s="282">
        <f>592.33+2.5</f>
        <v>594.83</v>
      </c>
      <c r="K497" s="283">
        <v>163.34</v>
      </c>
      <c r="L497" s="292">
        <f>J497+K497+183.72+38.16</f>
        <v>980.0500000000001</v>
      </c>
      <c r="M497" s="87">
        <v>384.89</v>
      </c>
      <c r="N497" s="87"/>
      <c r="O497" s="216">
        <f t="shared" si="151"/>
        <v>384.89</v>
      </c>
      <c r="P497" s="84">
        <f t="shared" si="152"/>
        <v>250.1785</v>
      </c>
      <c r="Q497" s="84">
        <f t="shared" si="153"/>
        <v>0</v>
      </c>
      <c r="R497" s="226">
        <f t="shared" si="154"/>
        <v>250.1785</v>
      </c>
      <c r="S497" s="412"/>
      <c r="T497" s="413"/>
    </row>
    <row r="498" spans="1:20" s="98" customFormat="1" ht="22.5" customHeight="1">
      <c r="A498" s="227" t="s">
        <v>354</v>
      </c>
      <c r="B498" s="97"/>
      <c r="C498" s="161" t="s">
        <v>151</v>
      </c>
      <c r="D498" s="9" t="s">
        <v>113</v>
      </c>
      <c r="E498" s="14" t="s">
        <v>114</v>
      </c>
      <c r="F498" s="97">
        <v>5184785</v>
      </c>
      <c r="G498" s="17">
        <v>38709</v>
      </c>
      <c r="H498" s="134">
        <v>38762</v>
      </c>
      <c r="I498" s="126" t="s">
        <v>92</v>
      </c>
      <c r="J498" s="282">
        <f>7.63+67.14+2.5</f>
        <v>77.27</v>
      </c>
      <c r="K498" s="283">
        <v>20.56</v>
      </c>
      <c r="L498" s="292">
        <f>J498+K498+21.12+4.39+0.2</f>
        <v>123.54</v>
      </c>
      <c r="M498" s="87">
        <v>49.99823529411765</v>
      </c>
      <c r="N498" s="87"/>
      <c r="O498" s="216">
        <f t="shared" si="151"/>
        <v>49.99823529411765</v>
      </c>
      <c r="P498" s="84">
        <f t="shared" si="152"/>
        <v>32.49885294117647</v>
      </c>
      <c r="Q498" s="84">
        <f t="shared" si="153"/>
        <v>0</v>
      </c>
      <c r="R498" s="226">
        <f t="shared" si="154"/>
        <v>32.49885294117647</v>
      </c>
      <c r="S498" s="412"/>
      <c r="T498" s="413"/>
    </row>
    <row r="499" spans="1:20" s="98" customFormat="1" ht="22.5" customHeight="1">
      <c r="A499" s="227" t="s">
        <v>354</v>
      </c>
      <c r="B499" s="97"/>
      <c r="C499" s="161" t="s">
        <v>151</v>
      </c>
      <c r="D499" s="9" t="s">
        <v>113</v>
      </c>
      <c r="E499" s="14" t="s">
        <v>114</v>
      </c>
      <c r="F499" s="97">
        <v>6026096</v>
      </c>
      <c r="G499" s="17">
        <v>38743</v>
      </c>
      <c r="H499" s="281">
        <v>38786</v>
      </c>
      <c r="I499" s="126" t="s">
        <v>92</v>
      </c>
      <c r="J499" s="282">
        <f>193.44+429.57+2.5</f>
        <v>625.51</v>
      </c>
      <c r="K499" s="283">
        <v>171.43</v>
      </c>
      <c r="L499" s="292">
        <f>J499+K499+60+131.8+12.46+27.37+1.93</f>
        <v>1030.5</v>
      </c>
      <c r="M499" s="87">
        <v>404.74176470588236</v>
      </c>
      <c r="N499" s="87"/>
      <c r="O499" s="216">
        <f t="shared" si="151"/>
        <v>404.74176470588236</v>
      </c>
      <c r="P499" s="84">
        <f t="shared" si="152"/>
        <v>263.0821470588235</v>
      </c>
      <c r="Q499" s="84">
        <f t="shared" si="153"/>
        <v>0</v>
      </c>
      <c r="R499" s="226">
        <f t="shared" si="154"/>
        <v>263.0821470588235</v>
      </c>
      <c r="S499" s="412"/>
      <c r="T499" s="413"/>
    </row>
    <row r="500" spans="1:20" s="98" customFormat="1" ht="22.5" customHeight="1">
      <c r="A500" s="227" t="s">
        <v>354</v>
      </c>
      <c r="B500" s="97"/>
      <c r="C500" s="161" t="s">
        <v>151</v>
      </c>
      <c r="D500" s="9" t="s">
        <v>113</v>
      </c>
      <c r="E500" s="14" t="s">
        <v>114</v>
      </c>
      <c r="F500" s="97">
        <v>6026513</v>
      </c>
      <c r="G500" s="17">
        <v>38743</v>
      </c>
      <c r="H500" s="281">
        <v>38786</v>
      </c>
      <c r="I500" s="126" t="s">
        <v>92</v>
      </c>
      <c r="J500" s="282">
        <f>25.12+56.26+2.5</f>
        <v>83.88</v>
      </c>
      <c r="K500" s="283">
        <f>22.09</f>
        <v>22.09</v>
      </c>
      <c r="L500" s="292">
        <f>J500+K500+6.83+15.15+1.42+3.15+0.18</f>
        <v>132.70000000000002</v>
      </c>
      <c r="M500" s="87">
        <v>54.27529411764706</v>
      </c>
      <c r="N500" s="87"/>
      <c r="O500" s="216">
        <f t="shared" si="151"/>
        <v>54.27529411764706</v>
      </c>
      <c r="P500" s="84">
        <f t="shared" si="152"/>
        <v>35.27894117647059</v>
      </c>
      <c r="Q500" s="84">
        <f t="shared" si="153"/>
        <v>0</v>
      </c>
      <c r="R500" s="226">
        <f t="shared" si="154"/>
        <v>35.27894117647059</v>
      </c>
      <c r="S500" s="412"/>
      <c r="T500" s="413"/>
    </row>
    <row r="501" spans="1:20" s="98" customFormat="1" ht="22.5" customHeight="1">
      <c r="A501" s="227" t="s">
        <v>354</v>
      </c>
      <c r="B501" s="97"/>
      <c r="C501" s="161" t="s">
        <v>151</v>
      </c>
      <c r="D501" s="121" t="s">
        <v>115</v>
      </c>
      <c r="E501" s="14" t="s">
        <v>38</v>
      </c>
      <c r="F501" s="97">
        <v>3077125</v>
      </c>
      <c r="G501" s="17">
        <v>38656</v>
      </c>
      <c r="H501" s="134">
        <v>38713</v>
      </c>
      <c r="I501" s="126" t="s">
        <v>92</v>
      </c>
      <c r="J501" s="282">
        <f>59.31+36.51+15.04+43.19+36.51</f>
        <v>190.55999999999997</v>
      </c>
      <c r="K501" s="283">
        <v>19.06</v>
      </c>
      <c r="L501" s="292">
        <f>J501+K501+6.89</f>
        <v>216.50999999999996</v>
      </c>
      <c r="M501" s="87">
        <v>123.3035294117647</v>
      </c>
      <c r="N501" s="87"/>
      <c r="O501" s="216">
        <f t="shared" si="151"/>
        <v>123.3035294117647</v>
      </c>
      <c r="P501" s="84">
        <f t="shared" si="152"/>
        <v>80.14729411764706</v>
      </c>
      <c r="Q501" s="84">
        <f t="shared" si="153"/>
        <v>0</v>
      </c>
      <c r="R501" s="226">
        <f t="shared" si="154"/>
        <v>80.14729411764706</v>
      </c>
      <c r="S501" s="414" t="s">
        <v>455</v>
      </c>
      <c r="T501" s="415"/>
    </row>
    <row r="502" spans="1:20" s="98" customFormat="1" ht="22.5" customHeight="1">
      <c r="A502" s="227" t="s">
        <v>354</v>
      </c>
      <c r="B502" s="97"/>
      <c r="C502" s="161" t="s">
        <v>151</v>
      </c>
      <c r="D502" s="121" t="s">
        <v>115</v>
      </c>
      <c r="E502" s="14" t="s">
        <v>38</v>
      </c>
      <c r="F502" s="97">
        <v>213825</v>
      </c>
      <c r="G502" s="17">
        <v>38751</v>
      </c>
      <c r="H502" s="134">
        <v>38791</v>
      </c>
      <c r="I502" s="126" t="s">
        <v>92</v>
      </c>
      <c r="J502" s="282">
        <f>95.08+49.77+24.12+69.23+49.77-190.56</f>
        <v>97.40999999999997</v>
      </c>
      <c r="K502" s="283">
        <v>9.74</v>
      </c>
      <c r="L502" s="292">
        <f>J502+K502+0.08</f>
        <v>107.22999999999996</v>
      </c>
      <c r="M502" s="87">
        <v>63.03</v>
      </c>
      <c r="N502" s="87"/>
      <c r="O502" s="216">
        <f t="shared" si="151"/>
        <v>63.03</v>
      </c>
      <c r="P502" s="84">
        <f t="shared" si="152"/>
        <v>40.969500000000004</v>
      </c>
      <c r="Q502" s="84">
        <f t="shared" si="153"/>
        <v>0</v>
      </c>
      <c r="R502" s="226">
        <f t="shared" si="154"/>
        <v>40.969500000000004</v>
      </c>
      <c r="S502" s="414" t="s">
        <v>455</v>
      </c>
      <c r="T502" s="415"/>
    </row>
    <row r="503" spans="1:20" s="98" customFormat="1" ht="22.5" customHeight="1">
      <c r="A503" s="227" t="s">
        <v>354</v>
      </c>
      <c r="B503" s="97"/>
      <c r="C503" s="161" t="s">
        <v>151</v>
      </c>
      <c r="D503" s="95" t="s">
        <v>431</v>
      </c>
      <c r="E503" s="161" t="s">
        <v>117</v>
      </c>
      <c r="F503" s="97" t="s">
        <v>432</v>
      </c>
      <c r="G503" s="17">
        <v>38719</v>
      </c>
      <c r="H503" s="134">
        <v>38727</v>
      </c>
      <c r="I503" s="137" t="s">
        <v>433</v>
      </c>
      <c r="J503" s="282">
        <v>246.64</v>
      </c>
      <c r="K503" s="283">
        <v>49.33</v>
      </c>
      <c r="L503" s="292">
        <v>295.97</v>
      </c>
      <c r="M503" s="87">
        <v>159.59058823529412</v>
      </c>
      <c r="N503" s="87"/>
      <c r="O503" s="216">
        <f t="shared" si="151"/>
        <v>159.59058823529412</v>
      </c>
      <c r="P503" s="84">
        <f t="shared" si="152"/>
        <v>103.73388235294118</v>
      </c>
      <c r="Q503" s="84">
        <f t="shared" si="153"/>
        <v>0</v>
      </c>
      <c r="R503" s="226">
        <f t="shared" si="154"/>
        <v>103.73388235294118</v>
      </c>
      <c r="S503" s="416"/>
      <c r="T503" s="417"/>
    </row>
    <row r="504" spans="1:20" s="98" customFormat="1" ht="22.5" customHeight="1">
      <c r="A504" s="227" t="s">
        <v>354</v>
      </c>
      <c r="B504" s="97"/>
      <c r="C504" s="161" t="s">
        <v>151</v>
      </c>
      <c r="D504" s="93" t="s">
        <v>120</v>
      </c>
      <c r="E504" s="161" t="s">
        <v>315</v>
      </c>
      <c r="F504" s="97">
        <v>33</v>
      </c>
      <c r="G504" s="17">
        <v>38656</v>
      </c>
      <c r="H504" s="134">
        <v>38670</v>
      </c>
      <c r="I504" s="137" t="s">
        <v>434</v>
      </c>
      <c r="J504" s="282">
        <v>1300</v>
      </c>
      <c r="K504" s="283">
        <v>260</v>
      </c>
      <c r="L504" s="292">
        <v>1560</v>
      </c>
      <c r="M504" s="87">
        <v>841.1764705882354</v>
      </c>
      <c r="N504" s="87"/>
      <c r="O504" s="216">
        <f t="shared" si="151"/>
        <v>841.1764705882354</v>
      </c>
      <c r="P504" s="84">
        <f t="shared" si="152"/>
        <v>546.764705882353</v>
      </c>
      <c r="Q504" s="84">
        <f t="shared" si="153"/>
        <v>0</v>
      </c>
      <c r="R504" s="226">
        <f t="shared" si="154"/>
        <v>546.764705882353</v>
      </c>
      <c r="S504" s="416"/>
      <c r="T504" s="417"/>
    </row>
    <row r="505" spans="1:20" s="98" customFormat="1" ht="22.5" customHeight="1">
      <c r="A505" s="227" t="s">
        <v>354</v>
      </c>
      <c r="B505" s="97"/>
      <c r="C505" s="161" t="s">
        <v>151</v>
      </c>
      <c r="D505" s="93" t="s">
        <v>120</v>
      </c>
      <c r="E505" s="161" t="s">
        <v>315</v>
      </c>
      <c r="F505" s="97">
        <v>38</v>
      </c>
      <c r="G505" s="17">
        <v>38686</v>
      </c>
      <c r="H505" s="134">
        <v>38709</v>
      </c>
      <c r="I505" s="137" t="s">
        <v>435</v>
      </c>
      <c r="J505" s="282">
        <v>1300</v>
      </c>
      <c r="K505" s="283">
        <v>260</v>
      </c>
      <c r="L505" s="292">
        <v>1560</v>
      </c>
      <c r="M505" s="87">
        <v>841.1764705882354</v>
      </c>
      <c r="N505" s="87"/>
      <c r="O505" s="216">
        <f t="shared" si="151"/>
        <v>841.1764705882354</v>
      </c>
      <c r="P505" s="84">
        <f t="shared" si="152"/>
        <v>546.764705882353</v>
      </c>
      <c r="Q505" s="84">
        <f t="shared" si="153"/>
        <v>0</v>
      </c>
      <c r="R505" s="226">
        <f t="shared" si="154"/>
        <v>546.764705882353</v>
      </c>
      <c r="S505" s="416"/>
      <c r="T505" s="417"/>
    </row>
    <row r="506" spans="1:20" s="98" customFormat="1" ht="22.5" customHeight="1">
      <c r="A506" s="227" t="s">
        <v>354</v>
      </c>
      <c r="B506" s="97"/>
      <c r="C506" s="161" t="s">
        <v>151</v>
      </c>
      <c r="D506" s="93" t="s">
        <v>120</v>
      </c>
      <c r="E506" s="161" t="s">
        <v>315</v>
      </c>
      <c r="F506" s="97">
        <v>46</v>
      </c>
      <c r="G506" s="17">
        <v>38717</v>
      </c>
      <c r="H506" s="134">
        <v>38741</v>
      </c>
      <c r="I506" s="137" t="s">
        <v>436</v>
      </c>
      <c r="J506" s="282">
        <v>1300</v>
      </c>
      <c r="K506" s="283">
        <v>260</v>
      </c>
      <c r="L506" s="292">
        <v>1560</v>
      </c>
      <c r="M506" s="87">
        <v>841.1764705882354</v>
      </c>
      <c r="N506" s="87"/>
      <c r="O506" s="216">
        <f t="shared" si="151"/>
        <v>841.1764705882354</v>
      </c>
      <c r="P506" s="84">
        <f t="shared" si="152"/>
        <v>546.764705882353</v>
      </c>
      <c r="Q506" s="84">
        <f t="shared" si="153"/>
        <v>0</v>
      </c>
      <c r="R506" s="226">
        <f t="shared" si="154"/>
        <v>546.764705882353</v>
      </c>
      <c r="S506" s="416"/>
      <c r="T506" s="417"/>
    </row>
    <row r="507" spans="1:20" s="98" customFormat="1" ht="22.5" customHeight="1">
      <c r="A507" s="227" t="s">
        <v>354</v>
      </c>
      <c r="B507" s="97"/>
      <c r="C507" s="161" t="s">
        <v>151</v>
      </c>
      <c r="D507" s="93" t="s">
        <v>120</v>
      </c>
      <c r="E507" s="161" t="s">
        <v>315</v>
      </c>
      <c r="F507" s="97">
        <v>2</v>
      </c>
      <c r="G507" s="17">
        <v>38748</v>
      </c>
      <c r="H507" s="134">
        <v>38772</v>
      </c>
      <c r="I507" s="137" t="s">
        <v>437</v>
      </c>
      <c r="J507" s="282">
        <v>1300</v>
      </c>
      <c r="K507" s="283">
        <v>260</v>
      </c>
      <c r="L507" s="292">
        <v>1560</v>
      </c>
      <c r="M507" s="87">
        <v>841.1764705882354</v>
      </c>
      <c r="N507" s="87"/>
      <c r="O507" s="216">
        <f t="shared" si="151"/>
        <v>841.1764705882354</v>
      </c>
      <c r="P507" s="84">
        <f t="shared" si="152"/>
        <v>546.764705882353</v>
      </c>
      <c r="Q507" s="84">
        <f t="shared" si="153"/>
        <v>0</v>
      </c>
      <c r="R507" s="226">
        <f t="shared" si="154"/>
        <v>546.764705882353</v>
      </c>
      <c r="S507" s="416"/>
      <c r="T507" s="417"/>
    </row>
    <row r="508" spans="1:20" s="98" customFormat="1" ht="22.5" customHeight="1">
      <c r="A508" s="227" t="s">
        <v>354</v>
      </c>
      <c r="B508" s="97"/>
      <c r="C508" s="161" t="s">
        <v>151</v>
      </c>
      <c r="D508" s="121" t="s">
        <v>438</v>
      </c>
      <c r="E508" s="14" t="s">
        <v>439</v>
      </c>
      <c r="F508" s="97" t="s">
        <v>440</v>
      </c>
      <c r="G508" s="17">
        <v>38671</v>
      </c>
      <c r="H508" s="134">
        <v>38719</v>
      </c>
      <c r="I508" s="137" t="s">
        <v>441</v>
      </c>
      <c r="J508" s="282">
        <f>40.5+58.2+58+10.8+16.4+3.9+13.6+11.52+10.8+4.99+6.3+3+71</f>
        <v>309.01000000000005</v>
      </c>
      <c r="K508" s="283">
        <v>64.68</v>
      </c>
      <c r="L508" s="292">
        <v>388.09</v>
      </c>
      <c r="M508" s="87"/>
      <c r="N508" s="87"/>
      <c r="O508" s="216">
        <f t="shared" si="151"/>
        <v>0</v>
      </c>
      <c r="P508" s="84">
        <f t="shared" si="152"/>
        <v>0</v>
      </c>
      <c r="Q508" s="84">
        <f t="shared" si="153"/>
        <v>0</v>
      </c>
      <c r="R508" s="226">
        <f t="shared" si="154"/>
        <v>0</v>
      </c>
      <c r="S508" s="414" t="s">
        <v>456</v>
      </c>
      <c r="T508" s="415"/>
    </row>
    <row r="509" spans="1:20" s="98" customFormat="1" ht="22.5" customHeight="1">
      <c r="A509" s="227" t="s">
        <v>354</v>
      </c>
      <c r="B509" s="97"/>
      <c r="C509" s="161" t="s">
        <v>151</v>
      </c>
      <c r="D509" s="121" t="s">
        <v>438</v>
      </c>
      <c r="E509" s="14" t="s">
        <v>439</v>
      </c>
      <c r="F509" s="97" t="s">
        <v>442</v>
      </c>
      <c r="G509" s="17">
        <v>38625</v>
      </c>
      <c r="H509" s="134">
        <v>38659</v>
      </c>
      <c r="I509" s="137" t="s">
        <v>441</v>
      </c>
      <c r="J509" s="282">
        <f>15+9.38</f>
        <v>24.380000000000003</v>
      </c>
      <c r="K509" s="283">
        <v>17.37</v>
      </c>
      <c r="L509" s="292">
        <v>104.23</v>
      </c>
      <c r="M509" s="87"/>
      <c r="N509" s="87"/>
      <c r="O509" s="216">
        <f t="shared" si="151"/>
        <v>0</v>
      </c>
      <c r="P509" s="84">
        <f t="shared" si="152"/>
        <v>0</v>
      </c>
      <c r="Q509" s="84">
        <f t="shared" si="153"/>
        <v>0</v>
      </c>
      <c r="R509" s="226">
        <f t="shared" si="154"/>
        <v>0</v>
      </c>
      <c r="S509" s="416"/>
      <c r="T509" s="417"/>
    </row>
    <row r="510" spans="1:20" s="98" customFormat="1" ht="22.5" customHeight="1">
      <c r="A510" s="227" t="s">
        <v>354</v>
      </c>
      <c r="B510" s="97"/>
      <c r="C510" s="161" t="s">
        <v>151</v>
      </c>
      <c r="D510" s="133" t="s">
        <v>443</v>
      </c>
      <c r="E510" s="161" t="s">
        <v>215</v>
      </c>
      <c r="F510" s="97" t="s">
        <v>216</v>
      </c>
      <c r="G510" s="17">
        <v>38664</v>
      </c>
      <c r="H510" s="134">
        <v>38664</v>
      </c>
      <c r="I510" s="137" t="s">
        <v>323</v>
      </c>
      <c r="J510" s="282">
        <v>59</v>
      </c>
      <c r="K510" s="283"/>
      <c r="L510" s="292">
        <f>J510</f>
        <v>59</v>
      </c>
      <c r="M510" s="87">
        <v>59</v>
      </c>
      <c r="N510" s="87"/>
      <c r="O510" s="216">
        <f t="shared" si="151"/>
        <v>59</v>
      </c>
      <c r="P510" s="84">
        <f t="shared" si="152"/>
        <v>38.35</v>
      </c>
      <c r="Q510" s="84">
        <f t="shared" si="153"/>
        <v>0</v>
      </c>
      <c r="R510" s="226">
        <f t="shared" si="154"/>
        <v>38.35</v>
      </c>
      <c r="S510" s="416"/>
      <c r="T510" s="417"/>
    </row>
    <row r="511" spans="1:20" s="98" customFormat="1" ht="22.5" customHeight="1">
      <c r="A511" s="227" t="s">
        <v>354</v>
      </c>
      <c r="B511" s="97"/>
      <c r="C511" s="161" t="s">
        <v>151</v>
      </c>
      <c r="D511" s="133" t="s">
        <v>443</v>
      </c>
      <c r="E511" s="161" t="s">
        <v>215</v>
      </c>
      <c r="F511" s="97" t="s">
        <v>216</v>
      </c>
      <c r="G511" s="17">
        <v>38688</v>
      </c>
      <c r="H511" s="134">
        <v>38688</v>
      </c>
      <c r="I511" s="137" t="s">
        <v>323</v>
      </c>
      <c r="J511" s="282">
        <v>30</v>
      </c>
      <c r="K511" s="283"/>
      <c r="L511" s="292">
        <v>30</v>
      </c>
      <c r="M511" s="87">
        <v>30</v>
      </c>
      <c r="N511" s="87"/>
      <c r="O511" s="216">
        <f t="shared" si="151"/>
        <v>30</v>
      </c>
      <c r="P511" s="84">
        <f t="shared" si="152"/>
        <v>19.5</v>
      </c>
      <c r="Q511" s="84">
        <f t="shared" si="153"/>
        <v>0</v>
      </c>
      <c r="R511" s="226">
        <f t="shared" si="154"/>
        <v>19.5</v>
      </c>
      <c r="S511" s="416"/>
      <c r="T511" s="417"/>
    </row>
    <row r="512" spans="1:20" s="98" customFormat="1" ht="22.5" customHeight="1">
      <c r="A512" s="227" t="s">
        <v>354</v>
      </c>
      <c r="B512" s="97"/>
      <c r="C512" s="161" t="s">
        <v>151</v>
      </c>
      <c r="D512" s="133" t="s">
        <v>444</v>
      </c>
      <c r="E512" s="161" t="s">
        <v>215</v>
      </c>
      <c r="F512" s="97" t="s">
        <v>216</v>
      </c>
      <c r="G512" s="17">
        <v>38690</v>
      </c>
      <c r="H512" s="134">
        <v>38690</v>
      </c>
      <c r="I512" s="137" t="s">
        <v>323</v>
      </c>
      <c r="J512" s="282">
        <f>24.9+82+241.09</f>
        <v>347.99</v>
      </c>
      <c r="K512" s="283"/>
      <c r="L512" s="292">
        <f>J512</f>
        <v>347.99</v>
      </c>
      <c r="M512" s="87">
        <v>347.99</v>
      </c>
      <c r="N512" s="87"/>
      <c r="O512" s="216">
        <f t="shared" si="151"/>
        <v>347.99</v>
      </c>
      <c r="P512" s="84">
        <f t="shared" si="152"/>
        <v>226.1935</v>
      </c>
      <c r="Q512" s="84">
        <f t="shared" si="153"/>
        <v>0</v>
      </c>
      <c r="R512" s="226">
        <f t="shared" si="154"/>
        <v>226.1935</v>
      </c>
      <c r="S512" s="416"/>
      <c r="T512" s="417"/>
    </row>
    <row r="513" spans="1:20" s="98" customFormat="1" ht="22.5" customHeight="1">
      <c r="A513" s="227" t="s">
        <v>354</v>
      </c>
      <c r="B513" s="97"/>
      <c r="C513" s="161" t="s">
        <v>151</v>
      </c>
      <c r="D513" s="133" t="s">
        <v>444</v>
      </c>
      <c r="E513" s="161" t="s">
        <v>445</v>
      </c>
      <c r="F513" s="97" t="s">
        <v>446</v>
      </c>
      <c r="G513" s="17">
        <v>38691</v>
      </c>
      <c r="H513" s="281">
        <v>38734</v>
      </c>
      <c r="I513" s="137" t="s">
        <v>447</v>
      </c>
      <c r="J513" s="282">
        <v>1154.55</v>
      </c>
      <c r="K513" s="283">
        <v>115.45</v>
      </c>
      <c r="L513" s="292">
        <v>1270</v>
      </c>
      <c r="M513" s="87">
        <v>1154.55</v>
      </c>
      <c r="N513" s="87"/>
      <c r="O513" s="216">
        <f t="shared" si="151"/>
        <v>1154.55</v>
      </c>
      <c r="P513" s="84">
        <f t="shared" si="152"/>
        <v>750.4575</v>
      </c>
      <c r="Q513" s="84">
        <f t="shared" si="153"/>
        <v>0</v>
      </c>
      <c r="R513" s="226">
        <f t="shared" si="154"/>
        <v>750.4575</v>
      </c>
      <c r="S513" s="416"/>
      <c r="T513" s="417"/>
    </row>
    <row r="514" spans="1:20" s="98" customFormat="1" ht="22.5" customHeight="1">
      <c r="A514" s="227" t="s">
        <v>354</v>
      </c>
      <c r="B514" s="97"/>
      <c r="C514" s="161" t="s">
        <v>151</v>
      </c>
      <c r="D514" s="133" t="s">
        <v>448</v>
      </c>
      <c r="E514" s="161" t="s">
        <v>215</v>
      </c>
      <c r="F514" s="97" t="s">
        <v>216</v>
      </c>
      <c r="G514" s="17">
        <v>38691</v>
      </c>
      <c r="H514" s="134">
        <v>38694</v>
      </c>
      <c r="I514" s="137" t="s">
        <v>323</v>
      </c>
      <c r="J514" s="282">
        <f>(518.39/2)+(140.66/2)+(53.56/2)+(22.92/2)+75.58+60+22.4+85</f>
        <v>610.7449999999999</v>
      </c>
      <c r="K514" s="283"/>
      <c r="L514" s="292">
        <v>1102.59</v>
      </c>
      <c r="M514" s="87"/>
      <c r="N514" s="87"/>
      <c r="O514" s="216">
        <f t="shared" si="151"/>
        <v>0</v>
      </c>
      <c r="P514" s="84">
        <f t="shared" si="152"/>
        <v>0</v>
      </c>
      <c r="Q514" s="84">
        <f t="shared" si="153"/>
        <v>0</v>
      </c>
      <c r="R514" s="226">
        <f t="shared" si="154"/>
        <v>0</v>
      </c>
      <c r="S514" s="414" t="s">
        <v>457</v>
      </c>
      <c r="T514" s="415"/>
    </row>
    <row r="515" spans="1:20" s="98" customFormat="1" ht="22.5" customHeight="1">
      <c r="A515" s="227" t="s">
        <v>354</v>
      </c>
      <c r="B515" s="97"/>
      <c r="C515" s="161" t="s">
        <v>151</v>
      </c>
      <c r="D515" s="133" t="s">
        <v>449</v>
      </c>
      <c r="E515" s="161" t="s">
        <v>215</v>
      </c>
      <c r="F515" s="97" t="s">
        <v>216</v>
      </c>
      <c r="G515" s="134">
        <v>38751</v>
      </c>
      <c r="H515" s="134">
        <v>38751</v>
      </c>
      <c r="I515" s="137" t="s">
        <v>323</v>
      </c>
      <c r="J515" s="282">
        <v>25</v>
      </c>
      <c r="K515" s="283"/>
      <c r="L515" s="292">
        <v>50</v>
      </c>
      <c r="M515" s="87">
        <v>25</v>
      </c>
      <c r="N515" s="87"/>
      <c r="O515" s="216">
        <f t="shared" si="151"/>
        <v>25</v>
      </c>
      <c r="P515" s="84">
        <f t="shared" si="152"/>
        <v>16.25</v>
      </c>
      <c r="Q515" s="84">
        <f t="shared" si="153"/>
        <v>0</v>
      </c>
      <c r="R515" s="226">
        <f t="shared" si="154"/>
        <v>16.25</v>
      </c>
      <c r="S515" s="416"/>
      <c r="T515" s="417"/>
    </row>
    <row r="516" spans="1:20" s="98" customFormat="1" ht="22.5" customHeight="1">
      <c r="A516" s="227" t="s">
        <v>354</v>
      </c>
      <c r="B516" s="97"/>
      <c r="C516" s="161" t="s">
        <v>151</v>
      </c>
      <c r="D516" s="133" t="s">
        <v>449</v>
      </c>
      <c r="E516" s="161" t="s">
        <v>215</v>
      </c>
      <c r="F516" s="97" t="s">
        <v>216</v>
      </c>
      <c r="G516" s="134">
        <v>38754</v>
      </c>
      <c r="H516" s="134">
        <v>38754</v>
      </c>
      <c r="I516" s="137" t="s">
        <v>323</v>
      </c>
      <c r="J516" s="282">
        <f>80/3</f>
        <v>26.666666666666668</v>
      </c>
      <c r="K516" s="283"/>
      <c r="L516" s="292">
        <v>80</v>
      </c>
      <c r="M516" s="87">
        <v>26.666666666666668</v>
      </c>
      <c r="N516" s="87"/>
      <c r="O516" s="216">
        <f t="shared" si="151"/>
        <v>26.666666666666668</v>
      </c>
      <c r="P516" s="84">
        <f t="shared" si="152"/>
        <v>17.333333333333336</v>
      </c>
      <c r="Q516" s="84">
        <f t="shared" si="153"/>
        <v>0</v>
      </c>
      <c r="R516" s="226">
        <f t="shared" si="154"/>
        <v>17.333333333333336</v>
      </c>
      <c r="S516" s="416"/>
      <c r="T516" s="417"/>
    </row>
    <row r="517" spans="1:20" s="98" customFormat="1" ht="22.5" customHeight="1">
      <c r="A517" s="227" t="s">
        <v>354</v>
      </c>
      <c r="B517" s="97"/>
      <c r="C517" s="161" t="s">
        <v>151</v>
      </c>
      <c r="D517" s="133" t="s">
        <v>450</v>
      </c>
      <c r="E517" s="161" t="s">
        <v>215</v>
      </c>
      <c r="F517" s="97" t="s">
        <v>216</v>
      </c>
      <c r="G517" s="134">
        <v>38769</v>
      </c>
      <c r="H517" s="134">
        <v>38772</v>
      </c>
      <c r="I517" s="137" t="s">
        <v>323</v>
      </c>
      <c r="J517" s="282">
        <v>287.377049180328</v>
      </c>
      <c r="K517" s="283"/>
      <c r="L517" s="292">
        <v>564.2</v>
      </c>
      <c r="M517" s="87"/>
      <c r="N517" s="87"/>
      <c r="O517" s="216">
        <f t="shared" si="151"/>
        <v>0</v>
      </c>
      <c r="P517" s="84">
        <f t="shared" si="152"/>
        <v>0</v>
      </c>
      <c r="Q517" s="84">
        <f t="shared" si="153"/>
        <v>0</v>
      </c>
      <c r="R517" s="226">
        <f t="shared" si="154"/>
        <v>0</v>
      </c>
      <c r="S517" s="414" t="s">
        <v>457</v>
      </c>
      <c r="T517" s="415"/>
    </row>
    <row r="518" spans="1:20" s="98" customFormat="1" ht="22.5" customHeight="1">
      <c r="A518" s="227" t="s">
        <v>354</v>
      </c>
      <c r="B518" s="97"/>
      <c r="C518" s="161" t="s">
        <v>151</v>
      </c>
      <c r="D518" s="14" t="s">
        <v>451</v>
      </c>
      <c r="E518" s="14" t="s">
        <v>124</v>
      </c>
      <c r="F518" s="97" t="s">
        <v>125</v>
      </c>
      <c r="G518" s="17"/>
      <c r="H518" s="134">
        <v>38763</v>
      </c>
      <c r="I518" s="137" t="s">
        <v>126</v>
      </c>
      <c r="J518" s="284">
        <v>2000</v>
      </c>
      <c r="K518" s="283">
        <v>0</v>
      </c>
      <c r="L518" s="292">
        <v>2000</v>
      </c>
      <c r="M518" s="87">
        <v>2000</v>
      </c>
      <c r="N518" s="87"/>
      <c r="O518" s="216">
        <f t="shared" si="151"/>
        <v>2000</v>
      </c>
      <c r="P518" s="84">
        <f t="shared" si="152"/>
        <v>1300</v>
      </c>
      <c r="Q518" s="84">
        <f t="shared" si="153"/>
        <v>0</v>
      </c>
      <c r="R518" s="226">
        <f t="shared" si="154"/>
        <v>1300</v>
      </c>
      <c r="S518" s="414" t="s">
        <v>129</v>
      </c>
      <c r="T518" s="415"/>
    </row>
    <row r="519" spans="1:20" s="98" customFormat="1" ht="22.5" customHeight="1">
      <c r="A519" s="61" t="s">
        <v>479</v>
      </c>
      <c r="B519" s="7"/>
      <c r="C519" s="14" t="s">
        <v>51</v>
      </c>
      <c r="D519" s="133" t="s">
        <v>494</v>
      </c>
      <c r="E519" s="161" t="s">
        <v>370</v>
      </c>
      <c r="F519" s="97"/>
      <c r="G519" s="17">
        <v>38807</v>
      </c>
      <c r="H519" s="134">
        <v>38897</v>
      </c>
      <c r="I519" s="137" t="s">
        <v>495</v>
      </c>
      <c r="J519" s="282">
        <v>1872.2</v>
      </c>
      <c r="K519" s="283"/>
      <c r="L519" s="292">
        <v>1872.2</v>
      </c>
      <c r="M519" s="87"/>
      <c r="N519" s="87"/>
      <c r="O519" s="216"/>
      <c r="P519" s="84"/>
      <c r="Q519" s="84"/>
      <c r="R519" s="226"/>
      <c r="S519" s="414" t="s">
        <v>457</v>
      </c>
      <c r="T519" s="415"/>
    </row>
    <row r="520" spans="1:20" s="98" customFormat="1" ht="22.5" customHeight="1">
      <c r="A520" s="61" t="s">
        <v>479</v>
      </c>
      <c r="B520" s="7"/>
      <c r="C520" s="14" t="s">
        <v>51</v>
      </c>
      <c r="D520" s="133" t="s">
        <v>496</v>
      </c>
      <c r="E520" s="161" t="s">
        <v>370</v>
      </c>
      <c r="F520" s="97"/>
      <c r="G520" s="17" t="s">
        <v>497</v>
      </c>
      <c r="H520" s="134">
        <v>38897</v>
      </c>
      <c r="I520" s="137" t="s">
        <v>495</v>
      </c>
      <c r="J520" s="282">
        <v>1361</v>
      </c>
      <c r="K520" s="283"/>
      <c r="L520" s="292">
        <v>1361</v>
      </c>
      <c r="M520" s="87"/>
      <c r="N520" s="87"/>
      <c r="O520" s="216"/>
      <c r="P520" s="84"/>
      <c r="Q520" s="84"/>
      <c r="R520" s="226"/>
      <c r="S520" s="414" t="s">
        <v>457</v>
      </c>
      <c r="T520" s="415"/>
    </row>
    <row r="521" spans="1:20" s="98" customFormat="1" ht="22.5" customHeight="1">
      <c r="A521" s="61" t="s">
        <v>479</v>
      </c>
      <c r="B521" s="7"/>
      <c r="C521" s="14" t="s">
        <v>51</v>
      </c>
      <c r="D521" s="133" t="s">
        <v>372</v>
      </c>
      <c r="E521" s="161" t="s">
        <v>373</v>
      </c>
      <c r="F521" s="97" t="s">
        <v>498</v>
      </c>
      <c r="G521" s="17">
        <v>38795</v>
      </c>
      <c r="H521" s="134">
        <v>38897</v>
      </c>
      <c r="I521" s="137" t="s">
        <v>371</v>
      </c>
      <c r="J521" s="282">
        <v>949.49</v>
      </c>
      <c r="K521" s="283">
        <v>26.53</v>
      </c>
      <c r="L521" s="292">
        <v>976.02</v>
      </c>
      <c r="M521" s="87">
        <v>949.49</v>
      </c>
      <c r="N521" s="283">
        <v>26.53</v>
      </c>
      <c r="O521" s="216">
        <f>+N521+M521</f>
        <v>976.02</v>
      </c>
      <c r="P521" s="84">
        <f aca="true" t="shared" si="155" ref="P521:Q523">M521*0.65</f>
        <v>617.1685</v>
      </c>
      <c r="Q521" s="84">
        <f t="shared" si="155"/>
        <v>17.244500000000002</v>
      </c>
      <c r="R521" s="226">
        <f>+Q521+P521</f>
        <v>634.413</v>
      </c>
      <c r="S521" s="412"/>
      <c r="T521" s="413"/>
    </row>
    <row r="522" spans="1:20" s="98" customFormat="1" ht="22.5" customHeight="1">
      <c r="A522" s="61" t="s">
        <v>479</v>
      </c>
      <c r="B522" s="7"/>
      <c r="C522" s="14" t="s">
        <v>51</v>
      </c>
      <c r="D522" s="133" t="s">
        <v>372</v>
      </c>
      <c r="E522" s="161" t="s">
        <v>373</v>
      </c>
      <c r="F522" s="97" t="s">
        <v>499</v>
      </c>
      <c r="G522" s="17">
        <v>38854</v>
      </c>
      <c r="H522" s="134">
        <v>38897</v>
      </c>
      <c r="I522" s="137" t="s">
        <v>371</v>
      </c>
      <c r="J522" s="282">
        <v>1682.08</v>
      </c>
      <c r="K522" s="283">
        <v>172.24</v>
      </c>
      <c r="L522" s="292">
        <v>1854.32</v>
      </c>
      <c r="M522" s="87">
        <v>1682.08</v>
      </c>
      <c r="N522" s="283">
        <v>172.24</v>
      </c>
      <c r="O522" s="216">
        <f>+N522+M522</f>
        <v>1854.32</v>
      </c>
      <c r="P522" s="84">
        <f t="shared" si="155"/>
        <v>1093.352</v>
      </c>
      <c r="Q522" s="84">
        <f t="shared" si="155"/>
        <v>111.956</v>
      </c>
      <c r="R522" s="226">
        <f>+Q522+P522</f>
        <v>1205.308</v>
      </c>
      <c r="S522" s="412"/>
      <c r="T522" s="413"/>
    </row>
    <row r="523" spans="1:20" s="98" customFormat="1" ht="22.5" customHeight="1">
      <c r="A523" s="61" t="s">
        <v>479</v>
      </c>
      <c r="B523" s="7"/>
      <c r="C523" s="14" t="s">
        <v>51</v>
      </c>
      <c r="D523" s="133" t="s">
        <v>500</v>
      </c>
      <c r="E523" s="161" t="s">
        <v>501</v>
      </c>
      <c r="F523" s="97">
        <v>314</v>
      </c>
      <c r="G523" s="17">
        <v>39071</v>
      </c>
      <c r="H523" s="134">
        <v>38897</v>
      </c>
      <c r="I523" s="137" t="s">
        <v>502</v>
      </c>
      <c r="J523" s="282">
        <v>5000</v>
      </c>
      <c r="K523" s="283">
        <v>1000</v>
      </c>
      <c r="L523" s="292">
        <v>6000</v>
      </c>
      <c r="M523" s="87">
        <v>5000</v>
      </c>
      <c r="N523" s="283">
        <v>1000</v>
      </c>
      <c r="O523" s="216">
        <f>+N523+M523</f>
        <v>6000</v>
      </c>
      <c r="P523" s="84">
        <f t="shared" si="155"/>
        <v>3250</v>
      </c>
      <c r="Q523" s="84">
        <f t="shared" si="155"/>
        <v>650</v>
      </c>
      <c r="R523" s="226">
        <f>+Q523+P523</f>
        <v>3900</v>
      </c>
      <c r="S523" s="412"/>
      <c r="T523" s="413"/>
    </row>
    <row r="524" spans="1:20" ht="36.75" customHeight="1">
      <c r="A524" s="61" t="s">
        <v>479</v>
      </c>
      <c r="B524" s="7"/>
      <c r="C524" s="14" t="s">
        <v>51</v>
      </c>
      <c r="D524" s="14" t="s">
        <v>483</v>
      </c>
      <c r="E524" s="260" t="s">
        <v>484</v>
      </c>
      <c r="F524" s="260" t="s">
        <v>485</v>
      </c>
      <c r="G524" s="18">
        <v>38882</v>
      </c>
      <c r="H524" s="183">
        <v>38897</v>
      </c>
      <c r="I524" s="262" t="s">
        <v>486</v>
      </c>
      <c r="J524" s="263">
        <v>9000</v>
      </c>
      <c r="K524" s="264">
        <v>1800</v>
      </c>
      <c r="L524" s="288">
        <v>10800</v>
      </c>
      <c r="M524" s="156">
        <v>9000</v>
      </c>
      <c r="N524" s="156">
        <f>+M524*0.2</f>
        <v>1800</v>
      </c>
      <c r="O524" s="190">
        <f>+N524+M524</f>
        <v>10800</v>
      </c>
      <c r="P524" s="84">
        <f>M524*0.65</f>
        <v>5850</v>
      </c>
      <c r="Q524" s="84">
        <f>N524*0.65</f>
        <v>1170</v>
      </c>
      <c r="R524" s="226">
        <f>+Q524+P524</f>
        <v>7020</v>
      </c>
      <c r="S524" s="405" t="s">
        <v>579</v>
      </c>
      <c r="T524" s="406"/>
    </row>
    <row r="525" spans="1:20" s="98" customFormat="1" ht="22.5" customHeight="1">
      <c r="A525" s="61" t="s">
        <v>479</v>
      </c>
      <c r="B525" s="97"/>
      <c r="C525" s="161" t="s">
        <v>151</v>
      </c>
      <c r="D525" s="133" t="s">
        <v>89</v>
      </c>
      <c r="E525" s="161" t="s">
        <v>90</v>
      </c>
      <c r="F525" s="97" t="s">
        <v>523</v>
      </c>
      <c r="G525" s="17">
        <v>38754</v>
      </c>
      <c r="H525" s="134">
        <v>38848</v>
      </c>
      <c r="I525" s="137" t="s">
        <v>126</v>
      </c>
      <c r="J525" s="282">
        <v>150.75</v>
      </c>
      <c r="K525" s="283">
        <v>30.22</v>
      </c>
      <c r="L525" s="292">
        <v>181</v>
      </c>
      <c r="M525" s="87">
        <v>97.550325</v>
      </c>
      <c r="N525" s="87"/>
      <c r="O525" s="216">
        <f aca="true" t="shared" si="156" ref="O525:O530">+N525+M525</f>
        <v>97.550325</v>
      </c>
      <c r="P525" s="84">
        <f aca="true" t="shared" si="157" ref="P525:P530">M525*0.65</f>
        <v>63.407711250000006</v>
      </c>
      <c r="Q525" s="84">
        <f aca="true" t="shared" si="158" ref="Q525:Q530">N525*0.65</f>
        <v>0</v>
      </c>
      <c r="R525" s="226">
        <f aca="true" t="shared" si="159" ref="R525:R530">+Q525+P525</f>
        <v>63.407711250000006</v>
      </c>
      <c r="S525" s="412"/>
      <c r="T525" s="413"/>
    </row>
    <row r="526" spans="1:20" s="98" customFormat="1" ht="22.5" customHeight="1">
      <c r="A526" s="61" t="s">
        <v>479</v>
      </c>
      <c r="B526" s="97"/>
      <c r="C526" s="161" t="s">
        <v>151</v>
      </c>
      <c r="D526" s="133" t="s">
        <v>89</v>
      </c>
      <c r="E526" s="161" t="s">
        <v>90</v>
      </c>
      <c r="F526" s="97" t="s">
        <v>524</v>
      </c>
      <c r="G526" s="17">
        <v>38754</v>
      </c>
      <c r="H526" s="134">
        <v>38848</v>
      </c>
      <c r="I526" s="137" t="s">
        <v>126</v>
      </c>
      <c r="J526" s="282">
        <v>1198.62</v>
      </c>
      <c r="K526" s="283">
        <v>239.8</v>
      </c>
      <c r="L526" s="292">
        <v>1438.5</v>
      </c>
      <c r="M526" s="87">
        <v>775.627002</v>
      </c>
      <c r="N526" s="87"/>
      <c r="O526" s="216">
        <f t="shared" si="156"/>
        <v>775.627002</v>
      </c>
      <c r="P526" s="84">
        <f t="shared" si="157"/>
        <v>504.15755129999997</v>
      </c>
      <c r="Q526" s="84">
        <f t="shared" si="158"/>
        <v>0</v>
      </c>
      <c r="R526" s="226">
        <f t="shared" si="159"/>
        <v>504.15755129999997</v>
      </c>
      <c r="S526" s="311"/>
      <c r="T526" s="312"/>
    </row>
    <row r="527" spans="1:20" s="98" customFormat="1" ht="22.5" customHeight="1">
      <c r="A527" s="61" t="s">
        <v>479</v>
      </c>
      <c r="B527" s="97"/>
      <c r="C527" s="161" t="s">
        <v>151</v>
      </c>
      <c r="D527" s="133" t="s">
        <v>89</v>
      </c>
      <c r="E527" s="161" t="s">
        <v>90</v>
      </c>
      <c r="F527" s="97" t="s">
        <v>525</v>
      </c>
      <c r="G527" s="17">
        <v>38754</v>
      </c>
      <c r="H527" s="134">
        <v>38848</v>
      </c>
      <c r="I527" s="137" t="s">
        <v>126</v>
      </c>
      <c r="J527" s="282">
        <v>263.2</v>
      </c>
      <c r="K527" s="283">
        <v>52.71</v>
      </c>
      <c r="L527" s="292">
        <v>316.5</v>
      </c>
      <c r="M527" s="87">
        <v>170.31672</v>
      </c>
      <c r="N527" s="87"/>
      <c r="O527" s="216">
        <f t="shared" si="156"/>
        <v>170.31672</v>
      </c>
      <c r="P527" s="84">
        <f t="shared" si="157"/>
        <v>110.70586800000001</v>
      </c>
      <c r="Q527" s="84">
        <f t="shared" si="158"/>
        <v>0</v>
      </c>
      <c r="R527" s="226">
        <f t="shared" si="159"/>
        <v>110.70586800000001</v>
      </c>
      <c r="S527" s="311"/>
      <c r="T527" s="312"/>
    </row>
    <row r="528" spans="1:20" s="98" customFormat="1" ht="22.5" customHeight="1">
      <c r="A528" s="61" t="s">
        <v>479</v>
      </c>
      <c r="B528" s="97"/>
      <c r="C528" s="161" t="s">
        <v>151</v>
      </c>
      <c r="D528" s="133" t="s">
        <v>89</v>
      </c>
      <c r="E528" s="161" t="s">
        <v>90</v>
      </c>
      <c r="F528" s="97" t="s">
        <v>526</v>
      </c>
      <c r="G528" s="17">
        <v>38754</v>
      </c>
      <c r="H528" s="134">
        <v>38848</v>
      </c>
      <c r="I528" s="137" t="s">
        <v>126</v>
      </c>
      <c r="J528" s="282">
        <v>40.2</v>
      </c>
      <c r="K528" s="283">
        <v>8.11</v>
      </c>
      <c r="L528" s="292">
        <v>49</v>
      </c>
      <c r="M528" s="87">
        <v>26.013420000000004</v>
      </c>
      <c r="N528" s="87"/>
      <c r="O528" s="216">
        <f t="shared" si="156"/>
        <v>26.013420000000004</v>
      </c>
      <c r="P528" s="84">
        <f t="shared" si="157"/>
        <v>16.908723000000002</v>
      </c>
      <c r="Q528" s="84">
        <f t="shared" si="158"/>
        <v>0</v>
      </c>
      <c r="R528" s="226">
        <f t="shared" si="159"/>
        <v>16.908723000000002</v>
      </c>
      <c r="S528" s="311"/>
      <c r="T528" s="312"/>
    </row>
    <row r="529" spans="1:20" s="98" customFormat="1" ht="22.5" customHeight="1">
      <c r="A529" s="61" t="s">
        <v>479</v>
      </c>
      <c r="B529" s="97"/>
      <c r="C529" s="161" t="s">
        <v>151</v>
      </c>
      <c r="D529" s="133" t="s">
        <v>89</v>
      </c>
      <c r="E529" s="161" t="s">
        <v>90</v>
      </c>
      <c r="F529" s="97" t="s">
        <v>527</v>
      </c>
      <c r="G529" s="17">
        <v>38813</v>
      </c>
      <c r="H529" s="134">
        <v>38889</v>
      </c>
      <c r="I529" s="137" t="s">
        <v>505</v>
      </c>
      <c r="J529" s="282">
        <v>151.9</v>
      </c>
      <c r="K529" s="283">
        <v>30.45</v>
      </c>
      <c r="L529" s="292">
        <v>183</v>
      </c>
      <c r="M529" s="87">
        <v>98.29449000000001</v>
      </c>
      <c r="N529" s="87"/>
      <c r="O529" s="216">
        <f t="shared" si="156"/>
        <v>98.29449000000001</v>
      </c>
      <c r="P529" s="84">
        <f t="shared" si="157"/>
        <v>63.89141850000001</v>
      </c>
      <c r="Q529" s="84">
        <f t="shared" si="158"/>
        <v>0</v>
      </c>
      <c r="R529" s="226">
        <f t="shared" si="159"/>
        <v>63.89141850000001</v>
      </c>
      <c r="S529" s="311"/>
      <c r="T529" s="312"/>
    </row>
    <row r="530" spans="1:20" s="98" customFormat="1" ht="22.5" customHeight="1">
      <c r="A530" s="61" t="s">
        <v>479</v>
      </c>
      <c r="B530" s="97"/>
      <c r="C530" s="161" t="s">
        <v>151</v>
      </c>
      <c r="D530" s="133" t="s">
        <v>89</v>
      </c>
      <c r="E530" s="161" t="s">
        <v>90</v>
      </c>
      <c r="F530" s="97" t="s">
        <v>528</v>
      </c>
      <c r="G530" s="17">
        <v>38813</v>
      </c>
      <c r="H530" s="134">
        <v>38889</v>
      </c>
      <c r="I530" s="137" t="s">
        <v>505</v>
      </c>
      <c r="J530" s="282">
        <v>1326.13</v>
      </c>
      <c r="K530" s="283">
        <v>265.3</v>
      </c>
      <c r="L530" s="292">
        <v>1592</v>
      </c>
      <c r="M530" s="87">
        <v>858.138723</v>
      </c>
      <c r="N530" s="87"/>
      <c r="O530" s="216">
        <f t="shared" si="156"/>
        <v>858.138723</v>
      </c>
      <c r="P530" s="84">
        <f t="shared" si="157"/>
        <v>557.7901699500001</v>
      </c>
      <c r="Q530" s="84">
        <f t="shared" si="158"/>
        <v>0</v>
      </c>
      <c r="R530" s="226">
        <f t="shared" si="159"/>
        <v>557.7901699500001</v>
      </c>
      <c r="S530" s="311"/>
      <c r="T530" s="312"/>
    </row>
    <row r="531" spans="1:20" s="98" customFormat="1" ht="22.5" customHeight="1">
      <c r="A531" s="61" t="s">
        <v>479</v>
      </c>
      <c r="B531" s="97"/>
      <c r="C531" s="161" t="s">
        <v>151</v>
      </c>
      <c r="D531" s="133" t="s">
        <v>105</v>
      </c>
      <c r="E531" s="161" t="s">
        <v>106</v>
      </c>
      <c r="F531" s="97" t="s">
        <v>547</v>
      </c>
      <c r="G531" s="17">
        <v>38778</v>
      </c>
      <c r="H531" s="134">
        <v>38835</v>
      </c>
      <c r="I531" s="137" t="s">
        <v>411</v>
      </c>
      <c r="J531" s="282">
        <v>2957.99</v>
      </c>
      <c r="K531" s="283">
        <v>591.6</v>
      </c>
      <c r="L531" s="292">
        <v>3557.47</v>
      </c>
      <c r="M531" s="87">
        <v>1914.1153290000002</v>
      </c>
      <c r="N531" s="87"/>
      <c r="O531" s="216">
        <f aca="true" t="shared" si="160" ref="O531:O538">+N531+M531</f>
        <v>1914.1153290000002</v>
      </c>
      <c r="P531" s="84">
        <f aca="true" t="shared" si="161" ref="P531:Q538">M531*0.65</f>
        <v>1244.1749638500003</v>
      </c>
      <c r="Q531" s="84">
        <f t="shared" si="161"/>
        <v>0</v>
      </c>
      <c r="R531" s="226">
        <f aca="true" t="shared" si="162" ref="R531:R538">+Q531+P531</f>
        <v>1244.1749638500003</v>
      </c>
      <c r="S531" s="311"/>
      <c r="T531" s="312"/>
    </row>
    <row r="532" spans="1:20" s="98" customFormat="1" ht="22.5" customHeight="1">
      <c r="A532" s="61" t="s">
        <v>479</v>
      </c>
      <c r="B532" s="97"/>
      <c r="C532" s="161" t="s">
        <v>151</v>
      </c>
      <c r="D532" s="133" t="s">
        <v>105</v>
      </c>
      <c r="E532" s="161" t="s">
        <v>106</v>
      </c>
      <c r="F532" s="97" t="s">
        <v>548</v>
      </c>
      <c r="G532" s="17">
        <v>38811</v>
      </c>
      <c r="H532" s="134">
        <v>38869</v>
      </c>
      <c r="I532" s="137" t="s">
        <v>411</v>
      </c>
      <c r="J532" s="282">
        <v>1361.5</v>
      </c>
      <c r="K532" s="283">
        <v>272.86</v>
      </c>
      <c r="L532" s="292">
        <v>1648.54</v>
      </c>
      <c r="M532" s="87">
        <v>881.0266499999999</v>
      </c>
      <c r="N532" s="87"/>
      <c r="O532" s="216">
        <f t="shared" si="160"/>
        <v>881.0266499999999</v>
      </c>
      <c r="P532" s="84">
        <f t="shared" si="161"/>
        <v>572.6673225</v>
      </c>
      <c r="Q532" s="84">
        <f t="shared" si="161"/>
        <v>0</v>
      </c>
      <c r="R532" s="226">
        <f t="shared" si="162"/>
        <v>572.6673225</v>
      </c>
      <c r="S532" s="311"/>
      <c r="T532" s="312"/>
    </row>
    <row r="533" spans="1:20" s="98" customFormat="1" ht="22.5" customHeight="1">
      <c r="A533" s="61" t="s">
        <v>479</v>
      </c>
      <c r="B533" s="97"/>
      <c r="C533" s="161" t="s">
        <v>151</v>
      </c>
      <c r="D533" s="133" t="s">
        <v>105</v>
      </c>
      <c r="E533" s="161" t="s">
        <v>106</v>
      </c>
      <c r="F533" s="97" t="s">
        <v>549</v>
      </c>
      <c r="G533" s="17">
        <v>38860</v>
      </c>
      <c r="H533" s="134">
        <v>38895</v>
      </c>
      <c r="I533" s="137" t="s">
        <v>411</v>
      </c>
      <c r="J533" s="282">
        <v>1106.21</v>
      </c>
      <c r="K533" s="283">
        <v>221.24</v>
      </c>
      <c r="L533" s="292">
        <v>1349.09</v>
      </c>
      <c r="M533" s="87">
        <v>715.828491</v>
      </c>
      <c r="N533" s="87"/>
      <c r="O533" s="216">
        <f t="shared" si="160"/>
        <v>715.828491</v>
      </c>
      <c r="P533" s="84">
        <f t="shared" si="161"/>
        <v>465.28851915</v>
      </c>
      <c r="Q533" s="84">
        <f t="shared" si="161"/>
        <v>0</v>
      </c>
      <c r="R533" s="226">
        <f t="shared" si="162"/>
        <v>465.28851915</v>
      </c>
      <c r="S533" s="311"/>
      <c r="T533" s="312"/>
    </row>
    <row r="534" spans="1:20" s="98" customFormat="1" ht="22.5" customHeight="1">
      <c r="A534" s="61" t="s">
        <v>479</v>
      </c>
      <c r="B534" s="97"/>
      <c r="C534" s="161" t="s">
        <v>151</v>
      </c>
      <c r="D534" s="133" t="s">
        <v>105</v>
      </c>
      <c r="E534" s="161" t="s">
        <v>106</v>
      </c>
      <c r="F534" s="97" t="s">
        <v>550</v>
      </c>
      <c r="G534" s="17">
        <v>38870</v>
      </c>
      <c r="H534" s="134">
        <v>38916</v>
      </c>
      <c r="I534" s="137" t="s">
        <v>411</v>
      </c>
      <c r="J534" s="282">
        <v>1353.68</v>
      </c>
      <c r="K534" s="283">
        <v>270.74</v>
      </c>
      <c r="L534" s="292">
        <v>1624.42</v>
      </c>
      <c r="M534" s="87">
        <v>875.9663280000001</v>
      </c>
      <c r="N534" s="87"/>
      <c r="O534" s="216">
        <f t="shared" si="160"/>
        <v>875.9663280000001</v>
      </c>
      <c r="P534" s="84">
        <f t="shared" si="161"/>
        <v>569.3781132</v>
      </c>
      <c r="Q534" s="84">
        <f t="shared" si="161"/>
        <v>0</v>
      </c>
      <c r="R534" s="226">
        <f t="shared" si="162"/>
        <v>569.3781132</v>
      </c>
      <c r="S534" s="311"/>
      <c r="T534" s="312"/>
    </row>
    <row r="535" spans="1:20" s="98" customFormat="1" ht="22.5" customHeight="1">
      <c r="A535" s="61" t="s">
        <v>479</v>
      </c>
      <c r="B535" s="97"/>
      <c r="C535" s="161" t="s">
        <v>151</v>
      </c>
      <c r="D535" s="133" t="s">
        <v>105</v>
      </c>
      <c r="E535" s="161" t="s">
        <v>106</v>
      </c>
      <c r="F535" s="97" t="s">
        <v>551</v>
      </c>
      <c r="G535" s="17">
        <v>38887</v>
      </c>
      <c r="H535" s="134">
        <v>38915</v>
      </c>
      <c r="I535" s="137" t="s">
        <v>411</v>
      </c>
      <c r="J535" s="282">
        <v>36.14</v>
      </c>
      <c r="K535" s="283">
        <v>7.23</v>
      </c>
      <c r="L535" s="292">
        <v>43.65</v>
      </c>
      <c r="M535" s="87">
        <v>36.14</v>
      </c>
      <c r="N535" s="87"/>
      <c r="O535" s="216">
        <f t="shared" si="160"/>
        <v>36.14</v>
      </c>
      <c r="P535" s="84">
        <f t="shared" si="161"/>
        <v>23.491</v>
      </c>
      <c r="Q535" s="84">
        <f t="shared" si="161"/>
        <v>0</v>
      </c>
      <c r="R535" s="226">
        <f t="shared" si="162"/>
        <v>23.491</v>
      </c>
      <c r="S535" s="311"/>
      <c r="T535" s="312"/>
    </row>
    <row r="536" spans="1:20" s="98" customFormat="1" ht="22.5" customHeight="1">
      <c r="A536" s="61" t="s">
        <v>479</v>
      </c>
      <c r="B536" s="97"/>
      <c r="C536" s="161" t="s">
        <v>151</v>
      </c>
      <c r="D536" s="133" t="s">
        <v>113</v>
      </c>
      <c r="E536" s="161" t="s">
        <v>114</v>
      </c>
      <c r="F536" s="97" t="s">
        <v>552</v>
      </c>
      <c r="G536" s="17">
        <v>38792</v>
      </c>
      <c r="H536" s="134">
        <v>38835</v>
      </c>
      <c r="I536" s="137" t="s">
        <v>411</v>
      </c>
      <c r="J536" s="282">
        <v>59.33</v>
      </c>
      <c r="K536" s="283">
        <v>11.87</v>
      </c>
      <c r="L536" s="292">
        <v>72.16</v>
      </c>
      <c r="M536" s="87">
        <v>59.33</v>
      </c>
      <c r="N536" s="87"/>
      <c r="O536" s="216">
        <f t="shared" si="160"/>
        <v>59.33</v>
      </c>
      <c r="P536" s="84">
        <f t="shared" si="161"/>
        <v>38.5645</v>
      </c>
      <c r="Q536" s="84">
        <f t="shared" si="161"/>
        <v>0</v>
      </c>
      <c r="R536" s="226">
        <f t="shared" si="162"/>
        <v>38.5645</v>
      </c>
      <c r="S536" s="311"/>
      <c r="T536" s="312"/>
    </row>
    <row r="537" spans="1:20" s="98" customFormat="1" ht="22.5" customHeight="1">
      <c r="A537" s="61" t="s">
        <v>479</v>
      </c>
      <c r="B537" s="97"/>
      <c r="C537" s="161" t="s">
        <v>151</v>
      </c>
      <c r="D537" s="133" t="s">
        <v>113</v>
      </c>
      <c r="E537" s="161" t="s">
        <v>114</v>
      </c>
      <c r="F537" s="97" t="s">
        <v>553</v>
      </c>
      <c r="G537" s="17">
        <v>38792</v>
      </c>
      <c r="H537" s="134">
        <v>38835</v>
      </c>
      <c r="I537" s="137" t="s">
        <v>411</v>
      </c>
      <c r="J537" s="282">
        <v>92.7</v>
      </c>
      <c r="K537" s="283">
        <v>18.54</v>
      </c>
      <c r="L537" s="292">
        <v>118.78</v>
      </c>
      <c r="M537" s="87">
        <v>59.98617</v>
      </c>
      <c r="N537" s="87"/>
      <c r="O537" s="216">
        <f t="shared" si="160"/>
        <v>59.98617</v>
      </c>
      <c r="P537" s="84">
        <f t="shared" si="161"/>
        <v>38.9910105</v>
      </c>
      <c r="Q537" s="84">
        <f t="shared" si="161"/>
        <v>0</v>
      </c>
      <c r="R537" s="226">
        <f t="shared" si="162"/>
        <v>38.9910105</v>
      </c>
      <c r="S537" s="311"/>
      <c r="T537" s="312"/>
    </row>
    <row r="538" spans="1:20" s="98" customFormat="1" ht="22.5" customHeight="1">
      <c r="A538" s="61" t="s">
        <v>479</v>
      </c>
      <c r="B538" s="97"/>
      <c r="C538" s="161" t="s">
        <v>151</v>
      </c>
      <c r="D538" s="133" t="s">
        <v>113</v>
      </c>
      <c r="E538" s="161" t="s">
        <v>114</v>
      </c>
      <c r="F538" s="97" t="s">
        <v>546</v>
      </c>
      <c r="G538" s="17">
        <v>38881</v>
      </c>
      <c r="H538" s="134">
        <v>38915</v>
      </c>
      <c r="I538" s="137" t="s">
        <v>411</v>
      </c>
      <c r="J538" s="282">
        <v>161.9</v>
      </c>
      <c r="K538" s="283">
        <v>32.38</v>
      </c>
      <c r="L538" s="292">
        <v>194.63</v>
      </c>
      <c r="M538" s="87">
        <v>104.76549</v>
      </c>
      <c r="N538" s="87"/>
      <c r="O538" s="216">
        <f t="shared" si="160"/>
        <v>104.76549</v>
      </c>
      <c r="P538" s="84">
        <f t="shared" si="161"/>
        <v>68.09756850000001</v>
      </c>
      <c r="Q538" s="84">
        <f t="shared" si="161"/>
        <v>0</v>
      </c>
      <c r="R538" s="226">
        <f t="shared" si="162"/>
        <v>68.09756850000001</v>
      </c>
      <c r="S538" s="311"/>
      <c r="T538" s="312"/>
    </row>
    <row r="539" spans="1:20" s="98" customFormat="1" ht="22.5" customHeight="1">
      <c r="A539" s="61" t="s">
        <v>479</v>
      </c>
      <c r="B539" s="97"/>
      <c r="C539" s="161" t="s">
        <v>151</v>
      </c>
      <c r="D539" s="133" t="s">
        <v>115</v>
      </c>
      <c r="E539" s="161" t="s">
        <v>38</v>
      </c>
      <c r="F539" s="97" t="s">
        <v>545</v>
      </c>
      <c r="G539" s="17">
        <v>38839</v>
      </c>
      <c r="H539" s="134">
        <v>38889</v>
      </c>
      <c r="I539" s="137" t="s">
        <v>411</v>
      </c>
      <c r="J539" s="282">
        <v>197.12</v>
      </c>
      <c r="K539" s="283">
        <v>19.71</v>
      </c>
      <c r="L539" s="292">
        <v>217.66</v>
      </c>
      <c r="M539" s="87">
        <v>127.556352</v>
      </c>
      <c r="N539" s="87"/>
      <c r="O539" s="216">
        <f aca="true" t="shared" si="163" ref="O539:O545">+N539+M539</f>
        <v>127.556352</v>
      </c>
      <c r="P539" s="84">
        <f aca="true" t="shared" si="164" ref="P539:P545">M539*0.65</f>
        <v>82.9116288</v>
      </c>
      <c r="Q539" s="84">
        <f aca="true" t="shared" si="165" ref="Q539:Q545">N539*0.65</f>
        <v>0</v>
      </c>
      <c r="R539" s="226">
        <f aca="true" t="shared" si="166" ref="R539:R545">+Q539+P539</f>
        <v>82.9116288</v>
      </c>
      <c r="S539" s="311"/>
      <c r="T539" s="312"/>
    </row>
    <row r="540" spans="1:20" s="98" customFormat="1" ht="22.5" customHeight="1">
      <c r="A540" s="61" t="s">
        <v>479</v>
      </c>
      <c r="B540" s="97"/>
      <c r="C540" s="161" t="s">
        <v>151</v>
      </c>
      <c r="D540" s="133" t="s">
        <v>431</v>
      </c>
      <c r="E540" s="161" t="s">
        <v>117</v>
      </c>
      <c r="F540" s="97" t="s">
        <v>529</v>
      </c>
      <c r="G540" s="17">
        <v>38808</v>
      </c>
      <c r="H540" s="134">
        <v>38811</v>
      </c>
      <c r="I540" s="137" t="s">
        <v>530</v>
      </c>
      <c r="J540" s="282">
        <v>246.64</v>
      </c>
      <c r="K540" s="283">
        <v>49.33</v>
      </c>
      <c r="L540" s="292">
        <v>295.97</v>
      </c>
      <c r="M540" s="87">
        <v>159.600744</v>
      </c>
      <c r="N540" s="87"/>
      <c r="O540" s="216">
        <f t="shared" si="163"/>
        <v>159.600744</v>
      </c>
      <c r="P540" s="84">
        <f t="shared" si="164"/>
        <v>103.7404836</v>
      </c>
      <c r="Q540" s="84">
        <f t="shared" si="165"/>
        <v>0</v>
      </c>
      <c r="R540" s="226">
        <f t="shared" si="166"/>
        <v>103.7404836</v>
      </c>
      <c r="S540" s="412"/>
      <c r="T540" s="413"/>
    </row>
    <row r="541" spans="1:20" s="98" customFormat="1" ht="22.5" customHeight="1">
      <c r="A541" s="61" t="s">
        <v>479</v>
      </c>
      <c r="B541" s="97"/>
      <c r="C541" s="161" t="s">
        <v>151</v>
      </c>
      <c r="D541" s="133" t="s">
        <v>120</v>
      </c>
      <c r="E541" s="161" t="s">
        <v>315</v>
      </c>
      <c r="F541" s="97">
        <v>10</v>
      </c>
      <c r="G541" s="17">
        <v>38776</v>
      </c>
      <c r="H541" s="134">
        <v>38786</v>
      </c>
      <c r="I541" s="137" t="s">
        <v>531</v>
      </c>
      <c r="J541" s="282">
        <v>1300</v>
      </c>
      <c r="K541" s="283">
        <v>260</v>
      </c>
      <c r="L541" s="292">
        <v>1560</v>
      </c>
      <c r="M541" s="87">
        <v>841.23</v>
      </c>
      <c r="N541" s="87"/>
      <c r="O541" s="216">
        <f t="shared" si="163"/>
        <v>841.23</v>
      </c>
      <c r="P541" s="84">
        <f t="shared" si="164"/>
        <v>546.7995000000001</v>
      </c>
      <c r="Q541" s="84">
        <f t="shared" si="165"/>
        <v>0</v>
      </c>
      <c r="R541" s="226">
        <f t="shared" si="166"/>
        <v>546.7995000000001</v>
      </c>
      <c r="S541" s="412"/>
      <c r="T541" s="413"/>
    </row>
    <row r="542" spans="1:20" s="98" customFormat="1" ht="22.5" customHeight="1">
      <c r="A542" s="61" t="s">
        <v>479</v>
      </c>
      <c r="B542" s="97"/>
      <c r="C542" s="161" t="s">
        <v>151</v>
      </c>
      <c r="D542" s="133" t="s">
        <v>120</v>
      </c>
      <c r="E542" s="161" t="s">
        <v>315</v>
      </c>
      <c r="F542" s="97">
        <v>17</v>
      </c>
      <c r="G542" s="17">
        <v>38807</v>
      </c>
      <c r="H542" s="134">
        <v>38819</v>
      </c>
      <c r="I542" s="137" t="s">
        <v>532</v>
      </c>
      <c r="J542" s="282">
        <v>1300</v>
      </c>
      <c r="K542" s="283">
        <v>260</v>
      </c>
      <c r="L542" s="292">
        <v>1560</v>
      </c>
      <c r="M542" s="87">
        <v>841.23</v>
      </c>
      <c r="N542" s="87"/>
      <c r="O542" s="216">
        <f t="shared" si="163"/>
        <v>841.23</v>
      </c>
      <c r="P542" s="84">
        <f t="shared" si="164"/>
        <v>546.7995000000001</v>
      </c>
      <c r="Q542" s="84">
        <f t="shared" si="165"/>
        <v>0</v>
      </c>
      <c r="R542" s="226">
        <f t="shared" si="166"/>
        <v>546.7995000000001</v>
      </c>
      <c r="S542" s="412"/>
      <c r="T542" s="413"/>
    </row>
    <row r="543" spans="1:20" s="98" customFormat="1" ht="22.5" customHeight="1">
      <c r="A543" s="61" t="s">
        <v>479</v>
      </c>
      <c r="B543" s="97"/>
      <c r="C543" s="161" t="s">
        <v>151</v>
      </c>
      <c r="D543" s="133" t="s">
        <v>120</v>
      </c>
      <c r="E543" s="161" t="s">
        <v>315</v>
      </c>
      <c r="F543" s="97">
        <v>27</v>
      </c>
      <c r="G543" s="17">
        <v>38837</v>
      </c>
      <c r="H543" s="134">
        <v>38856</v>
      </c>
      <c r="I543" s="137" t="s">
        <v>533</v>
      </c>
      <c r="J543" s="282">
        <v>1450</v>
      </c>
      <c r="K543" s="283">
        <v>290</v>
      </c>
      <c r="L543" s="292">
        <v>1740</v>
      </c>
      <c r="M543" s="87">
        <v>938.295</v>
      </c>
      <c r="N543" s="87"/>
      <c r="O543" s="216">
        <f t="shared" si="163"/>
        <v>938.295</v>
      </c>
      <c r="P543" s="84">
        <f t="shared" si="164"/>
        <v>609.89175</v>
      </c>
      <c r="Q543" s="84">
        <f t="shared" si="165"/>
        <v>0</v>
      </c>
      <c r="R543" s="226">
        <f t="shared" si="166"/>
        <v>609.89175</v>
      </c>
      <c r="S543" s="412"/>
      <c r="T543" s="413"/>
    </row>
    <row r="544" spans="1:20" s="98" customFormat="1" ht="22.5" customHeight="1">
      <c r="A544" s="61" t="s">
        <v>479</v>
      </c>
      <c r="B544" s="97"/>
      <c r="C544" s="161" t="s">
        <v>151</v>
      </c>
      <c r="D544" s="133" t="s">
        <v>120</v>
      </c>
      <c r="E544" s="161" t="s">
        <v>315</v>
      </c>
      <c r="F544" s="97">
        <v>31</v>
      </c>
      <c r="G544" s="17">
        <v>38868</v>
      </c>
      <c r="H544" s="134">
        <v>38880</v>
      </c>
      <c r="I544" s="137" t="s">
        <v>532</v>
      </c>
      <c r="J544" s="282">
        <v>1300</v>
      </c>
      <c r="K544" s="283">
        <v>260</v>
      </c>
      <c r="L544" s="292">
        <v>1560</v>
      </c>
      <c r="M544" s="87">
        <v>841.23</v>
      </c>
      <c r="N544" s="87"/>
      <c r="O544" s="216">
        <f t="shared" si="163"/>
        <v>841.23</v>
      </c>
      <c r="P544" s="84">
        <f t="shared" si="164"/>
        <v>546.7995000000001</v>
      </c>
      <c r="Q544" s="84">
        <f t="shared" si="165"/>
        <v>0</v>
      </c>
      <c r="R544" s="226">
        <f t="shared" si="166"/>
        <v>546.7995000000001</v>
      </c>
      <c r="S544" s="412"/>
      <c r="T544" s="413"/>
    </row>
    <row r="545" spans="1:20" s="98" customFormat="1" ht="22.5" customHeight="1">
      <c r="A545" s="61" t="s">
        <v>479</v>
      </c>
      <c r="B545" s="97"/>
      <c r="C545" s="161" t="s">
        <v>151</v>
      </c>
      <c r="D545" s="133" t="s">
        <v>120</v>
      </c>
      <c r="E545" s="161" t="s">
        <v>315</v>
      </c>
      <c r="F545" s="97">
        <v>43</v>
      </c>
      <c r="G545" s="17">
        <v>38898</v>
      </c>
      <c r="H545" s="134">
        <v>38911</v>
      </c>
      <c r="I545" s="137" t="s">
        <v>534</v>
      </c>
      <c r="J545" s="282">
        <v>1300</v>
      </c>
      <c r="K545" s="283">
        <v>260</v>
      </c>
      <c r="L545" s="292">
        <v>1560</v>
      </c>
      <c r="M545" s="87">
        <v>841.23</v>
      </c>
      <c r="N545" s="87"/>
      <c r="O545" s="216">
        <f t="shared" si="163"/>
        <v>841.23</v>
      </c>
      <c r="P545" s="84">
        <f t="shared" si="164"/>
        <v>546.7995000000001</v>
      </c>
      <c r="Q545" s="84">
        <f t="shared" si="165"/>
        <v>0</v>
      </c>
      <c r="R545" s="226">
        <f t="shared" si="166"/>
        <v>546.7995000000001</v>
      </c>
      <c r="S545" s="412"/>
      <c r="T545" s="413"/>
    </row>
    <row r="546" spans="1:20" s="98" customFormat="1" ht="22.5" customHeight="1">
      <c r="A546" s="61" t="s">
        <v>479</v>
      </c>
      <c r="B546" s="97"/>
      <c r="C546" s="161" t="s">
        <v>151</v>
      </c>
      <c r="D546" s="133" t="s">
        <v>535</v>
      </c>
      <c r="E546" s="161" t="s">
        <v>536</v>
      </c>
      <c r="F546" s="97"/>
      <c r="G546" s="17">
        <v>38805</v>
      </c>
      <c r="H546" s="134">
        <v>38805</v>
      </c>
      <c r="I546" s="137" t="s">
        <v>537</v>
      </c>
      <c r="J546" s="282">
        <v>776.9166355140187</v>
      </c>
      <c r="K546" s="283">
        <v>93.13</v>
      </c>
      <c r="L546" s="292">
        <v>870.0466355140187</v>
      </c>
      <c r="M546" s="87"/>
      <c r="N546" s="87"/>
      <c r="O546" s="216"/>
      <c r="P546" s="84"/>
      <c r="Q546" s="84"/>
      <c r="R546" s="226"/>
      <c r="S546" s="414" t="s">
        <v>457</v>
      </c>
      <c r="T546" s="415"/>
    </row>
    <row r="547" spans="1:20" s="98" customFormat="1" ht="22.5" customHeight="1">
      <c r="A547" s="61" t="s">
        <v>479</v>
      </c>
      <c r="B547" s="97"/>
      <c r="C547" s="161" t="s">
        <v>151</v>
      </c>
      <c r="D547" s="133" t="s">
        <v>538</v>
      </c>
      <c r="E547" s="161" t="s">
        <v>539</v>
      </c>
      <c r="F547" s="97" t="s">
        <v>540</v>
      </c>
      <c r="G547" s="17">
        <v>38805</v>
      </c>
      <c r="H547" s="134">
        <v>38821</v>
      </c>
      <c r="I547" s="137" t="s">
        <v>541</v>
      </c>
      <c r="J547" s="282">
        <v>203.02</v>
      </c>
      <c r="K547" s="283"/>
      <c r="L547" s="292">
        <v>203.02</v>
      </c>
      <c r="M547" s="87"/>
      <c r="N547" s="87"/>
      <c r="O547" s="216"/>
      <c r="P547" s="84"/>
      <c r="Q547" s="84"/>
      <c r="R547" s="226"/>
      <c r="S547" s="414" t="s">
        <v>457</v>
      </c>
      <c r="T547" s="415"/>
    </row>
    <row r="548" spans="1:20" s="98" customFormat="1" ht="22.5" customHeight="1">
      <c r="A548" s="61" t="s">
        <v>479</v>
      </c>
      <c r="B548" s="97"/>
      <c r="C548" s="161" t="s">
        <v>151</v>
      </c>
      <c r="D548" s="133" t="s">
        <v>542</v>
      </c>
      <c r="E548" s="161" t="s">
        <v>543</v>
      </c>
      <c r="F548" s="97"/>
      <c r="G548" s="17">
        <v>38782</v>
      </c>
      <c r="H548" s="134">
        <v>38783</v>
      </c>
      <c r="I548" s="137" t="s">
        <v>537</v>
      </c>
      <c r="J548" s="282">
        <v>351.93</v>
      </c>
      <c r="K548" s="283">
        <v>19.97</v>
      </c>
      <c r="L548" s="292">
        <v>371.9</v>
      </c>
      <c r="M548" s="87"/>
      <c r="N548" s="87"/>
      <c r="O548" s="216"/>
      <c r="P548" s="84"/>
      <c r="Q548" s="84"/>
      <c r="R548" s="226"/>
      <c r="S548" s="414" t="s">
        <v>457</v>
      </c>
      <c r="T548" s="415"/>
    </row>
    <row r="549" spans="1:20" s="98" customFormat="1" ht="22.5" customHeight="1">
      <c r="A549" s="61" t="s">
        <v>479</v>
      </c>
      <c r="B549" s="97"/>
      <c r="C549" s="161" t="s">
        <v>151</v>
      </c>
      <c r="D549" s="133" t="s">
        <v>544</v>
      </c>
      <c r="E549" s="161" t="s">
        <v>539</v>
      </c>
      <c r="F549" s="97" t="s">
        <v>540</v>
      </c>
      <c r="G549" s="17">
        <v>38779</v>
      </c>
      <c r="H549" s="134">
        <v>38821</v>
      </c>
      <c r="I549" s="137" t="s">
        <v>541</v>
      </c>
      <c r="J549" s="282">
        <v>899.96</v>
      </c>
      <c r="K549" s="283">
        <v>0</v>
      </c>
      <c r="L549" s="292">
        <v>899.96</v>
      </c>
      <c r="M549" s="87"/>
      <c r="N549" s="87"/>
      <c r="O549" s="216"/>
      <c r="P549" s="84"/>
      <c r="Q549" s="84"/>
      <c r="R549" s="226"/>
      <c r="S549" s="414" t="s">
        <v>457</v>
      </c>
      <c r="T549" s="415"/>
    </row>
    <row r="550" spans="1:20" s="98" customFormat="1" ht="22.5" customHeight="1">
      <c r="A550" s="227" t="s">
        <v>479</v>
      </c>
      <c r="B550" s="97"/>
      <c r="C550" s="95" t="s">
        <v>151</v>
      </c>
      <c r="D550" s="95" t="s">
        <v>89</v>
      </c>
      <c r="E550" s="161" t="s">
        <v>90</v>
      </c>
      <c r="F550" s="97" t="s">
        <v>312</v>
      </c>
      <c r="G550" s="134">
        <v>38569</v>
      </c>
      <c r="H550" s="134">
        <v>38608</v>
      </c>
      <c r="I550" s="126" t="s">
        <v>92</v>
      </c>
      <c r="J550" s="31">
        <f>210+41.32-31.5</f>
        <v>219.82</v>
      </c>
      <c r="K550" s="120">
        <f>J550*0.2</f>
        <v>43.964</v>
      </c>
      <c r="L550" s="205">
        <f>J550+K550</f>
        <v>263.784</v>
      </c>
      <c r="M550" s="87">
        <v>70.45</v>
      </c>
      <c r="N550" s="87"/>
      <c r="O550" s="216">
        <f>+N550+M550</f>
        <v>70.45</v>
      </c>
      <c r="P550" s="92">
        <f>M550*0.65</f>
        <v>45.792500000000004</v>
      </c>
      <c r="Q550" s="92">
        <f>N550*0.65</f>
        <v>0</v>
      </c>
      <c r="R550" s="226">
        <f>+Q550+P550</f>
        <v>45.792500000000004</v>
      </c>
      <c r="S550" s="414" t="s">
        <v>569</v>
      </c>
      <c r="T550" s="415"/>
    </row>
    <row r="551" spans="1:20" s="98" customFormat="1" ht="22.5" customHeight="1">
      <c r="A551" s="227" t="s">
        <v>479</v>
      </c>
      <c r="B551" s="97"/>
      <c r="C551" s="95" t="s">
        <v>151</v>
      </c>
      <c r="D551" s="95" t="s">
        <v>89</v>
      </c>
      <c r="E551" s="161" t="s">
        <v>90</v>
      </c>
      <c r="F551" s="97">
        <v>5800207565</v>
      </c>
      <c r="G551" s="134">
        <v>38569</v>
      </c>
      <c r="H551" s="134">
        <v>38608</v>
      </c>
      <c r="I551" s="126" t="s">
        <v>92</v>
      </c>
      <c r="J551" s="31">
        <f>492.21+227.32</f>
        <v>719.53</v>
      </c>
      <c r="K551" s="120">
        <f>J551*0.2</f>
        <v>143.906</v>
      </c>
      <c r="L551" s="205">
        <f>J551+K551</f>
        <v>863.4359999999999</v>
      </c>
      <c r="M551" s="87">
        <v>230.61</v>
      </c>
      <c r="N551" s="87"/>
      <c r="O551" s="216">
        <f>+N551+M551</f>
        <v>230.61</v>
      </c>
      <c r="P551" s="92">
        <f>M551*0.65</f>
        <v>149.8965</v>
      </c>
      <c r="Q551" s="92">
        <f>N551*0.65</f>
        <v>0</v>
      </c>
      <c r="R551" s="226">
        <f>+Q551+P551</f>
        <v>149.8965</v>
      </c>
      <c r="S551" s="414" t="s">
        <v>569</v>
      </c>
      <c r="T551" s="415"/>
    </row>
    <row r="552" spans="1:20" s="98" customFormat="1" ht="22.5" customHeight="1">
      <c r="A552" s="227" t="s">
        <v>590</v>
      </c>
      <c r="B552" s="97"/>
      <c r="C552" s="14" t="s">
        <v>51</v>
      </c>
      <c r="D552" s="95" t="s">
        <v>599</v>
      </c>
      <c r="E552" s="161" t="s">
        <v>370</v>
      </c>
      <c r="F552" s="97" t="s">
        <v>600</v>
      </c>
      <c r="G552" s="134">
        <v>38960</v>
      </c>
      <c r="H552" s="134">
        <v>39008</v>
      </c>
      <c r="I552" s="126" t="s">
        <v>593</v>
      </c>
      <c r="J552" s="320" t="s">
        <v>601</v>
      </c>
      <c r="K552" s="321"/>
      <c r="L552" s="322" t="s">
        <v>601</v>
      </c>
      <c r="M552" s="87"/>
      <c r="N552" s="87"/>
      <c r="O552" s="216"/>
      <c r="P552" s="92"/>
      <c r="Q552" s="92"/>
      <c r="R552" s="226"/>
      <c r="S552" s="315"/>
      <c r="T552" s="316"/>
    </row>
    <row r="553" spans="1:20" s="98" customFormat="1" ht="22.5" customHeight="1">
      <c r="A553" s="227" t="s">
        <v>590</v>
      </c>
      <c r="B553" s="97"/>
      <c r="C553" s="14" t="s">
        <v>51</v>
      </c>
      <c r="D553" s="95" t="s">
        <v>602</v>
      </c>
      <c r="E553" s="161" t="s">
        <v>603</v>
      </c>
      <c r="F553" s="97" t="s">
        <v>604</v>
      </c>
      <c r="G553" s="134">
        <v>38976</v>
      </c>
      <c r="H553" s="134">
        <v>39005</v>
      </c>
      <c r="I553" s="126" t="s">
        <v>605</v>
      </c>
      <c r="J553" s="320">
        <v>3181.15</v>
      </c>
      <c r="K553" s="321" t="s">
        <v>606</v>
      </c>
      <c r="L553" s="322">
        <v>3652.11</v>
      </c>
      <c r="M553" s="320">
        <v>3181.15</v>
      </c>
      <c r="N553" s="321">
        <v>470.96</v>
      </c>
      <c r="O553" s="322">
        <f>+N553+M553</f>
        <v>3652.11</v>
      </c>
      <c r="P553" s="92">
        <f>M553*0.65</f>
        <v>2067.7475</v>
      </c>
      <c r="Q553" s="92">
        <f>N553*0.65</f>
        <v>306.124</v>
      </c>
      <c r="R553" s="226">
        <f>+Q553+P553</f>
        <v>2373.8715</v>
      </c>
      <c r="S553" s="315"/>
      <c r="T553" s="316"/>
    </row>
    <row r="554" spans="1:20" s="98" customFormat="1" ht="22.5" customHeight="1">
      <c r="A554" s="227" t="s">
        <v>590</v>
      </c>
      <c r="B554" s="97"/>
      <c r="C554" s="95" t="s">
        <v>151</v>
      </c>
      <c r="D554" s="95" t="s">
        <v>89</v>
      </c>
      <c r="E554" s="161" t="s">
        <v>90</v>
      </c>
      <c r="F554" s="97" t="s">
        <v>623</v>
      </c>
      <c r="G554" s="134">
        <v>38875</v>
      </c>
      <c r="H554" s="134">
        <v>38968</v>
      </c>
      <c r="I554" s="126" t="s">
        <v>69</v>
      </c>
      <c r="J554" s="320">
        <v>38.4</v>
      </c>
      <c r="K554" s="321">
        <v>7.95</v>
      </c>
      <c r="L554" s="322">
        <v>57.5</v>
      </c>
      <c r="M554" s="320">
        <v>22.726530612244897</v>
      </c>
      <c r="N554" s="321"/>
      <c r="O554" s="322">
        <f aca="true" t="shared" si="167" ref="O554:O580">+N554+M554</f>
        <v>22.726530612244897</v>
      </c>
      <c r="P554" s="92">
        <f aca="true" t="shared" si="168" ref="P554:P580">M554*0.65</f>
        <v>14.772244897959183</v>
      </c>
      <c r="Q554" s="92">
        <f aca="true" t="shared" si="169" ref="Q554:Q580">N554*0.65</f>
        <v>0</v>
      </c>
      <c r="R554" s="226">
        <f aca="true" t="shared" si="170" ref="R554:R580">+Q554+P554</f>
        <v>14.772244897959183</v>
      </c>
      <c r="S554" s="315"/>
      <c r="T554" s="316"/>
    </row>
    <row r="555" spans="1:20" s="98" customFormat="1" ht="22.5" customHeight="1">
      <c r="A555" s="227" t="s">
        <v>590</v>
      </c>
      <c r="B555" s="97"/>
      <c r="C555" s="95" t="s">
        <v>151</v>
      </c>
      <c r="D555" s="95" t="s">
        <v>89</v>
      </c>
      <c r="E555" s="161" t="s">
        <v>90</v>
      </c>
      <c r="F555" s="97" t="s">
        <v>624</v>
      </c>
      <c r="G555" s="134">
        <v>38875</v>
      </c>
      <c r="H555" s="134">
        <v>38968</v>
      </c>
      <c r="I555" s="126" t="s">
        <v>69</v>
      </c>
      <c r="J555" s="320">
        <v>1154.42</v>
      </c>
      <c r="K555" s="321">
        <v>231.34</v>
      </c>
      <c r="L555" s="322">
        <v>1563</v>
      </c>
      <c r="M555" s="320">
        <v>683.2281632653062</v>
      </c>
      <c r="N555" s="321"/>
      <c r="O555" s="322">
        <f t="shared" si="167"/>
        <v>683.2281632653062</v>
      </c>
      <c r="P555" s="92">
        <f t="shared" si="168"/>
        <v>444.09830612244906</v>
      </c>
      <c r="Q555" s="92">
        <f t="shared" si="169"/>
        <v>0</v>
      </c>
      <c r="R555" s="226">
        <f t="shared" si="170"/>
        <v>444.09830612244906</v>
      </c>
      <c r="S555" s="315"/>
      <c r="T555" s="316"/>
    </row>
    <row r="556" spans="1:20" s="98" customFormat="1" ht="22.5" customHeight="1">
      <c r="A556" s="227" t="s">
        <v>590</v>
      </c>
      <c r="B556" s="97"/>
      <c r="C556" s="95" t="s">
        <v>151</v>
      </c>
      <c r="D556" s="95" t="s">
        <v>89</v>
      </c>
      <c r="E556" s="161" t="s">
        <v>90</v>
      </c>
      <c r="F556" s="97" t="s">
        <v>625</v>
      </c>
      <c r="G556" s="134">
        <v>38875</v>
      </c>
      <c r="H556" s="134">
        <v>38968</v>
      </c>
      <c r="I556" s="126" t="s">
        <v>69</v>
      </c>
      <c r="J556" s="320">
        <v>282.78</v>
      </c>
      <c r="K556" s="321">
        <v>57.01</v>
      </c>
      <c r="L556" s="322">
        <v>382</v>
      </c>
      <c r="M556" s="320">
        <v>167.35959183673467</v>
      </c>
      <c r="N556" s="321"/>
      <c r="O556" s="322">
        <f t="shared" si="167"/>
        <v>167.35959183673467</v>
      </c>
      <c r="P556" s="92">
        <f t="shared" si="168"/>
        <v>108.78373469387753</v>
      </c>
      <c r="Q556" s="92">
        <f t="shared" si="169"/>
        <v>0</v>
      </c>
      <c r="R556" s="226">
        <f t="shared" si="170"/>
        <v>108.78373469387753</v>
      </c>
      <c r="S556" s="315"/>
      <c r="T556" s="316"/>
    </row>
    <row r="557" spans="1:20" s="98" customFormat="1" ht="22.5" customHeight="1">
      <c r="A557" s="227" t="s">
        <v>590</v>
      </c>
      <c r="B557" s="97"/>
      <c r="C557" s="95" t="s">
        <v>151</v>
      </c>
      <c r="D557" s="95" t="s">
        <v>89</v>
      </c>
      <c r="E557" s="161" t="s">
        <v>90</v>
      </c>
      <c r="F557" s="97" t="s">
        <v>626</v>
      </c>
      <c r="G557" s="134">
        <v>38875</v>
      </c>
      <c r="H557" s="134">
        <v>38968</v>
      </c>
      <c r="I557" s="126" t="s">
        <v>69</v>
      </c>
      <c r="J557" s="320">
        <v>154.21</v>
      </c>
      <c r="K557" s="321">
        <v>32.14</v>
      </c>
      <c r="L557" s="322">
        <v>215</v>
      </c>
      <c r="M557" s="320">
        <v>91.26714285714286</v>
      </c>
      <c r="N557" s="321"/>
      <c r="O557" s="322">
        <f t="shared" si="167"/>
        <v>91.26714285714286</v>
      </c>
      <c r="P557" s="92">
        <f t="shared" si="168"/>
        <v>59.32364285714286</v>
      </c>
      <c r="Q557" s="92">
        <f t="shared" si="169"/>
        <v>0</v>
      </c>
      <c r="R557" s="226">
        <f t="shared" si="170"/>
        <v>59.32364285714286</v>
      </c>
      <c r="S557" s="315"/>
      <c r="T557" s="316"/>
    </row>
    <row r="558" spans="1:20" s="98" customFormat="1" ht="22.5" customHeight="1">
      <c r="A558" s="227" t="s">
        <v>590</v>
      </c>
      <c r="B558" s="97"/>
      <c r="C558" s="95" t="s">
        <v>151</v>
      </c>
      <c r="D558" s="95" t="s">
        <v>89</v>
      </c>
      <c r="E558" s="161" t="s">
        <v>90</v>
      </c>
      <c r="F558" s="97" t="s">
        <v>627</v>
      </c>
      <c r="G558" s="134">
        <v>38936</v>
      </c>
      <c r="H558" s="134">
        <v>40071</v>
      </c>
      <c r="I558" s="126" t="s">
        <v>69</v>
      </c>
      <c r="J558" s="320">
        <v>160.08</v>
      </c>
      <c r="K558" s="321">
        <v>32.17</v>
      </c>
      <c r="L558" s="322">
        <v>193</v>
      </c>
      <c r="M558" s="320">
        <v>94.74122448979591</v>
      </c>
      <c r="N558" s="321"/>
      <c r="O558" s="322">
        <f t="shared" si="167"/>
        <v>94.74122448979591</v>
      </c>
      <c r="P558" s="92">
        <f t="shared" si="168"/>
        <v>61.58179591836734</v>
      </c>
      <c r="Q558" s="92">
        <f t="shared" si="169"/>
        <v>0</v>
      </c>
      <c r="R558" s="226">
        <f t="shared" si="170"/>
        <v>61.58179591836734</v>
      </c>
      <c r="S558" s="315"/>
      <c r="T558" s="316"/>
    </row>
    <row r="559" spans="1:20" s="98" customFormat="1" ht="22.5" customHeight="1">
      <c r="A559" s="227" t="s">
        <v>590</v>
      </c>
      <c r="B559" s="97"/>
      <c r="C559" s="95" t="s">
        <v>151</v>
      </c>
      <c r="D559" s="95" t="s">
        <v>89</v>
      </c>
      <c r="E559" s="161" t="s">
        <v>90</v>
      </c>
      <c r="F559" s="97" t="s">
        <v>628</v>
      </c>
      <c r="G559" s="134">
        <v>38936</v>
      </c>
      <c r="H559" s="134">
        <v>40071</v>
      </c>
      <c r="I559" s="126" t="s">
        <v>69</v>
      </c>
      <c r="J559" s="320">
        <v>350.38</v>
      </c>
      <c r="K559" s="321">
        <v>70.15</v>
      </c>
      <c r="L559" s="322">
        <v>439.5</v>
      </c>
      <c r="M559" s="320">
        <v>207.3677551020408</v>
      </c>
      <c r="N559" s="321"/>
      <c r="O559" s="322">
        <f t="shared" si="167"/>
        <v>207.3677551020408</v>
      </c>
      <c r="P559" s="92">
        <f t="shared" si="168"/>
        <v>134.78904081632652</v>
      </c>
      <c r="Q559" s="92">
        <f t="shared" si="169"/>
        <v>0</v>
      </c>
      <c r="R559" s="226">
        <f t="shared" si="170"/>
        <v>134.78904081632652</v>
      </c>
      <c r="S559" s="315"/>
      <c r="T559" s="316"/>
    </row>
    <row r="560" spans="1:20" s="98" customFormat="1" ht="22.5" customHeight="1">
      <c r="A560" s="227" t="s">
        <v>590</v>
      </c>
      <c r="B560" s="97"/>
      <c r="C560" s="95" t="s">
        <v>151</v>
      </c>
      <c r="D560" s="95" t="s">
        <v>89</v>
      </c>
      <c r="E560" s="161" t="s">
        <v>90</v>
      </c>
      <c r="F560" s="97" t="s">
        <v>629</v>
      </c>
      <c r="G560" s="134">
        <v>38936</v>
      </c>
      <c r="H560" s="134">
        <v>40071</v>
      </c>
      <c r="I560" s="126" t="s">
        <v>69</v>
      </c>
      <c r="J560" s="320">
        <v>1431.02</v>
      </c>
      <c r="K560" s="321">
        <v>286.28</v>
      </c>
      <c r="L560" s="322">
        <v>1805</v>
      </c>
      <c r="M560" s="320">
        <v>846.9302040816326</v>
      </c>
      <c r="N560" s="321"/>
      <c r="O560" s="322">
        <f t="shared" si="167"/>
        <v>846.9302040816326</v>
      </c>
      <c r="P560" s="92">
        <f t="shared" si="168"/>
        <v>550.5046326530612</v>
      </c>
      <c r="Q560" s="92">
        <f t="shared" si="169"/>
        <v>0</v>
      </c>
      <c r="R560" s="226">
        <f t="shared" si="170"/>
        <v>550.5046326530612</v>
      </c>
      <c r="S560" s="315"/>
      <c r="T560" s="316"/>
    </row>
    <row r="561" spans="1:20" s="98" customFormat="1" ht="22.5" customHeight="1">
      <c r="A561" s="227" t="s">
        <v>590</v>
      </c>
      <c r="B561" s="97"/>
      <c r="C561" s="95" t="s">
        <v>151</v>
      </c>
      <c r="D561" s="95" t="s">
        <v>89</v>
      </c>
      <c r="E561" s="161" t="s">
        <v>90</v>
      </c>
      <c r="F561" s="97" t="s">
        <v>630</v>
      </c>
      <c r="G561" s="134">
        <v>38936</v>
      </c>
      <c r="H561" s="134">
        <v>40071</v>
      </c>
      <c r="I561" s="126" t="s">
        <v>69</v>
      </c>
      <c r="J561" s="320">
        <v>38.42</v>
      </c>
      <c r="K561" s="321">
        <v>7.76</v>
      </c>
      <c r="L561" s="322">
        <v>49</v>
      </c>
      <c r="M561" s="320">
        <v>22.738367346938777</v>
      </c>
      <c r="N561" s="321"/>
      <c r="O561" s="322">
        <f t="shared" si="167"/>
        <v>22.738367346938777</v>
      </c>
      <c r="P561" s="92">
        <f t="shared" si="168"/>
        <v>14.779938775510205</v>
      </c>
      <c r="Q561" s="92">
        <f t="shared" si="169"/>
        <v>0</v>
      </c>
      <c r="R561" s="226">
        <f t="shared" si="170"/>
        <v>14.779938775510205</v>
      </c>
      <c r="S561" s="315"/>
      <c r="T561" s="316"/>
    </row>
    <row r="562" spans="1:20" s="98" customFormat="1" ht="22.5" customHeight="1">
      <c r="A562" s="227" t="s">
        <v>590</v>
      </c>
      <c r="B562" s="97"/>
      <c r="C562" s="95" t="s">
        <v>151</v>
      </c>
      <c r="D562" s="95" t="s">
        <v>89</v>
      </c>
      <c r="E562" s="161" t="s">
        <v>90</v>
      </c>
      <c r="F562" s="97" t="s">
        <v>631</v>
      </c>
      <c r="G562" s="134">
        <v>38995</v>
      </c>
      <c r="H562" s="134">
        <v>39035</v>
      </c>
      <c r="I562" s="126" t="s">
        <v>411</v>
      </c>
      <c r="J562" s="320">
        <v>142.97</v>
      </c>
      <c r="K562" s="321">
        <v>28.68</v>
      </c>
      <c r="L562" s="322">
        <v>183</v>
      </c>
      <c r="M562" s="320">
        <v>84.61489795918366</v>
      </c>
      <c r="N562" s="321"/>
      <c r="O562" s="322">
        <f t="shared" si="167"/>
        <v>84.61489795918366</v>
      </c>
      <c r="P562" s="92">
        <f t="shared" si="168"/>
        <v>54.999683673469384</v>
      </c>
      <c r="Q562" s="92">
        <f t="shared" si="169"/>
        <v>0</v>
      </c>
      <c r="R562" s="226">
        <f t="shared" si="170"/>
        <v>54.999683673469384</v>
      </c>
      <c r="S562" s="315"/>
      <c r="T562" s="316"/>
    </row>
    <row r="563" spans="1:20" s="98" customFormat="1" ht="22.5" customHeight="1">
      <c r="A563" s="227" t="s">
        <v>590</v>
      </c>
      <c r="B563" s="97"/>
      <c r="C563" s="95" t="s">
        <v>151</v>
      </c>
      <c r="D563" s="95" t="s">
        <v>89</v>
      </c>
      <c r="E563" s="161" t="s">
        <v>90</v>
      </c>
      <c r="F563" s="97" t="s">
        <v>632</v>
      </c>
      <c r="G563" s="134">
        <v>38995</v>
      </c>
      <c r="H563" s="134">
        <v>39035</v>
      </c>
      <c r="I563" s="126" t="s">
        <v>411</v>
      </c>
      <c r="J563" s="320">
        <v>241.86</v>
      </c>
      <c r="K563" s="321">
        <v>48.46</v>
      </c>
      <c r="L563" s="322">
        <v>291</v>
      </c>
      <c r="M563" s="320">
        <v>143.14163265306124</v>
      </c>
      <c r="N563" s="321"/>
      <c r="O563" s="322">
        <f t="shared" si="167"/>
        <v>143.14163265306124</v>
      </c>
      <c r="P563" s="92">
        <f t="shared" si="168"/>
        <v>93.04206122448981</v>
      </c>
      <c r="Q563" s="92">
        <f t="shared" si="169"/>
        <v>0</v>
      </c>
      <c r="R563" s="226">
        <f t="shared" si="170"/>
        <v>93.04206122448981</v>
      </c>
      <c r="S563" s="315"/>
      <c r="T563" s="316"/>
    </row>
    <row r="564" spans="1:20" s="98" customFormat="1" ht="22.5" customHeight="1">
      <c r="A564" s="227" t="s">
        <v>590</v>
      </c>
      <c r="B564" s="97"/>
      <c r="C564" s="95" t="s">
        <v>151</v>
      </c>
      <c r="D564" s="95" t="s">
        <v>89</v>
      </c>
      <c r="E564" s="161" t="s">
        <v>90</v>
      </c>
      <c r="F564" s="97" t="s">
        <v>633</v>
      </c>
      <c r="G564" s="134">
        <v>38995</v>
      </c>
      <c r="H564" s="134">
        <v>39035</v>
      </c>
      <c r="I564" s="126" t="s">
        <v>411</v>
      </c>
      <c r="J564" s="320">
        <v>987.18</v>
      </c>
      <c r="K564" s="321">
        <v>197.52</v>
      </c>
      <c r="L564" s="322">
        <v>1281</v>
      </c>
      <c r="M564" s="320">
        <v>584.249387755102</v>
      </c>
      <c r="N564" s="321"/>
      <c r="O564" s="322">
        <f t="shared" si="167"/>
        <v>584.249387755102</v>
      </c>
      <c r="P564" s="92">
        <f t="shared" si="168"/>
        <v>379.76210204081633</v>
      </c>
      <c r="Q564" s="92">
        <f t="shared" si="169"/>
        <v>0</v>
      </c>
      <c r="R564" s="226">
        <f t="shared" si="170"/>
        <v>379.76210204081633</v>
      </c>
      <c r="S564" s="315"/>
      <c r="T564" s="316"/>
    </row>
    <row r="565" spans="1:20" s="98" customFormat="1" ht="22.5" customHeight="1">
      <c r="A565" s="227" t="s">
        <v>590</v>
      </c>
      <c r="B565" s="97"/>
      <c r="C565" s="95" t="s">
        <v>151</v>
      </c>
      <c r="D565" s="95" t="s">
        <v>105</v>
      </c>
      <c r="E565" s="161" t="s">
        <v>106</v>
      </c>
      <c r="F565" s="97">
        <v>750100351918868</v>
      </c>
      <c r="G565" s="134">
        <v>38834</v>
      </c>
      <c r="H565" s="134">
        <v>38883</v>
      </c>
      <c r="I565" s="126" t="s">
        <v>411</v>
      </c>
      <c r="J565" s="320">
        <v>39.73</v>
      </c>
      <c r="K565" s="321">
        <v>7.95</v>
      </c>
      <c r="L565" s="322">
        <v>47.69</v>
      </c>
      <c r="M565" s="320">
        <v>39.73</v>
      </c>
      <c r="N565" s="321"/>
      <c r="O565" s="322">
        <f t="shared" si="167"/>
        <v>39.73</v>
      </c>
      <c r="P565" s="92">
        <f t="shared" si="168"/>
        <v>25.8245</v>
      </c>
      <c r="Q565" s="92">
        <f t="shared" si="169"/>
        <v>0</v>
      </c>
      <c r="R565" s="226">
        <f t="shared" si="170"/>
        <v>25.8245</v>
      </c>
      <c r="S565" s="315"/>
      <c r="T565" s="316"/>
    </row>
    <row r="566" spans="1:20" s="98" customFormat="1" ht="22.5" customHeight="1">
      <c r="A566" s="227" t="s">
        <v>590</v>
      </c>
      <c r="B566" s="97"/>
      <c r="C566" s="95" t="s">
        <v>151</v>
      </c>
      <c r="D566" s="95" t="s">
        <v>105</v>
      </c>
      <c r="E566" s="161" t="s">
        <v>106</v>
      </c>
      <c r="F566" s="97">
        <v>750084061920219</v>
      </c>
      <c r="G566" s="134">
        <v>38903</v>
      </c>
      <c r="H566" s="134">
        <v>38947</v>
      </c>
      <c r="I566" s="126" t="s">
        <v>411</v>
      </c>
      <c r="J566" s="320">
        <v>1983.07</v>
      </c>
      <c r="K566" s="321">
        <v>396.61</v>
      </c>
      <c r="L566" s="322">
        <v>2397.66</v>
      </c>
      <c r="M566" s="320">
        <v>1173.6536734693877</v>
      </c>
      <c r="N566" s="321"/>
      <c r="O566" s="322">
        <f t="shared" si="167"/>
        <v>1173.6536734693877</v>
      </c>
      <c r="P566" s="92">
        <f t="shared" si="168"/>
        <v>762.874887755102</v>
      </c>
      <c r="Q566" s="92">
        <f t="shared" si="169"/>
        <v>0</v>
      </c>
      <c r="R566" s="226">
        <f t="shared" si="170"/>
        <v>762.874887755102</v>
      </c>
      <c r="S566" s="315"/>
      <c r="T566" s="316"/>
    </row>
    <row r="567" spans="1:20" s="98" customFormat="1" ht="22.5" customHeight="1">
      <c r="A567" s="227" t="s">
        <v>590</v>
      </c>
      <c r="B567" s="97"/>
      <c r="C567" s="95" t="s">
        <v>151</v>
      </c>
      <c r="D567" s="95" t="s">
        <v>105</v>
      </c>
      <c r="E567" s="161" t="s">
        <v>106</v>
      </c>
      <c r="F567" s="97">
        <v>750084061920211</v>
      </c>
      <c r="G567" s="134">
        <v>38931</v>
      </c>
      <c r="H567" s="134">
        <v>38974</v>
      </c>
      <c r="I567" s="126" t="s">
        <v>411</v>
      </c>
      <c r="J567" s="320">
        <v>2412.03</v>
      </c>
      <c r="K567" s="321">
        <v>482.97</v>
      </c>
      <c r="L567" s="322">
        <v>2905.03</v>
      </c>
      <c r="M567" s="320">
        <v>1427.5279591836736</v>
      </c>
      <c r="N567" s="321"/>
      <c r="O567" s="322">
        <f t="shared" si="167"/>
        <v>1427.5279591836736</v>
      </c>
      <c r="P567" s="92">
        <f t="shared" si="168"/>
        <v>927.8931734693879</v>
      </c>
      <c r="Q567" s="92">
        <f t="shared" si="169"/>
        <v>0</v>
      </c>
      <c r="R567" s="226">
        <f t="shared" si="170"/>
        <v>927.8931734693879</v>
      </c>
      <c r="S567" s="315"/>
      <c r="T567" s="316"/>
    </row>
    <row r="568" spans="1:20" s="98" customFormat="1" ht="22.5" customHeight="1">
      <c r="A568" s="227" t="s">
        <v>590</v>
      </c>
      <c r="B568" s="97"/>
      <c r="C568" s="95" t="s">
        <v>151</v>
      </c>
      <c r="D568" s="95" t="s">
        <v>105</v>
      </c>
      <c r="E568" s="161" t="s">
        <v>106</v>
      </c>
      <c r="F568" s="97">
        <v>750084061918861</v>
      </c>
      <c r="G568" s="134">
        <v>38947</v>
      </c>
      <c r="H568" s="134">
        <v>38974</v>
      </c>
      <c r="I568" s="126" t="s">
        <v>411</v>
      </c>
      <c r="J568" s="320">
        <v>28.89</v>
      </c>
      <c r="K568" s="321">
        <v>5.78</v>
      </c>
      <c r="L568" s="322">
        <v>34.72</v>
      </c>
      <c r="M568" s="320">
        <v>28.89</v>
      </c>
      <c r="N568" s="321"/>
      <c r="O568" s="322">
        <f t="shared" si="167"/>
        <v>28.89</v>
      </c>
      <c r="P568" s="92">
        <f t="shared" si="168"/>
        <v>18.7785</v>
      </c>
      <c r="Q568" s="92">
        <f t="shared" si="169"/>
        <v>0</v>
      </c>
      <c r="R568" s="226">
        <f t="shared" si="170"/>
        <v>18.7785</v>
      </c>
      <c r="S568" s="315"/>
      <c r="T568" s="316"/>
    </row>
    <row r="569" spans="1:20" s="98" customFormat="1" ht="22.5" customHeight="1">
      <c r="A569" s="227" t="s">
        <v>590</v>
      </c>
      <c r="B569" s="97"/>
      <c r="C569" s="95" t="s">
        <v>151</v>
      </c>
      <c r="D569" s="95" t="s">
        <v>105</v>
      </c>
      <c r="E569" s="161" t="s">
        <v>106</v>
      </c>
      <c r="F569" s="97">
        <v>750084061920212</v>
      </c>
      <c r="G569" s="134">
        <v>38962</v>
      </c>
      <c r="H569" s="134">
        <v>39003</v>
      </c>
      <c r="I569" s="126" t="s">
        <v>411</v>
      </c>
      <c r="J569" s="320">
        <v>1942.71</v>
      </c>
      <c r="K569" s="321">
        <v>389.1</v>
      </c>
      <c r="L569" s="322">
        <v>2344.55</v>
      </c>
      <c r="M569" s="320">
        <v>1149.7671428571427</v>
      </c>
      <c r="N569" s="321"/>
      <c r="O569" s="322">
        <f t="shared" si="167"/>
        <v>1149.7671428571427</v>
      </c>
      <c r="P569" s="92">
        <f t="shared" si="168"/>
        <v>747.3486428571429</v>
      </c>
      <c r="Q569" s="92">
        <f t="shared" si="169"/>
        <v>0</v>
      </c>
      <c r="R569" s="226">
        <f t="shared" si="170"/>
        <v>747.3486428571429</v>
      </c>
      <c r="S569" s="315"/>
      <c r="T569" s="316"/>
    </row>
    <row r="570" spans="1:20" s="98" customFormat="1" ht="22.5" customHeight="1">
      <c r="A570" s="227" t="s">
        <v>590</v>
      </c>
      <c r="B570" s="97"/>
      <c r="C570" s="95" t="s">
        <v>151</v>
      </c>
      <c r="D570" s="95" t="s">
        <v>105</v>
      </c>
      <c r="E570" s="161" t="s">
        <v>106</v>
      </c>
      <c r="F570" s="97">
        <v>750084061920213</v>
      </c>
      <c r="G570" s="134">
        <v>38995</v>
      </c>
      <c r="H570" s="134">
        <v>39035</v>
      </c>
      <c r="I570" s="126" t="s">
        <v>411</v>
      </c>
      <c r="J570" s="320">
        <v>2315.16</v>
      </c>
      <c r="K570" s="321">
        <v>463.59</v>
      </c>
      <c r="L570" s="322">
        <v>2793.42</v>
      </c>
      <c r="M570" s="320">
        <v>1370.1967346938775</v>
      </c>
      <c r="N570" s="321"/>
      <c r="O570" s="322">
        <f t="shared" si="167"/>
        <v>1370.1967346938775</v>
      </c>
      <c r="P570" s="92">
        <f t="shared" si="168"/>
        <v>890.6278775510204</v>
      </c>
      <c r="Q570" s="92">
        <f t="shared" si="169"/>
        <v>0</v>
      </c>
      <c r="R570" s="226">
        <f t="shared" si="170"/>
        <v>890.6278775510204</v>
      </c>
      <c r="S570" s="315"/>
      <c r="T570" s="316"/>
    </row>
    <row r="571" spans="1:20" s="98" customFormat="1" ht="22.5" customHeight="1">
      <c r="A571" s="227" t="s">
        <v>590</v>
      </c>
      <c r="B571" s="97"/>
      <c r="C571" s="95" t="s">
        <v>151</v>
      </c>
      <c r="D571" s="95" t="s">
        <v>105</v>
      </c>
      <c r="E571" s="161" t="s">
        <v>106</v>
      </c>
      <c r="F571" s="97">
        <v>750084061918862</v>
      </c>
      <c r="G571" s="134">
        <v>39015</v>
      </c>
      <c r="H571" s="134">
        <v>39035</v>
      </c>
      <c r="I571" s="126" t="s">
        <v>411</v>
      </c>
      <c r="J571" s="320">
        <v>32.62</v>
      </c>
      <c r="K571" s="321">
        <v>6.52</v>
      </c>
      <c r="L571" s="322">
        <v>39.18</v>
      </c>
      <c r="M571" s="320">
        <v>32.62</v>
      </c>
      <c r="N571" s="321"/>
      <c r="O571" s="322">
        <f t="shared" si="167"/>
        <v>32.62</v>
      </c>
      <c r="P571" s="92">
        <f t="shared" si="168"/>
        <v>21.203</v>
      </c>
      <c r="Q571" s="92">
        <f t="shared" si="169"/>
        <v>0</v>
      </c>
      <c r="R571" s="226">
        <f t="shared" si="170"/>
        <v>21.203</v>
      </c>
      <c r="S571" s="315"/>
      <c r="T571" s="316"/>
    </row>
    <row r="572" spans="1:20" s="98" customFormat="1" ht="22.5" customHeight="1">
      <c r="A572" s="227" t="s">
        <v>590</v>
      </c>
      <c r="B572" s="97"/>
      <c r="C572" s="95" t="s">
        <v>151</v>
      </c>
      <c r="D572" s="95" t="s">
        <v>113</v>
      </c>
      <c r="E572" s="161" t="s">
        <v>114</v>
      </c>
      <c r="F572" s="97">
        <v>384006129183</v>
      </c>
      <c r="G572" s="134">
        <v>38972</v>
      </c>
      <c r="H572" s="134">
        <v>39008</v>
      </c>
      <c r="I572" s="126" t="s">
        <v>411</v>
      </c>
      <c r="J572" s="320">
        <v>20.44</v>
      </c>
      <c r="K572" s="321">
        <v>4.09</v>
      </c>
      <c r="L572" s="322">
        <v>24.56</v>
      </c>
      <c r="M572" s="320">
        <v>20.44</v>
      </c>
      <c r="N572" s="321"/>
      <c r="O572" s="322">
        <f t="shared" si="167"/>
        <v>20.44</v>
      </c>
      <c r="P572" s="92">
        <f t="shared" si="168"/>
        <v>13.286000000000001</v>
      </c>
      <c r="Q572" s="92">
        <f t="shared" si="169"/>
        <v>0</v>
      </c>
      <c r="R572" s="226">
        <f t="shared" si="170"/>
        <v>13.286000000000001</v>
      </c>
      <c r="S572" s="315"/>
      <c r="T572" s="316"/>
    </row>
    <row r="573" spans="1:20" s="98" customFormat="1" ht="22.5" customHeight="1">
      <c r="A573" s="227" t="s">
        <v>590</v>
      </c>
      <c r="B573" s="97"/>
      <c r="C573" s="95" t="s">
        <v>151</v>
      </c>
      <c r="D573" s="95" t="s">
        <v>113</v>
      </c>
      <c r="E573" s="161" t="s">
        <v>114</v>
      </c>
      <c r="F573" s="97">
        <v>384006128765</v>
      </c>
      <c r="G573" s="134">
        <v>38972</v>
      </c>
      <c r="H573" s="134">
        <v>39008</v>
      </c>
      <c r="I573" s="126" t="s">
        <v>411</v>
      </c>
      <c r="J573" s="320">
        <v>469.52</v>
      </c>
      <c r="K573" s="321">
        <v>93.9</v>
      </c>
      <c r="L573" s="322">
        <v>563.77</v>
      </c>
      <c r="M573" s="320">
        <v>277.87918367346936</v>
      </c>
      <c r="N573" s="321"/>
      <c r="O573" s="322">
        <f t="shared" si="167"/>
        <v>277.87918367346936</v>
      </c>
      <c r="P573" s="92">
        <f t="shared" si="168"/>
        <v>180.6214693877551</v>
      </c>
      <c r="Q573" s="92">
        <f t="shared" si="169"/>
        <v>0</v>
      </c>
      <c r="R573" s="226">
        <f t="shared" si="170"/>
        <v>180.6214693877551</v>
      </c>
      <c r="S573" s="315"/>
      <c r="T573" s="316"/>
    </row>
    <row r="574" spans="1:20" s="98" customFormat="1" ht="22.5" customHeight="1">
      <c r="A574" s="227" t="s">
        <v>590</v>
      </c>
      <c r="B574" s="97"/>
      <c r="C574" s="95" t="s">
        <v>151</v>
      </c>
      <c r="D574" s="95" t="s">
        <v>115</v>
      </c>
      <c r="E574" s="161" t="s">
        <v>38</v>
      </c>
      <c r="F574" s="97">
        <v>20062032232740</v>
      </c>
      <c r="G574" s="134">
        <v>38926</v>
      </c>
      <c r="H574" s="134">
        <v>39003</v>
      </c>
      <c r="I574" s="126" t="s">
        <v>411</v>
      </c>
      <c r="J574" s="320">
        <v>135.84</v>
      </c>
      <c r="K574" s="321">
        <v>13.58</v>
      </c>
      <c r="L574" s="322">
        <v>149.42</v>
      </c>
      <c r="M574" s="320">
        <v>80.39510204081633</v>
      </c>
      <c r="N574" s="321"/>
      <c r="O574" s="322">
        <f t="shared" si="167"/>
        <v>80.39510204081633</v>
      </c>
      <c r="P574" s="92">
        <f t="shared" si="168"/>
        <v>52.25681632653061</v>
      </c>
      <c r="Q574" s="92">
        <f t="shared" si="169"/>
        <v>0</v>
      </c>
      <c r="R574" s="226">
        <f t="shared" si="170"/>
        <v>52.25681632653061</v>
      </c>
      <c r="S574" s="315"/>
      <c r="T574" s="316"/>
    </row>
    <row r="575" spans="1:20" s="98" customFormat="1" ht="22.5" customHeight="1">
      <c r="A575" s="227" t="s">
        <v>590</v>
      </c>
      <c r="B575" s="97"/>
      <c r="C575" s="95" t="s">
        <v>151</v>
      </c>
      <c r="D575" s="95" t="s">
        <v>431</v>
      </c>
      <c r="E575" s="161" t="s">
        <v>117</v>
      </c>
      <c r="F575" s="97" t="s">
        <v>634</v>
      </c>
      <c r="G575" s="134">
        <v>38899</v>
      </c>
      <c r="H575" s="134">
        <v>38901</v>
      </c>
      <c r="I575" s="126" t="s">
        <v>635</v>
      </c>
      <c r="J575" s="320">
        <v>246.64</v>
      </c>
      <c r="K575" s="321">
        <v>49.33</v>
      </c>
      <c r="L575" s="322">
        <v>297.97</v>
      </c>
      <c r="M575" s="320">
        <v>145.97061224489795</v>
      </c>
      <c r="N575" s="321"/>
      <c r="O575" s="322">
        <f t="shared" si="167"/>
        <v>145.97061224489795</v>
      </c>
      <c r="P575" s="92">
        <f t="shared" si="168"/>
        <v>94.88089795918367</v>
      </c>
      <c r="Q575" s="92">
        <f t="shared" si="169"/>
        <v>0</v>
      </c>
      <c r="R575" s="226">
        <f t="shared" si="170"/>
        <v>94.88089795918367</v>
      </c>
      <c r="S575" s="315"/>
      <c r="T575" s="316"/>
    </row>
    <row r="576" spans="1:20" s="98" customFormat="1" ht="22.5" customHeight="1">
      <c r="A576" s="227" t="s">
        <v>590</v>
      </c>
      <c r="B576" s="97"/>
      <c r="C576" s="95" t="s">
        <v>151</v>
      </c>
      <c r="D576" s="95" t="s">
        <v>431</v>
      </c>
      <c r="E576" s="161" t="s">
        <v>117</v>
      </c>
      <c r="F576" s="97" t="s">
        <v>636</v>
      </c>
      <c r="G576" s="134">
        <v>38992</v>
      </c>
      <c r="H576" s="134">
        <v>38993</v>
      </c>
      <c r="I576" s="126" t="s">
        <v>637</v>
      </c>
      <c r="J576" s="320">
        <v>246.64</v>
      </c>
      <c r="K576" s="321">
        <v>49.33</v>
      </c>
      <c r="L576" s="322">
        <v>295.97</v>
      </c>
      <c r="M576" s="320">
        <v>145.97061224489795</v>
      </c>
      <c r="N576" s="321"/>
      <c r="O576" s="322">
        <f t="shared" si="167"/>
        <v>145.97061224489795</v>
      </c>
      <c r="P576" s="92">
        <f t="shared" si="168"/>
        <v>94.88089795918367</v>
      </c>
      <c r="Q576" s="92">
        <f t="shared" si="169"/>
        <v>0</v>
      </c>
      <c r="R576" s="226">
        <f t="shared" si="170"/>
        <v>94.88089795918367</v>
      </c>
      <c r="S576" s="315"/>
      <c r="T576" s="316"/>
    </row>
    <row r="577" spans="1:20" s="98" customFormat="1" ht="22.5" customHeight="1">
      <c r="A577" s="227" t="s">
        <v>590</v>
      </c>
      <c r="B577" s="97"/>
      <c r="C577" s="95" t="s">
        <v>151</v>
      </c>
      <c r="D577" s="95" t="s">
        <v>120</v>
      </c>
      <c r="E577" s="161" t="s">
        <v>315</v>
      </c>
      <c r="F577" s="97">
        <v>47</v>
      </c>
      <c r="G577" s="134">
        <v>38929</v>
      </c>
      <c r="H577" s="134">
        <v>38946</v>
      </c>
      <c r="I577" s="126" t="s">
        <v>638</v>
      </c>
      <c r="J577" s="320">
        <v>1500</v>
      </c>
      <c r="K577" s="321">
        <v>300</v>
      </c>
      <c r="L577" s="322">
        <v>1800</v>
      </c>
      <c r="M577" s="320">
        <v>887.7551020408163</v>
      </c>
      <c r="N577" s="321"/>
      <c r="O577" s="322">
        <f t="shared" si="167"/>
        <v>887.7551020408163</v>
      </c>
      <c r="P577" s="92">
        <f t="shared" si="168"/>
        <v>577.0408163265306</v>
      </c>
      <c r="Q577" s="92">
        <f t="shared" si="169"/>
        <v>0</v>
      </c>
      <c r="R577" s="226">
        <f t="shared" si="170"/>
        <v>577.0408163265306</v>
      </c>
      <c r="S577" s="315"/>
      <c r="T577" s="316"/>
    </row>
    <row r="578" spans="1:20" s="98" customFormat="1" ht="22.5" customHeight="1">
      <c r="A578" s="227" t="s">
        <v>590</v>
      </c>
      <c r="B578" s="97"/>
      <c r="C578" s="95" t="s">
        <v>151</v>
      </c>
      <c r="D578" s="95" t="s">
        <v>120</v>
      </c>
      <c r="E578" s="161" t="s">
        <v>315</v>
      </c>
      <c r="F578" s="97">
        <v>55</v>
      </c>
      <c r="G578" s="134">
        <v>37864</v>
      </c>
      <c r="H578" s="134">
        <v>38974</v>
      </c>
      <c r="I578" s="126" t="s">
        <v>639</v>
      </c>
      <c r="J578" s="320">
        <v>1300</v>
      </c>
      <c r="K578" s="321">
        <v>260</v>
      </c>
      <c r="L578" s="322">
        <v>1560</v>
      </c>
      <c r="M578" s="320">
        <v>769.3877551020408</v>
      </c>
      <c r="N578" s="321"/>
      <c r="O578" s="322">
        <f t="shared" si="167"/>
        <v>769.3877551020408</v>
      </c>
      <c r="P578" s="92">
        <f t="shared" si="168"/>
        <v>500.10204081632656</v>
      </c>
      <c r="Q578" s="92">
        <f t="shared" si="169"/>
        <v>0</v>
      </c>
      <c r="R578" s="226">
        <f t="shared" si="170"/>
        <v>500.10204081632656</v>
      </c>
      <c r="S578" s="315"/>
      <c r="T578" s="316"/>
    </row>
    <row r="579" spans="1:20" s="98" customFormat="1" ht="22.5" customHeight="1">
      <c r="A579" s="227" t="s">
        <v>590</v>
      </c>
      <c r="B579" s="97"/>
      <c r="C579" s="95" t="s">
        <v>151</v>
      </c>
      <c r="D579" s="95" t="s">
        <v>120</v>
      </c>
      <c r="E579" s="161" t="s">
        <v>315</v>
      </c>
      <c r="F579" s="97">
        <v>62</v>
      </c>
      <c r="G579" s="134">
        <v>38990</v>
      </c>
      <c r="H579" s="134">
        <v>39009</v>
      </c>
      <c r="I579" s="126" t="s">
        <v>640</v>
      </c>
      <c r="J579" s="320">
        <v>1300</v>
      </c>
      <c r="K579" s="321">
        <v>260</v>
      </c>
      <c r="L579" s="322">
        <v>1560</v>
      </c>
      <c r="M579" s="320">
        <v>769.3877551020408</v>
      </c>
      <c r="N579" s="321"/>
      <c r="O579" s="322">
        <f t="shared" si="167"/>
        <v>769.3877551020408</v>
      </c>
      <c r="P579" s="92">
        <f t="shared" si="168"/>
        <v>500.10204081632656</v>
      </c>
      <c r="Q579" s="92">
        <f t="shared" si="169"/>
        <v>0</v>
      </c>
      <c r="R579" s="226">
        <f t="shared" si="170"/>
        <v>500.10204081632656</v>
      </c>
      <c r="S579" s="315"/>
      <c r="T579" s="316"/>
    </row>
    <row r="580" spans="1:20" s="98" customFormat="1" ht="22.5" customHeight="1">
      <c r="A580" s="227" t="s">
        <v>590</v>
      </c>
      <c r="B580" s="97"/>
      <c r="C580" s="95" t="s">
        <v>151</v>
      </c>
      <c r="D580" s="95"/>
      <c r="E580" s="161" t="s">
        <v>641</v>
      </c>
      <c r="F580" s="97" t="s">
        <v>124</v>
      </c>
      <c r="G580" s="134" t="s">
        <v>125</v>
      </c>
      <c r="H580" s="134">
        <v>39017</v>
      </c>
      <c r="I580" s="126" t="s">
        <v>69</v>
      </c>
      <c r="J580" s="320">
        <v>3500</v>
      </c>
      <c r="K580" s="321"/>
      <c r="L580" s="322">
        <v>3500</v>
      </c>
      <c r="M580" s="320">
        <v>3500</v>
      </c>
      <c r="N580" s="321"/>
      <c r="O580" s="322">
        <f t="shared" si="167"/>
        <v>3500</v>
      </c>
      <c r="P580" s="92">
        <f t="shared" si="168"/>
        <v>2275</v>
      </c>
      <c r="Q580" s="92">
        <f t="shared" si="169"/>
        <v>0</v>
      </c>
      <c r="R580" s="226">
        <f t="shared" si="170"/>
        <v>2275</v>
      </c>
      <c r="S580" s="315"/>
      <c r="T580" s="316"/>
    </row>
    <row r="581" spans="1:20" s="98" customFormat="1" ht="22.5" customHeight="1">
      <c r="A581" s="61" t="s">
        <v>644</v>
      </c>
      <c r="B581" s="7"/>
      <c r="C581" s="14" t="s">
        <v>51</v>
      </c>
      <c r="D581" s="95" t="s">
        <v>602</v>
      </c>
      <c r="E581" s="161" t="s">
        <v>603</v>
      </c>
      <c r="F581" s="97"/>
      <c r="G581" s="134"/>
      <c r="H581" s="134">
        <v>39066</v>
      </c>
      <c r="I581" s="126" t="s">
        <v>605</v>
      </c>
      <c r="J581" s="31">
        <v>3274.17</v>
      </c>
      <c r="K581" s="120">
        <v>654.8340000000001</v>
      </c>
      <c r="L581" s="205">
        <v>3929.004</v>
      </c>
      <c r="M581" s="87"/>
      <c r="N581" s="87"/>
      <c r="O581" s="216"/>
      <c r="P581" s="92"/>
      <c r="Q581" s="92"/>
      <c r="R581" s="226"/>
      <c r="S581" s="414" t="s">
        <v>699</v>
      </c>
      <c r="T581" s="415"/>
    </row>
    <row r="582" spans="1:20" s="98" customFormat="1" ht="22.5" customHeight="1">
      <c r="A582" s="61" t="s">
        <v>644</v>
      </c>
      <c r="B582" s="7"/>
      <c r="C582" s="14" t="s">
        <v>51</v>
      </c>
      <c r="D582" s="95" t="s">
        <v>655</v>
      </c>
      <c r="E582" s="161" t="s">
        <v>656</v>
      </c>
      <c r="F582" s="97" t="s">
        <v>657</v>
      </c>
      <c r="G582" s="134">
        <v>39062</v>
      </c>
      <c r="H582" s="134">
        <v>39080</v>
      </c>
      <c r="I582" s="126" t="s">
        <v>275</v>
      </c>
      <c r="J582" s="31">
        <v>9000</v>
      </c>
      <c r="K582" s="120">
        <v>1800</v>
      </c>
      <c r="L582" s="205">
        <v>10800</v>
      </c>
      <c r="M582" s="31">
        <v>9000</v>
      </c>
      <c r="N582" s="31">
        <v>1800</v>
      </c>
      <c r="O582" s="190">
        <v>10800</v>
      </c>
      <c r="P582" s="92">
        <f aca="true" t="shared" si="171" ref="P582:P590">M582*0.65</f>
        <v>5850</v>
      </c>
      <c r="Q582" s="92">
        <f aca="true" t="shared" si="172" ref="Q582:Q590">N582*0.65</f>
        <v>1170</v>
      </c>
      <c r="R582" s="226">
        <f aca="true" t="shared" si="173" ref="R582:R590">+Q582+P582</f>
        <v>7020</v>
      </c>
      <c r="S582" s="414" t="s">
        <v>698</v>
      </c>
      <c r="T582" s="415"/>
    </row>
    <row r="583" spans="1:20" s="98" customFormat="1" ht="22.5" customHeight="1">
      <c r="A583" s="61" t="s">
        <v>644</v>
      </c>
      <c r="B583" s="7"/>
      <c r="C583" s="95" t="s">
        <v>151</v>
      </c>
      <c r="D583" s="95" t="s">
        <v>89</v>
      </c>
      <c r="E583" s="161" t="s">
        <v>90</v>
      </c>
      <c r="F583" s="97" t="s">
        <v>681</v>
      </c>
      <c r="G583" s="134">
        <v>39057</v>
      </c>
      <c r="H583" s="134">
        <v>39134</v>
      </c>
      <c r="I583" s="126" t="s">
        <v>95</v>
      </c>
      <c r="J583" s="31">
        <v>215.93</v>
      </c>
      <c r="K583" s="120">
        <v>43.27</v>
      </c>
      <c r="L583" s="205">
        <v>304</v>
      </c>
      <c r="M583" s="87">
        <v>119.45063829787235</v>
      </c>
      <c r="N583" s="87"/>
      <c r="O583" s="216">
        <f>+N583+M583</f>
        <v>119.45063829787235</v>
      </c>
      <c r="P583" s="92">
        <f t="shared" si="171"/>
        <v>77.64291489361703</v>
      </c>
      <c r="Q583" s="92">
        <f t="shared" si="172"/>
        <v>0</v>
      </c>
      <c r="R583" s="226">
        <f t="shared" si="173"/>
        <v>77.64291489361703</v>
      </c>
      <c r="S583" s="315"/>
      <c r="T583" s="316"/>
    </row>
    <row r="584" spans="1:20" s="98" customFormat="1" ht="22.5" customHeight="1">
      <c r="A584" s="61" t="s">
        <v>644</v>
      </c>
      <c r="B584" s="7"/>
      <c r="C584" s="95" t="s">
        <v>151</v>
      </c>
      <c r="D584" s="95" t="s">
        <v>89</v>
      </c>
      <c r="E584" s="161" t="s">
        <v>90</v>
      </c>
      <c r="F584" s="97" t="s">
        <v>682</v>
      </c>
      <c r="G584" s="134">
        <v>39057</v>
      </c>
      <c r="H584" s="134">
        <v>39134</v>
      </c>
      <c r="I584" s="126" t="s">
        <v>95</v>
      </c>
      <c r="J584" s="31">
        <v>45.78</v>
      </c>
      <c r="K584" s="120">
        <v>9.24</v>
      </c>
      <c r="L584" s="205">
        <v>59</v>
      </c>
      <c r="M584" s="87">
        <v>25.325106382978724</v>
      </c>
      <c r="N584" s="87"/>
      <c r="O584" s="216">
        <f aca="true" t="shared" si="174" ref="O584:O590">+N584+M584</f>
        <v>25.325106382978724</v>
      </c>
      <c r="P584" s="92">
        <f t="shared" si="171"/>
        <v>16.46131914893617</v>
      </c>
      <c r="Q584" s="92">
        <f t="shared" si="172"/>
        <v>0</v>
      </c>
      <c r="R584" s="226">
        <f t="shared" si="173"/>
        <v>16.46131914893617</v>
      </c>
      <c r="S584" s="315"/>
      <c r="T584" s="316"/>
    </row>
    <row r="585" spans="1:20" s="98" customFormat="1" ht="22.5" customHeight="1">
      <c r="A585" s="61" t="s">
        <v>644</v>
      </c>
      <c r="B585" s="7"/>
      <c r="C585" s="95" t="s">
        <v>151</v>
      </c>
      <c r="D585" s="95" t="s">
        <v>89</v>
      </c>
      <c r="E585" s="161" t="s">
        <v>90</v>
      </c>
      <c r="F585" s="97" t="s">
        <v>683</v>
      </c>
      <c r="G585" s="134">
        <v>39057</v>
      </c>
      <c r="H585" s="134">
        <v>39134</v>
      </c>
      <c r="I585" s="126" t="s">
        <v>95</v>
      </c>
      <c r="J585" s="31">
        <v>698.17</v>
      </c>
      <c r="K585" s="120">
        <v>139.72</v>
      </c>
      <c r="L585" s="205">
        <v>867</v>
      </c>
      <c r="M585" s="87">
        <v>386.22170212765957</v>
      </c>
      <c r="N585" s="87"/>
      <c r="O585" s="216">
        <f t="shared" si="174"/>
        <v>386.22170212765957</v>
      </c>
      <c r="P585" s="92">
        <f t="shared" si="171"/>
        <v>251.04410638297873</v>
      </c>
      <c r="Q585" s="92">
        <f t="shared" si="172"/>
        <v>0</v>
      </c>
      <c r="R585" s="226">
        <f t="shared" si="173"/>
        <v>251.04410638297873</v>
      </c>
      <c r="S585" s="315"/>
      <c r="T585" s="316"/>
    </row>
    <row r="586" spans="1:20" s="98" customFormat="1" ht="22.5" customHeight="1">
      <c r="A586" s="61" t="s">
        <v>644</v>
      </c>
      <c r="B586" s="7"/>
      <c r="C586" s="95" t="s">
        <v>151</v>
      </c>
      <c r="D586" s="95" t="s">
        <v>89</v>
      </c>
      <c r="E586" s="161" t="s">
        <v>90</v>
      </c>
      <c r="F586" s="97" t="s">
        <v>684</v>
      </c>
      <c r="G586" s="134">
        <v>39057</v>
      </c>
      <c r="H586" s="134">
        <v>39134</v>
      </c>
      <c r="I586" s="126" t="s">
        <v>95</v>
      </c>
      <c r="J586" s="31">
        <v>812.75</v>
      </c>
      <c r="K586" s="120">
        <v>162.64</v>
      </c>
      <c r="L586" s="205">
        <v>1094</v>
      </c>
      <c r="M586" s="87">
        <v>449.60638297872345</v>
      </c>
      <c r="N586" s="87"/>
      <c r="O586" s="216">
        <f t="shared" si="174"/>
        <v>449.60638297872345</v>
      </c>
      <c r="P586" s="92">
        <f t="shared" si="171"/>
        <v>292.24414893617023</v>
      </c>
      <c r="Q586" s="92">
        <f t="shared" si="172"/>
        <v>0</v>
      </c>
      <c r="R586" s="226">
        <f t="shared" si="173"/>
        <v>292.24414893617023</v>
      </c>
      <c r="S586" s="315"/>
      <c r="T586" s="316"/>
    </row>
    <row r="587" spans="1:20" s="98" customFormat="1" ht="22.5" customHeight="1">
      <c r="A587" s="61" t="s">
        <v>644</v>
      </c>
      <c r="B587" s="7"/>
      <c r="C587" s="95" t="s">
        <v>151</v>
      </c>
      <c r="D587" s="95" t="s">
        <v>105</v>
      </c>
      <c r="E587" s="161" t="s">
        <v>106</v>
      </c>
      <c r="F587" s="97" t="s">
        <v>701</v>
      </c>
      <c r="G587" s="134">
        <v>39023</v>
      </c>
      <c r="H587" s="134">
        <v>39073</v>
      </c>
      <c r="I587" s="126" t="s">
        <v>411</v>
      </c>
      <c r="J587" s="31">
        <v>2137.69</v>
      </c>
      <c r="K587" s="120">
        <v>427.54</v>
      </c>
      <c r="L587" s="205">
        <v>2574.01</v>
      </c>
      <c r="M587" s="87">
        <v>1182.551914893617</v>
      </c>
      <c r="N587" s="87"/>
      <c r="O587" s="216">
        <f t="shared" si="174"/>
        <v>1182.551914893617</v>
      </c>
      <c r="P587" s="92">
        <f t="shared" si="171"/>
        <v>768.6587446808511</v>
      </c>
      <c r="Q587" s="92">
        <f t="shared" si="172"/>
        <v>0</v>
      </c>
      <c r="R587" s="226">
        <f t="shared" si="173"/>
        <v>768.6587446808511</v>
      </c>
      <c r="S587" s="315"/>
      <c r="T587" s="316"/>
    </row>
    <row r="588" spans="1:20" s="98" customFormat="1" ht="22.5" customHeight="1">
      <c r="A588" s="61" t="s">
        <v>644</v>
      </c>
      <c r="B588" s="7"/>
      <c r="C588" s="95" t="s">
        <v>151</v>
      </c>
      <c r="D588" s="95" t="s">
        <v>105</v>
      </c>
      <c r="E588" s="161" t="s">
        <v>106</v>
      </c>
      <c r="F588" s="97" t="s">
        <v>547</v>
      </c>
      <c r="G588" s="134">
        <v>39053</v>
      </c>
      <c r="H588" s="134">
        <v>39099</v>
      </c>
      <c r="I588" s="126" t="s">
        <v>411</v>
      </c>
      <c r="J588" s="31">
        <v>1435.4</v>
      </c>
      <c r="K588" s="120">
        <v>287.08</v>
      </c>
      <c r="L588" s="205">
        <v>1732.77</v>
      </c>
      <c r="M588" s="87">
        <v>794.0510638297873</v>
      </c>
      <c r="N588" s="87"/>
      <c r="O588" s="216">
        <f t="shared" si="174"/>
        <v>794.0510638297873</v>
      </c>
      <c r="P588" s="92">
        <f t="shared" si="171"/>
        <v>516.1331914893617</v>
      </c>
      <c r="Q588" s="92">
        <f t="shared" si="172"/>
        <v>0</v>
      </c>
      <c r="R588" s="226">
        <f t="shared" si="173"/>
        <v>516.1331914893617</v>
      </c>
      <c r="S588" s="315"/>
      <c r="T588" s="316"/>
    </row>
    <row r="589" spans="1:20" s="98" customFormat="1" ht="22.5" customHeight="1">
      <c r="A589" s="61" t="s">
        <v>644</v>
      </c>
      <c r="B589" s="7"/>
      <c r="C589" s="95" t="s">
        <v>151</v>
      </c>
      <c r="D589" s="95" t="s">
        <v>105</v>
      </c>
      <c r="E589" s="161" t="s">
        <v>106</v>
      </c>
      <c r="F589" s="97" t="s">
        <v>548</v>
      </c>
      <c r="G589" s="134">
        <v>39087</v>
      </c>
      <c r="H589" s="134">
        <v>39134</v>
      </c>
      <c r="I589" s="126" t="s">
        <v>411</v>
      </c>
      <c r="J589" s="31">
        <v>1747.5</v>
      </c>
      <c r="K589" s="120">
        <v>349.5</v>
      </c>
      <c r="L589" s="205">
        <v>2111.41</v>
      </c>
      <c r="M589" s="87">
        <v>966.7021276595746</v>
      </c>
      <c r="N589" s="87"/>
      <c r="O589" s="216">
        <f t="shared" si="174"/>
        <v>966.7021276595746</v>
      </c>
      <c r="P589" s="92">
        <f t="shared" si="171"/>
        <v>628.3563829787234</v>
      </c>
      <c r="Q589" s="92">
        <f t="shared" si="172"/>
        <v>0</v>
      </c>
      <c r="R589" s="226">
        <f t="shared" si="173"/>
        <v>628.3563829787234</v>
      </c>
      <c r="S589" s="315"/>
      <c r="T589" s="316"/>
    </row>
    <row r="590" spans="1:20" s="98" customFormat="1" ht="22.5" customHeight="1">
      <c r="A590" s="61" t="s">
        <v>644</v>
      </c>
      <c r="B590" s="7"/>
      <c r="C590" s="95" t="s">
        <v>151</v>
      </c>
      <c r="D590" s="95" t="s">
        <v>105</v>
      </c>
      <c r="E590" s="161" t="s">
        <v>106</v>
      </c>
      <c r="F590" s="97" t="s">
        <v>549</v>
      </c>
      <c r="G590" s="134">
        <v>39115</v>
      </c>
      <c r="H590" s="134">
        <v>39153</v>
      </c>
      <c r="I590" s="126" t="s">
        <v>411</v>
      </c>
      <c r="J590" s="31">
        <v>1886.77</v>
      </c>
      <c r="K590" s="120">
        <v>377.35</v>
      </c>
      <c r="L590" s="205">
        <v>2272.71</v>
      </c>
      <c r="M590" s="87">
        <v>1043.7451063829787</v>
      </c>
      <c r="N590" s="87"/>
      <c r="O590" s="216">
        <f t="shared" si="174"/>
        <v>1043.7451063829787</v>
      </c>
      <c r="P590" s="92">
        <f t="shared" si="171"/>
        <v>678.4343191489362</v>
      </c>
      <c r="Q590" s="92">
        <f t="shared" si="172"/>
        <v>0</v>
      </c>
      <c r="R590" s="226">
        <f t="shared" si="173"/>
        <v>678.4343191489362</v>
      </c>
      <c r="S590" s="315"/>
      <c r="T590" s="316"/>
    </row>
    <row r="591" spans="1:20" s="98" customFormat="1" ht="22.5" customHeight="1">
      <c r="A591" s="61" t="s">
        <v>644</v>
      </c>
      <c r="B591" s="7"/>
      <c r="C591" s="95" t="s">
        <v>151</v>
      </c>
      <c r="D591" s="95" t="s">
        <v>113</v>
      </c>
      <c r="E591" s="161" t="s">
        <v>114</v>
      </c>
      <c r="F591" s="97" t="s">
        <v>702</v>
      </c>
      <c r="G591" s="134">
        <v>39029</v>
      </c>
      <c r="H591" s="134">
        <v>39069</v>
      </c>
      <c r="I591" s="126" t="s">
        <v>411</v>
      </c>
      <c r="J591" s="31">
        <v>22.6</v>
      </c>
      <c r="K591" s="120">
        <v>4.52</v>
      </c>
      <c r="L591" s="205">
        <v>27.17</v>
      </c>
      <c r="M591" s="87">
        <v>22.6</v>
      </c>
      <c r="N591" s="87"/>
      <c r="O591" s="216">
        <f aca="true" t="shared" si="175" ref="O591:O596">+N591+M591</f>
        <v>22.6</v>
      </c>
      <c r="P591" s="92">
        <f aca="true" t="shared" si="176" ref="P591:P596">M591*0.65</f>
        <v>14.690000000000001</v>
      </c>
      <c r="Q591" s="92">
        <f aca="true" t="shared" si="177" ref="Q591:Q596">N591*0.65</f>
        <v>0</v>
      </c>
      <c r="R591" s="226">
        <f aca="true" t="shared" si="178" ref="R591:R596">+Q591+P591</f>
        <v>14.690000000000001</v>
      </c>
      <c r="S591" s="315"/>
      <c r="T591" s="316"/>
    </row>
    <row r="592" spans="1:20" s="98" customFormat="1" ht="22.5" customHeight="1">
      <c r="A592" s="61" t="s">
        <v>644</v>
      </c>
      <c r="B592" s="7"/>
      <c r="C592" s="95" t="s">
        <v>151</v>
      </c>
      <c r="D592" s="95" t="s">
        <v>113</v>
      </c>
      <c r="E592" s="161" t="s">
        <v>114</v>
      </c>
      <c r="F592" s="97" t="s">
        <v>703</v>
      </c>
      <c r="G592" s="134">
        <v>39029</v>
      </c>
      <c r="H592" s="134">
        <v>39069</v>
      </c>
      <c r="I592" s="126" t="s">
        <v>411</v>
      </c>
      <c r="J592" s="31">
        <v>273.38</v>
      </c>
      <c r="K592" s="120">
        <v>54.68</v>
      </c>
      <c r="L592" s="205">
        <v>329.25</v>
      </c>
      <c r="M592" s="87">
        <v>151.23148936170213</v>
      </c>
      <c r="N592" s="87"/>
      <c r="O592" s="216">
        <f t="shared" si="175"/>
        <v>151.23148936170213</v>
      </c>
      <c r="P592" s="92">
        <f t="shared" si="176"/>
        <v>98.30046808510639</v>
      </c>
      <c r="Q592" s="92">
        <f t="shared" si="177"/>
        <v>0</v>
      </c>
      <c r="R592" s="226">
        <f t="shared" si="178"/>
        <v>98.30046808510639</v>
      </c>
      <c r="S592" s="315"/>
      <c r="T592" s="316"/>
    </row>
    <row r="593" spans="1:20" s="98" customFormat="1" ht="22.5" customHeight="1">
      <c r="A593" s="61" t="s">
        <v>644</v>
      </c>
      <c r="B593" s="7"/>
      <c r="C593" s="95" t="s">
        <v>151</v>
      </c>
      <c r="D593" s="95" t="s">
        <v>113</v>
      </c>
      <c r="E593" s="161" t="s">
        <v>114</v>
      </c>
      <c r="F593" s="97" t="s">
        <v>704</v>
      </c>
      <c r="G593" s="134">
        <v>39069</v>
      </c>
      <c r="H593" s="134">
        <v>39099</v>
      </c>
      <c r="I593" s="126" t="s">
        <v>411</v>
      </c>
      <c r="J593" s="31">
        <v>797.31</v>
      </c>
      <c r="K593" s="120">
        <v>159.46</v>
      </c>
      <c r="L593" s="205">
        <v>956.77</v>
      </c>
      <c r="M593" s="87">
        <v>441.0651063829787</v>
      </c>
      <c r="N593" s="87"/>
      <c r="O593" s="216">
        <f t="shared" si="175"/>
        <v>441.0651063829787</v>
      </c>
      <c r="P593" s="92">
        <f t="shared" si="176"/>
        <v>286.6923191489362</v>
      </c>
      <c r="Q593" s="92">
        <f t="shared" si="177"/>
        <v>0</v>
      </c>
      <c r="R593" s="226">
        <f t="shared" si="178"/>
        <v>286.6923191489362</v>
      </c>
      <c r="S593" s="315"/>
      <c r="T593" s="316"/>
    </row>
    <row r="594" spans="1:20" s="98" customFormat="1" ht="22.5" customHeight="1">
      <c r="A594" s="61" t="s">
        <v>644</v>
      </c>
      <c r="B594" s="7"/>
      <c r="C594" s="95" t="s">
        <v>151</v>
      </c>
      <c r="D594" s="95" t="s">
        <v>113</v>
      </c>
      <c r="E594" s="161" t="s">
        <v>114</v>
      </c>
      <c r="F594" s="97" t="s">
        <v>705</v>
      </c>
      <c r="G594" s="134">
        <v>39069</v>
      </c>
      <c r="H594" s="134">
        <v>39099</v>
      </c>
      <c r="I594" s="126" t="s">
        <v>411</v>
      </c>
      <c r="J594" s="31">
        <v>59.19</v>
      </c>
      <c r="K594" s="120">
        <v>11.84</v>
      </c>
      <c r="L594" s="205">
        <v>71.03</v>
      </c>
      <c r="M594" s="87">
        <v>59.19</v>
      </c>
      <c r="N594" s="87"/>
      <c r="O594" s="216">
        <f t="shared" si="175"/>
        <v>59.19</v>
      </c>
      <c r="P594" s="92">
        <f t="shared" si="176"/>
        <v>38.4735</v>
      </c>
      <c r="Q594" s="92">
        <f t="shared" si="177"/>
        <v>0</v>
      </c>
      <c r="R594" s="226">
        <f t="shared" si="178"/>
        <v>38.4735</v>
      </c>
      <c r="S594" s="315"/>
      <c r="T594" s="316"/>
    </row>
    <row r="595" spans="1:20" s="98" customFormat="1" ht="22.5" customHeight="1">
      <c r="A595" s="61" t="s">
        <v>644</v>
      </c>
      <c r="B595" s="7"/>
      <c r="C595" s="95" t="s">
        <v>151</v>
      </c>
      <c r="D595" s="95" t="s">
        <v>113</v>
      </c>
      <c r="E595" s="161" t="s">
        <v>685</v>
      </c>
      <c r="F595" s="97" t="s">
        <v>706</v>
      </c>
      <c r="G595" s="134">
        <v>39105</v>
      </c>
      <c r="H595" s="134">
        <v>39153</v>
      </c>
      <c r="I595" s="126" t="s">
        <v>411</v>
      </c>
      <c r="J595" s="31">
        <v>73.35</v>
      </c>
      <c r="K595" s="120">
        <v>14.67</v>
      </c>
      <c r="L595" s="205">
        <v>88.18</v>
      </c>
      <c r="M595" s="87">
        <v>73.35</v>
      </c>
      <c r="N595" s="87"/>
      <c r="O595" s="216">
        <f t="shared" si="175"/>
        <v>73.35</v>
      </c>
      <c r="P595" s="92">
        <f t="shared" si="176"/>
        <v>47.677499999999995</v>
      </c>
      <c r="Q595" s="92">
        <f t="shared" si="177"/>
        <v>0</v>
      </c>
      <c r="R595" s="226">
        <f t="shared" si="178"/>
        <v>47.677499999999995</v>
      </c>
      <c r="S595" s="315"/>
      <c r="T595" s="316"/>
    </row>
    <row r="596" spans="1:20" s="98" customFormat="1" ht="22.5" customHeight="1">
      <c r="A596" s="61" t="s">
        <v>644</v>
      </c>
      <c r="B596" s="7"/>
      <c r="C596" s="95" t="s">
        <v>151</v>
      </c>
      <c r="D596" s="95" t="s">
        <v>113</v>
      </c>
      <c r="E596" s="161" t="s">
        <v>685</v>
      </c>
      <c r="F596" s="97" t="s">
        <v>707</v>
      </c>
      <c r="G596" s="134">
        <v>39105</v>
      </c>
      <c r="H596" s="134">
        <v>39153</v>
      </c>
      <c r="I596" s="126" t="s">
        <v>411</v>
      </c>
      <c r="J596" s="31">
        <v>823.66</v>
      </c>
      <c r="K596" s="120">
        <v>164.73</v>
      </c>
      <c r="L596" s="205">
        <v>990.43</v>
      </c>
      <c r="M596" s="87">
        <v>455.6417021276596</v>
      </c>
      <c r="N596" s="87"/>
      <c r="O596" s="216">
        <f t="shared" si="175"/>
        <v>455.6417021276596</v>
      </c>
      <c r="P596" s="92">
        <f t="shared" si="176"/>
        <v>296.1671063829787</v>
      </c>
      <c r="Q596" s="92">
        <f t="shared" si="177"/>
        <v>0</v>
      </c>
      <c r="R596" s="226">
        <f t="shared" si="178"/>
        <v>296.1671063829787</v>
      </c>
      <c r="S596" s="315"/>
      <c r="T596" s="316"/>
    </row>
    <row r="597" spans="1:20" s="98" customFormat="1" ht="22.5" customHeight="1">
      <c r="A597" s="61" t="s">
        <v>644</v>
      </c>
      <c r="B597" s="7"/>
      <c r="C597" s="95" t="s">
        <v>151</v>
      </c>
      <c r="D597" s="95" t="s">
        <v>115</v>
      </c>
      <c r="E597" s="161" t="s">
        <v>38</v>
      </c>
      <c r="F597" s="97" t="s">
        <v>708</v>
      </c>
      <c r="G597" s="134">
        <v>39017</v>
      </c>
      <c r="H597" s="134">
        <v>39062</v>
      </c>
      <c r="I597" s="126" t="s">
        <v>411</v>
      </c>
      <c r="J597" s="31">
        <v>137.3</v>
      </c>
      <c r="K597" s="120">
        <v>13.73</v>
      </c>
      <c r="L597" s="205">
        <v>151.39</v>
      </c>
      <c r="M597" s="87">
        <v>75.95319148936171</v>
      </c>
      <c r="N597" s="87"/>
      <c r="O597" s="216">
        <f aca="true" t="shared" si="179" ref="O597:O602">+N597+M597</f>
        <v>75.95319148936171</v>
      </c>
      <c r="P597" s="92">
        <f aca="true" t="shared" si="180" ref="P597:P602">M597*0.65</f>
        <v>49.36957446808512</v>
      </c>
      <c r="Q597" s="92">
        <f aca="true" t="shared" si="181" ref="Q597:Q602">N597*0.65</f>
        <v>0</v>
      </c>
      <c r="R597" s="226">
        <f aca="true" t="shared" si="182" ref="R597:R602">+Q597+P597</f>
        <v>49.36957446808512</v>
      </c>
      <c r="S597" s="315"/>
      <c r="T597" s="316"/>
    </row>
    <row r="598" spans="1:20" s="98" customFormat="1" ht="22.5" customHeight="1">
      <c r="A598" s="61" t="s">
        <v>644</v>
      </c>
      <c r="B598" s="7"/>
      <c r="C598" s="95" t="s">
        <v>151</v>
      </c>
      <c r="D598" s="95" t="s">
        <v>431</v>
      </c>
      <c r="E598" s="161" t="s">
        <v>117</v>
      </c>
      <c r="F598" s="97" t="s">
        <v>686</v>
      </c>
      <c r="G598" s="134">
        <v>39084</v>
      </c>
      <c r="H598" s="134">
        <v>39085</v>
      </c>
      <c r="I598" s="126" t="s">
        <v>687</v>
      </c>
      <c r="J598" s="31">
        <v>246.64</v>
      </c>
      <c r="K598" s="120">
        <v>49.33</v>
      </c>
      <c r="L598" s="205">
        <v>295.97</v>
      </c>
      <c r="M598" s="87">
        <v>136.4391489361702</v>
      </c>
      <c r="N598" s="87"/>
      <c r="O598" s="216">
        <f t="shared" si="179"/>
        <v>136.4391489361702</v>
      </c>
      <c r="P598" s="92">
        <f t="shared" si="180"/>
        <v>88.68544680851063</v>
      </c>
      <c r="Q598" s="92">
        <f t="shared" si="181"/>
        <v>0</v>
      </c>
      <c r="R598" s="226">
        <f t="shared" si="182"/>
        <v>88.68544680851063</v>
      </c>
      <c r="S598" s="315"/>
      <c r="T598" s="316"/>
    </row>
    <row r="599" spans="1:20" s="98" customFormat="1" ht="22.5" customHeight="1">
      <c r="A599" s="61" t="s">
        <v>644</v>
      </c>
      <c r="B599" s="7"/>
      <c r="C599" s="95" t="s">
        <v>151</v>
      </c>
      <c r="D599" s="95" t="s">
        <v>120</v>
      </c>
      <c r="E599" s="161" t="s">
        <v>315</v>
      </c>
      <c r="F599" s="97">
        <v>82</v>
      </c>
      <c r="G599" s="134">
        <v>39051</v>
      </c>
      <c r="H599" s="134">
        <v>39062</v>
      </c>
      <c r="I599" s="126" t="s">
        <v>688</v>
      </c>
      <c r="J599" s="31">
        <v>1450</v>
      </c>
      <c r="K599" s="120">
        <v>290</v>
      </c>
      <c r="L599" s="205">
        <v>1740</v>
      </c>
      <c r="M599" s="87">
        <v>802.1276595744681</v>
      </c>
      <c r="N599" s="87"/>
      <c r="O599" s="216">
        <f t="shared" si="179"/>
        <v>802.1276595744681</v>
      </c>
      <c r="P599" s="92">
        <f t="shared" si="180"/>
        <v>521.3829787234043</v>
      </c>
      <c r="Q599" s="92">
        <f t="shared" si="181"/>
        <v>0</v>
      </c>
      <c r="R599" s="226">
        <f t="shared" si="182"/>
        <v>521.3829787234043</v>
      </c>
      <c r="S599" s="315"/>
      <c r="T599" s="316"/>
    </row>
    <row r="600" spans="1:20" s="98" customFormat="1" ht="22.5" customHeight="1">
      <c r="A600" s="61" t="s">
        <v>644</v>
      </c>
      <c r="B600" s="7"/>
      <c r="C600" s="95" t="s">
        <v>151</v>
      </c>
      <c r="D600" s="95" t="s">
        <v>120</v>
      </c>
      <c r="E600" s="161" t="s">
        <v>315</v>
      </c>
      <c r="F600" s="97">
        <v>89</v>
      </c>
      <c r="G600" s="134">
        <v>39082</v>
      </c>
      <c r="H600" s="134">
        <v>39094</v>
      </c>
      <c r="I600" s="126" t="s">
        <v>689</v>
      </c>
      <c r="J600" s="31">
        <v>1300</v>
      </c>
      <c r="K600" s="120">
        <v>260</v>
      </c>
      <c r="L600" s="205">
        <v>1560</v>
      </c>
      <c r="M600" s="87">
        <v>719.1489361702128</v>
      </c>
      <c r="N600" s="87"/>
      <c r="O600" s="216">
        <f t="shared" si="179"/>
        <v>719.1489361702128</v>
      </c>
      <c r="P600" s="92">
        <f t="shared" si="180"/>
        <v>467.44680851063833</v>
      </c>
      <c r="Q600" s="92">
        <f t="shared" si="181"/>
        <v>0</v>
      </c>
      <c r="R600" s="226">
        <f t="shared" si="182"/>
        <v>467.44680851063833</v>
      </c>
      <c r="S600" s="315"/>
      <c r="T600" s="316"/>
    </row>
    <row r="601" spans="1:20" s="98" customFormat="1" ht="22.5" customHeight="1">
      <c r="A601" s="61" t="s">
        <v>644</v>
      </c>
      <c r="B601" s="7"/>
      <c r="C601" s="95" t="s">
        <v>151</v>
      </c>
      <c r="D601" s="95" t="s">
        <v>120</v>
      </c>
      <c r="E601" s="161" t="s">
        <v>315</v>
      </c>
      <c r="F601" s="97">
        <v>4</v>
      </c>
      <c r="G601" s="134">
        <v>39113</v>
      </c>
      <c r="H601" s="134">
        <v>39133</v>
      </c>
      <c r="I601" s="126" t="s">
        <v>690</v>
      </c>
      <c r="J601" s="31">
        <v>1300</v>
      </c>
      <c r="K601" s="120">
        <v>260</v>
      </c>
      <c r="L601" s="205">
        <v>1560</v>
      </c>
      <c r="M601" s="87">
        <v>719.1489361702128</v>
      </c>
      <c r="N601" s="87"/>
      <c r="O601" s="216">
        <f t="shared" si="179"/>
        <v>719.1489361702128</v>
      </c>
      <c r="P601" s="92">
        <f t="shared" si="180"/>
        <v>467.44680851063833</v>
      </c>
      <c r="Q601" s="92">
        <f t="shared" si="181"/>
        <v>0</v>
      </c>
      <c r="R601" s="226">
        <f t="shared" si="182"/>
        <v>467.44680851063833</v>
      </c>
      <c r="S601" s="315"/>
      <c r="T601" s="316"/>
    </row>
    <row r="602" spans="1:20" s="98" customFormat="1" ht="22.5" customHeight="1">
      <c r="A602" s="61" t="s">
        <v>644</v>
      </c>
      <c r="B602" s="7"/>
      <c r="C602" s="95" t="s">
        <v>151</v>
      </c>
      <c r="D602" s="95" t="s">
        <v>120</v>
      </c>
      <c r="E602" s="161" t="s">
        <v>315</v>
      </c>
      <c r="F602" s="97">
        <v>11</v>
      </c>
      <c r="G602" s="134">
        <v>39141</v>
      </c>
      <c r="H602" s="134">
        <v>39154</v>
      </c>
      <c r="I602" s="126" t="s">
        <v>691</v>
      </c>
      <c r="J602" s="31">
        <v>1300</v>
      </c>
      <c r="K602" s="120">
        <v>260</v>
      </c>
      <c r="L602" s="205">
        <v>1560</v>
      </c>
      <c r="M602" s="87">
        <v>719.1489361702128</v>
      </c>
      <c r="N602" s="87"/>
      <c r="O602" s="216">
        <f t="shared" si="179"/>
        <v>719.1489361702128</v>
      </c>
      <c r="P602" s="92">
        <f t="shared" si="180"/>
        <v>467.44680851063833</v>
      </c>
      <c r="Q602" s="92">
        <f t="shared" si="181"/>
        <v>0</v>
      </c>
      <c r="R602" s="226">
        <f t="shared" si="182"/>
        <v>467.44680851063833</v>
      </c>
      <c r="S602" s="315"/>
      <c r="T602" s="316"/>
    </row>
    <row r="603" spans="1:20" s="98" customFormat="1" ht="22.5" customHeight="1">
      <c r="A603" s="61" t="s">
        <v>710</v>
      </c>
      <c r="B603" s="7"/>
      <c r="C603" s="95" t="s">
        <v>151</v>
      </c>
      <c r="D603" s="95" t="s">
        <v>89</v>
      </c>
      <c r="E603" s="161" t="s">
        <v>90</v>
      </c>
      <c r="F603" s="97" t="s">
        <v>724</v>
      </c>
      <c r="G603" s="134">
        <v>39119</v>
      </c>
      <c r="H603" s="134">
        <v>39175</v>
      </c>
      <c r="I603" s="126" t="s">
        <v>196</v>
      </c>
      <c r="J603" s="31">
        <v>141.55</v>
      </c>
      <c r="K603" s="120">
        <v>28.4</v>
      </c>
      <c r="L603" s="205">
        <v>194</v>
      </c>
      <c r="M603" s="87">
        <v>63.340999999999994</v>
      </c>
      <c r="N603" s="87"/>
      <c r="O603" s="216">
        <f>+N603+M603</f>
        <v>63.340999999999994</v>
      </c>
      <c r="P603" s="92">
        <f>M603*0.65</f>
        <v>41.17165</v>
      </c>
      <c r="Q603" s="92">
        <f>N603*0.65</f>
        <v>0</v>
      </c>
      <c r="R603" s="226">
        <f>+Q603+P603</f>
        <v>41.17165</v>
      </c>
      <c r="S603" s="414" t="s">
        <v>717</v>
      </c>
      <c r="T603" s="415"/>
    </row>
    <row r="604" spans="1:20" s="98" customFormat="1" ht="22.5" customHeight="1">
      <c r="A604" s="61" t="s">
        <v>710</v>
      </c>
      <c r="B604" s="7"/>
      <c r="C604" s="95" t="s">
        <v>151</v>
      </c>
      <c r="D604" s="95" t="s">
        <v>89</v>
      </c>
      <c r="E604" s="161" t="s">
        <v>90</v>
      </c>
      <c r="F604" s="97" t="s">
        <v>725</v>
      </c>
      <c r="G604" s="134">
        <v>39119</v>
      </c>
      <c r="H604" s="134">
        <v>39175</v>
      </c>
      <c r="I604" s="126" t="s">
        <v>196</v>
      </c>
      <c r="J604" s="31">
        <v>92.65</v>
      </c>
      <c r="K604" s="120">
        <v>18.62</v>
      </c>
      <c r="L604" s="205">
        <v>113.5</v>
      </c>
      <c r="M604" s="87">
        <v>37.057750000000006</v>
      </c>
      <c r="N604" s="87"/>
      <c r="O604" s="216">
        <f aca="true" t="shared" si="183" ref="O604:O632">+N604+M604</f>
        <v>37.057750000000006</v>
      </c>
      <c r="P604" s="92">
        <f aca="true" t="shared" si="184" ref="P604:P632">M604*0.65</f>
        <v>24.087537500000003</v>
      </c>
      <c r="Q604" s="92">
        <f aca="true" t="shared" si="185" ref="Q604:Q632">N604*0.65</f>
        <v>0</v>
      </c>
      <c r="R604" s="226">
        <f aca="true" t="shared" si="186" ref="R604:R632">+Q604+P604</f>
        <v>24.087537500000003</v>
      </c>
      <c r="S604" s="414" t="s">
        <v>717</v>
      </c>
      <c r="T604" s="415"/>
    </row>
    <row r="605" spans="1:20" s="98" customFormat="1" ht="22.5" customHeight="1">
      <c r="A605" s="61" t="s">
        <v>710</v>
      </c>
      <c r="B605" s="7"/>
      <c r="C605" s="95" t="s">
        <v>151</v>
      </c>
      <c r="D605" s="95" t="s">
        <v>89</v>
      </c>
      <c r="E605" s="161" t="s">
        <v>90</v>
      </c>
      <c r="F605" s="97" t="s">
        <v>726</v>
      </c>
      <c r="G605" s="134">
        <v>39119</v>
      </c>
      <c r="H605" s="134">
        <v>39175</v>
      </c>
      <c r="I605" s="126" t="s">
        <v>196</v>
      </c>
      <c r="J605" s="31">
        <v>41.61</v>
      </c>
      <c r="K605" s="120">
        <v>8.41</v>
      </c>
      <c r="L605" s="205">
        <v>51.5</v>
      </c>
      <c r="M605" s="87">
        <v>16.81475</v>
      </c>
      <c r="N605" s="87"/>
      <c r="O605" s="216">
        <f t="shared" si="183"/>
        <v>16.81475</v>
      </c>
      <c r="P605" s="92">
        <f t="shared" si="184"/>
        <v>10.9295875</v>
      </c>
      <c r="Q605" s="92">
        <f t="shared" si="185"/>
        <v>0</v>
      </c>
      <c r="R605" s="226">
        <f t="shared" si="186"/>
        <v>10.9295875</v>
      </c>
      <c r="S605" s="414" t="s">
        <v>717</v>
      </c>
      <c r="T605" s="415"/>
    </row>
    <row r="606" spans="1:20" s="98" customFormat="1" ht="22.5" customHeight="1">
      <c r="A606" s="61" t="s">
        <v>710</v>
      </c>
      <c r="B606" s="7"/>
      <c r="C606" s="95" t="s">
        <v>151</v>
      </c>
      <c r="D606" s="95" t="s">
        <v>89</v>
      </c>
      <c r="E606" s="161" t="s">
        <v>90</v>
      </c>
      <c r="F606" s="97" t="s">
        <v>727</v>
      </c>
      <c r="G606" s="134">
        <v>39119</v>
      </c>
      <c r="H606" s="134">
        <v>39175</v>
      </c>
      <c r="I606" s="126" t="s">
        <v>196</v>
      </c>
      <c r="J606" s="31">
        <v>284.94</v>
      </c>
      <c r="K606" s="120">
        <v>76.52</v>
      </c>
      <c r="L606" s="205">
        <v>462.5</v>
      </c>
      <c r="M606" s="87">
        <v>151.00625</v>
      </c>
      <c r="N606" s="87"/>
      <c r="O606" s="216">
        <f t="shared" si="183"/>
        <v>151.00625</v>
      </c>
      <c r="P606" s="92">
        <f t="shared" si="184"/>
        <v>98.1540625</v>
      </c>
      <c r="Q606" s="92">
        <f t="shared" si="185"/>
        <v>0</v>
      </c>
      <c r="R606" s="226">
        <f t="shared" si="186"/>
        <v>98.1540625</v>
      </c>
      <c r="S606" s="414" t="s">
        <v>717</v>
      </c>
      <c r="T606" s="415"/>
    </row>
    <row r="607" spans="1:20" s="98" customFormat="1" ht="22.5" customHeight="1">
      <c r="A607" s="61" t="s">
        <v>710</v>
      </c>
      <c r="B607" s="7"/>
      <c r="C607" s="95" t="s">
        <v>151</v>
      </c>
      <c r="D607" s="95" t="s">
        <v>89</v>
      </c>
      <c r="E607" s="161" t="s">
        <v>90</v>
      </c>
      <c r="F607" s="97" t="s">
        <v>728</v>
      </c>
      <c r="G607" s="134">
        <v>39177</v>
      </c>
      <c r="H607" s="134">
        <v>39220</v>
      </c>
      <c r="I607" s="126" t="s">
        <v>196</v>
      </c>
      <c r="J607" s="31">
        <v>291.12</v>
      </c>
      <c r="K607" s="120">
        <v>58.37</v>
      </c>
      <c r="L607" s="205">
        <v>350.5</v>
      </c>
      <c r="M607" s="87">
        <v>114.43825000000001</v>
      </c>
      <c r="N607" s="87"/>
      <c r="O607" s="216">
        <f t="shared" si="183"/>
        <v>114.43825000000001</v>
      </c>
      <c r="P607" s="92">
        <f t="shared" si="184"/>
        <v>74.38486250000001</v>
      </c>
      <c r="Q607" s="92">
        <f t="shared" si="185"/>
        <v>0</v>
      </c>
      <c r="R607" s="226">
        <f t="shared" si="186"/>
        <v>74.38486250000001</v>
      </c>
      <c r="S607" s="414" t="s">
        <v>717</v>
      </c>
      <c r="T607" s="415"/>
    </row>
    <row r="608" spans="1:20" s="98" customFormat="1" ht="22.5" customHeight="1">
      <c r="A608" s="61" t="s">
        <v>710</v>
      </c>
      <c r="B608" s="7"/>
      <c r="C608" s="95" t="s">
        <v>151</v>
      </c>
      <c r="D608" s="95" t="s">
        <v>89</v>
      </c>
      <c r="E608" s="161" t="s">
        <v>90</v>
      </c>
      <c r="F608" s="97" t="s">
        <v>729</v>
      </c>
      <c r="G608" s="134">
        <v>39177</v>
      </c>
      <c r="H608" s="134">
        <v>39220</v>
      </c>
      <c r="I608" s="126" t="s">
        <v>196</v>
      </c>
      <c r="J608" s="31">
        <v>145.15</v>
      </c>
      <c r="K608" s="120">
        <v>29.12</v>
      </c>
      <c r="L608" s="205">
        <v>174.5</v>
      </c>
      <c r="M608" s="87">
        <v>56.97425000000001</v>
      </c>
      <c r="N608" s="87"/>
      <c r="O608" s="216">
        <f t="shared" si="183"/>
        <v>56.97425000000001</v>
      </c>
      <c r="P608" s="92">
        <f t="shared" si="184"/>
        <v>37.033262500000006</v>
      </c>
      <c r="Q608" s="92">
        <f t="shared" si="185"/>
        <v>0</v>
      </c>
      <c r="R608" s="226">
        <f t="shared" si="186"/>
        <v>37.033262500000006</v>
      </c>
      <c r="S608" s="414" t="s">
        <v>717</v>
      </c>
      <c r="T608" s="415"/>
    </row>
    <row r="609" spans="1:20" s="98" customFormat="1" ht="22.5" customHeight="1">
      <c r="A609" s="61" t="s">
        <v>710</v>
      </c>
      <c r="B609" s="7"/>
      <c r="C609" s="95" t="s">
        <v>151</v>
      </c>
      <c r="D609" s="95" t="s">
        <v>89</v>
      </c>
      <c r="E609" s="161" t="s">
        <v>90</v>
      </c>
      <c r="F609" s="97" t="s">
        <v>730</v>
      </c>
      <c r="G609" s="134">
        <v>39177</v>
      </c>
      <c r="H609" s="134">
        <v>39220</v>
      </c>
      <c r="I609" s="126" t="s">
        <v>196</v>
      </c>
      <c r="J609" s="31">
        <v>1210.54</v>
      </c>
      <c r="K609" s="120">
        <v>242.19</v>
      </c>
      <c r="L609" s="205">
        <v>1453</v>
      </c>
      <c r="M609" s="87">
        <v>474.40450000000004</v>
      </c>
      <c r="N609" s="87"/>
      <c r="O609" s="216">
        <f t="shared" si="183"/>
        <v>474.40450000000004</v>
      </c>
      <c r="P609" s="92">
        <f t="shared" si="184"/>
        <v>308.362925</v>
      </c>
      <c r="Q609" s="92">
        <f t="shared" si="185"/>
        <v>0</v>
      </c>
      <c r="R609" s="226">
        <f t="shared" si="186"/>
        <v>308.362925</v>
      </c>
      <c r="S609" s="414" t="s">
        <v>717</v>
      </c>
      <c r="T609" s="415"/>
    </row>
    <row r="610" spans="1:20" s="98" customFormat="1" ht="22.5" customHeight="1">
      <c r="A610" s="61" t="s">
        <v>710</v>
      </c>
      <c r="B610" s="7"/>
      <c r="C610" s="95" t="s">
        <v>151</v>
      </c>
      <c r="D610" s="95" t="s">
        <v>89</v>
      </c>
      <c r="E610" s="161" t="s">
        <v>90</v>
      </c>
      <c r="F610" s="97" t="s">
        <v>731</v>
      </c>
      <c r="G610" s="134">
        <v>39177</v>
      </c>
      <c r="H610" s="134">
        <v>39220</v>
      </c>
      <c r="I610" s="126" t="s">
        <v>196</v>
      </c>
      <c r="J610" s="31">
        <v>44.61</v>
      </c>
      <c r="K610" s="120">
        <v>9.01</v>
      </c>
      <c r="L610" s="205">
        <v>54</v>
      </c>
      <c r="M610" s="87">
        <v>17.631</v>
      </c>
      <c r="N610" s="87"/>
      <c r="O610" s="216">
        <f t="shared" si="183"/>
        <v>17.631</v>
      </c>
      <c r="P610" s="92">
        <f t="shared" si="184"/>
        <v>11.46015</v>
      </c>
      <c r="Q610" s="92">
        <f t="shared" si="185"/>
        <v>0</v>
      </c>
      <c r="R610" s="226">
        <f t="shared" si="186"/>
        <v>11.46015</v>
      </c>
      <c r="S610" s="414" t="s">
        <v>717</v>
      </c>
      <c r="T610" s="415"/>
    </row>
    <row r="611" spans="1:20" s="98" customFormat="1" ht="22.5" customHeight="1">
      <c r="A611" s="61" t="s">
        <v>710</v>
      </c>
      <c r="B611" s="7"/>
      <c r="C611" s="95" t="s">
        <v>151</v>
      </c>
      <c r="D611" s="95" t="s">
        <v>89</v>
      </c>
      <c r="E611" s="161" t="s">
        <v>90</v>
      </c>
      <c r="F611" s="97" t="s">
        <v>732</v>
      </c>
      <c r="G611" s="134">
        <v>39239</v>
      </c>
      <c r="H611" s="134">
        <v>39304</v>
      </c>
      <c r="I611" s="126" t="s">
        <v>196</v>
      </c>
      <c r="J611" s="31">
        <v>1049.28</v>
      </c>
      <c r="K611" s="120">
        <v>209.94</v>
      </c>
      <c r="L611" s="205">
        <v>1309.5</v>
      </c>
      <c r="M611" s="87">
        <v>427.5517500000001</v>
      </c>
      <c r="N611" s="87"/>
      <c r="O611" s="216">
        <f t="shared" si="183"/>
        <v>427.5517500000001</v>
      </c>
      <c r="P611" s="92">
        <f t="shared" si="184"/>
        <v>277.90863750000005</v>
      </c>
      <c r="Q611" s="92">
        <f t="shared" si="185"/>
        <v>0</v>
      </c>
      <c r="R611" s="226">
        <f t="shared" si="186"/>
        <v>277.90863750000005</v>
      </c>
      <c r="S611" s="414" t="s">
        <v>717</v>
      </c>
      <c r="T611" s="415"/>
    </row>
    <row r="612" spans="1:20" s="98" customFormat="1" ht="22.5" customHeight="1">
      <c r="A612" s="61" t="s">
        <v>710</v>
      </c>
      <c r="B612" s="7"/>
      <c r="C612" s="95" t="s">
        <v>151</v>
      </c>
      <c r="D612" s="95" t="s">
        <v>89</v>
      </c>
      <c r="E612" s="161" t="s">
        <v>90</v>
      </c>
      <c r="F612" s="97" t="s">
        <v>733</v>
      </c>
      <c r="G612" s="134">
        <v>39239</v>
      </c>
      <c r="H612" s="134">
        <v>39304</v>
      </c>
      <c r="I612" s="126" t="s">
        <v>196</v>
      </c>
      <c r="J612" s="31">
        <v>145.38</v>
      </c>
      <c r="K612" s="120">
        <v>29.16</v>
      </c>
      <c r="L612" s="205">
        <v>233</v>
      </c>
      <c r="M612" s="87">
        <v>76.0745</v>
      </c>
      <c r="N612" s="87"/>
      <c r="O612" s="216">
        <f t="shared" si="183"/>
        <v>76.0745</v>
      </c>
      <c r="P612" s="92">
        <f t="shared" si="184"/>
        <v>49.448425</v>
      </c>
      <c r="Q612" s="92">
        <f t="shared" si="185"/>
        <v>0</v>
      </c>
      <c r="R612" s="226">
        <f t="shared" si="186"/>
        <v>49.448425</v>
      </c>
      <c r="S612" s="414" t="s">
        <v>717</v>
      </c>
      <c r="T612" s="415"/>
    </row>
    <row r="613" spans="1:20" s="98" customFormat="1" ht="22.5" customHeight="1">
      <c r="A613" s="61" t="s">
        <v>710</v>
      </c>
      <c r="B613" s="7"/>
      <c r="C613" s="95" t="s">
        <v>151</v>
      </c>
      <c r="D613" s="95" t="s">
        <v>89</v>
      </c>
      <c r="E613" s="161" t="s">
        <v>90</v>
      </c>
      <c r="F613" s="97" t="s">
        <v>734</v>
      </c>
      <c r="G613" s="134">
        <v>39239</v>
      </c>
      <c r="H613" s="134">
        <v>39304</v>
      </c>
      <c r="I613" s="126" t="s">
        <v>196</v>
      </c>
      <c r="J613" s="31">
        <v>277.77</v>
      </c>
      <c r="K613" s="120">
        <v>55.64</v>
      </c>
      <c r="L613" s="205">
        <v>351</v>
      </c>
      <c r="M613" s="87">
        <v>114.60149999999999</v>
      </c>
      <c r="N613" s="87"/>
      <c r="O613" s="216">
        <f t="shared" si="183"/>
        <v>114.60149999999999</v>
      </c>
      <c r="P613" s="92">
        <f t="shared" si="184"/>
        <v>74.49097499999999</v>
      </c>
      <c r="Q613" s="92">
        <f t="shared" si="185"/>
        <v>0</v>
      </c>
      <c r="R613" s="226">
        <f t="shared" si="186"/>
        <v>74.49097499999999</v>
      </c>
      <c r="S613" s="414" t="s">
        <v>717</v>
      </c>
      <c r="T613" s="415"/>
    </row>
    <row r="614" spans="1:20" s="98" customFormat="1" ht="22.5" customHeight="1">
      <c r="A614" s="61" t="s">
        <v>710</v>
      </c>
      <c r="B614" s="7"/>
      <c r="C614" s="95" t="s">
        <v>151</v>
      </c>
      <c r="D614" s="95" t="s">
        <v>89</v>
      </c>
      <c r="E614" s="161" t="s">
        <v>90</v>
      </c>
      <c r="F614" s="97" t="s">
        <v>735</v>
      </c>
      <c r="G614" s="134">
        <v>39239</v>
      </c>
      <c r="H614" s="134">
        <v>39304</v>
      </c>
      <c r="I614" s="126" t="s">
        <v>196</v>
      </c>
      <c r="J614" s="31">
        <v>43.6</v>
      </c>
      <c r="K614" s="120">
        <v>8.81</v>
      </c>
      <c r="L614" s="205">
        <v>56</v>
      </c>
      <c r="M614" s="87">
        <v>18.284000000000002</v>
      </c>
      <c r="N614" s="87"/>
      <c r="O614" s="216">
        <f t="shared" si="183"/>
        <v>18.284000000000002</v>
      </c>
      <c r="P614" s="92">
        <f t="shared" si="184"/>
        <v>11.884600000000002</v>
      </c>
      <c r="Q614" s="92">
        <f t="shared" si="185"/>
        <v>0</v>
      </c>
      <c r="R614" s="226">
        <f t="shared" si="186"/>
        <v>11.884600000000002</v>
      </c>
      <c r="S614" s="414" t="s">
        <v>717</v>
      </c>
      <c r="T614" s="415"/>
    </row>
    <row r="615" spans="1:20" s="98" customFormat="1" ht="22.5" customHeight="1">
      <c r="A615" s="61" t="s">
        <v>710</v>
      </c>
      <c r="B615" s="7"/>
      <c r="C615" s="95" t="s">
        <v>151</v>
      </c>
      <c r="D615" s="95" t="s">
        <v>105</v>
      </c>
      <c r="E615" s="161" t="s">
        <v>736</v>
      </c>
      <c r="F615" s="97">
        <v>750084061920218</v>
      </c>
      <c r="G615" s="134">
        <v>39143</v>
      </c>
      <c r="H615" s="134">
        <v>39176</v>
      </c>
      <c r="I615" s="126" t="s">
        <v>92</v>
      </c>
      <c r="J615" s="31">
        <v>1804.37</v>
      </c>
      <c r="K615" s="120">
        <v>361.43</v>
      </c>
      <c r="L615" s="205">
        <v>2179.46</v>
      </c>
      <c r="M615" s="87">
        <v>711.59369</v>
      </c>
      <c r="N615" s="87"/>
      <c r="O615" s="216">
        <f t="shared" si="183"/>
        <v>711.59369</v>
      </c>
      <c r="P615" s="92">
        <f t="shared" si="184"/>
        <v>462.53589850000003</v>
      </c>
      <c r="Q615" s="92">
        <f t="shared" si="185"/>
        <v>0</v>
      </c>
      <c r="R615" s="226">
        <f t="shared" si="186"/>
        <v>462.53589850000003</v>
      </c>
      <c r="S615" s="414" t="s">
        <v>717</v>
      </c>
      <c r="T615" s="415"/>
    </row>
    <row r="616" spans="1:20" s="98" customFormat="1" ht="22.5" customHeight="1">
      <c r="A616" s="61" t="s">
        <v>710</v>
      </c>
      <c r="B616" s="7"/>
      <c r="C616" s="95" t="s">
        <v>151</v>
      </c>
      <c r="D616" s="95" t="s">
        <v>105</v>
      </c>
      <c r="E616" s="161" t="s">
        <v>736</v>
      </c>
      <c r="F616" s="97">
        <v>750084061920219</v>
      </c>
      <c r="G616" s="134">
        <v>39174</v>
      </c>
      <c r="H616" s="134">
        <v>39205</v>
      </c>
      <c r="I616" s="126" t="s">
        <v>92</v>
      </c>
      <c r="J616" s="31">
        <v>2060.66</v>
      </c>
      <c r="K616" s="120">
        <v>412.132</v>
      </c>
      <c r="L616" s="205">
        <v>2480.612</v>
      </c>
      <c r="M616" s="87">
        <v>809.9198180000001</v>
      </c>
      <c r="N616" s="87"/>
      <c r="O616" s="216">
        <f t="shared" si="183"/>
        <v>809.9198180000001</v>
      </c>
      <c r="P616" s="92">
        <f t="shared" si="184"/>
        <v>526.4478817</v>
      </c>
      <c r="Q616" s="92">
        <f t="shared" si="185"/>
        <v>0</v>
      </c>
      <c r="R616" s="226">
        <f t="shared" si="186"/>
        <v>526.4478817</v>
      </c>
      <c r="S616" s="414" t="s">
        <v>717</v>
      </c>
      <c r="T616" s="415"/>
    </row>
    <row r="617" spans="1:20" s="98" customFormat="1" ht="22.5" customHeight="1">
      <c r="A617" s="61" t="s">
        <v>710</v>
      </c>
      <c r="B617" s="7"/>
      <c r="C617" s="95" t="s">
        <v>151</v>
      </c>
      <c r="D617" s="95" t="s">
        <v>105</v>
      </c>
      <c r="E617" s="161" t="s">
        <v>736</v>
      </c>
      <c r="F617" s="97">
        <v>750084061920211</v>
      </c>
      <c r="G617" s="134">
        <v>39204</v>
      </c>
      <c r="H617" s="134">
        <v>39234</v>
      </c>
      <c r="I617" s="126" t="s">
        <v>92</v>
      </c>
      <c r="J617" s="31">
        <v>1851.11</v>
      </c>
      <c r="K617" s="120">
        <v>370.22</v>
      </c>
      <c r="L617" s="205">
        <v>2226.93</v>
      </c>
      <c r="M617" s="87">
        <v>727.092645</v>
      </c>
      <c r="N617" s="87"/>
      <c r="O617" s="216">
        <f t="shared" si="183"/>
        <v>727.092645</v>
      </c>
      <c r="P617" s="92">
        <f t="shared" si="184"/>
        <v>472.61021925</v>
      </c>
      <c r="Q617" s="92">
        <f t="shared" si="185"/>
        <v>0</v>
      </c>
      <c r="R617" s="226">
        <f t="shared" si="186"/>
        <v>472.61021925</v>
      </c>
      <c r="S617" s="414" t="s">
        <v>717</v>
      </c>
      <c r="T617" s="415"/>
    </row>
    <row r="618" spans="1:20" s="98" customFormat="1" ht="22.5" customHeight="1">
      <c r="A618" s="61" t="s">
        <v>710</v>
      </c>
      <c r="B618" s="7"/>
      <c r="C618" s="95" t="s">
        <v>151</v>
      </c>
      <c r="D618" s="95" t="s">
        <v>105</v>
      </c>
      <c r="E618" s="161" t="s">
        <v>736</v>
      </c>
      <c r="F618" s="97">
        <v>750084061920212</v>
      </c>
      <c r="G618" s="134">
        <v>39236</v>
      </c>
      <c r="H618" s="134">
        <v>39275</v>
      </c>
      <c r="I618" s="126" t="s">
        <v>92</v>
      </c>
      <c r="J618" s="31">
        <v>2266.16</v>
      </c>
      <c r="K618" s="120">
        <v>453.23</v>
      </c>
      <c r="L618" s="205">
        <v>2719.39</v>
      </c>
      <c r="M618" s="87">
        <v>887.880835</v>
      </c>
      <c r="N618" s="87"/>
      <c r="O618" s="216">
        <f t="shared" si="183"/>
        <v>887.880835</v>
      </c>
      <c r="P618" s="92">
        <f t="shared" si="184"/>
        <v>577.1225427500001</v>
      </c>
      <c r="Q618" s="92">
        <f t="shared" si="185"/>
        <v>0</v>
      </c>
      <c r="R618" s="226">
        <f t="shared" si="186"/>
        <v>577.1225427500001</v>
      </c>
      <c r="S618" s="414" t="s">
        <v>717</v>
      </c>
      <c r="T618" s="415"/>
    </row>
    <row r="619" spans="1:20" s="98" customFormat="1" ht="22.5" customHeight="1">
      <c r="A619" s="61" t="s">
        <v>710</v>
      </c>
      <c r="B619" s="7"/>
      <c r="C619" s="95" t="s">
        <v>151</v>
      </c>
      <c r="D619" s="95" t="s">
        <v>105</v>
      </c>
      <c r="E619" s="161" t="s">
        <v>736</v>
      </c>
      <c r="F619" s="97">
        <v>750084061920213</v>
      </c>
      <c r="G619" s="134">
        <v>39268</v>
      </c>
      <c r="H619" s="134">
        <v>39303</v>
      </c>
      <c r="I619" s="126" t="s">
        <v>92</v>
      </c>
      <c r="J619" s="31">
        <v>2692.89</v>
      </c>
      <c r="K619" s="120">
        <v>538.58</v>
      </c>
      <c r="L619" s="205">
        <v>3235.88</v>
      </c>
      <c r="M619" s="87">
        <v>1056.5148199999999</v>
      </c>
      <c r="N619" s="87"/>
      <c r="O619" s="216">
        <f t="shared" si="183"/>
        <v>1056.5148199999999</v>
      </c>
      <c r="P619" s="92">
        <f t="shared" si="184"/>
        <v>686.7346329999999</v>
      </c>
      <c r="Q619" s="92">
        <f t="shared" si="185"/>
        <v>0</v>
      </c>
      <c r="R619" s="226">
        <f t="shared" si="186"/>
        <v>686.7346329999999</v>
      </c>
      <c r="S619" s="414" t="s">
        <v>717</v>
      </c>
      <c r="T619" s="415"/>
    </row>
    <row r="620" spans="1:20" s="98" customFormat="1" ht="22.5" customHeight="1">
      <c r="A620" s="61" t="s">
        <v>710</v>
      </c>
      <c r="B620" s="7"/>
      <c r="C620" s="95" t="s">
        <v>151</v>
      </c>
      <c r="D620" s="95" t="s">
        <v>113</v>
      </c>
      <c r="E620" s="161" t="s">
        <v>685</v>
      </c>
      <c r="F620" s="97">
        <v>384007029561</v>
      </c>
      <c r="G620" s="134">
        <v>39105</v>
      </c>
      <c r="H620" s="134">
        <v>39153</v>
      </c>
      <c r="I620" s="126" t="s">
        <v>92</v>
      </c>
      <c r="J620" s="31">
        <v>73.35</v>
      </c>
      <c r="K620" s="120">
        <v>14.67</v>
      </c>
      <c r="L620" s="205">
        <v>88.18</v>
      </c>
      <c r="M620" s="87">
        <v>88.18</v>
      </c>
      <c r="N620" s="87"/>
      <c r="O620" s="216">
        <f t="shared" si="183"/>
        <v>88.18</v>
      </c>
      <c r="P620" s="92">
        <f t="shared" si="184"/>
        <v>57.31700000000001</v>
      </c>
      <c r="Q620" s="92">
        <f t="shared" si="185"/>
        <v>0</v>
      </c>
      <c r="R620" s="226">
        <f t="shared" si="186"/>
        <v>57.31700000000001</v>
      </c>
      <c r="S620" s="414" t="s">
        <v>717</v>
      </c>
      <c r="T620" s="415"/>
    </row>
    <row r="621" spans="1:20" s="98" customFormat="1" ht="22.5" customHeight="1">
      <c r="A621" s="61" t="s">
        <v>710</v>
      </c>
      <c r="B621" s="7"/>
      <c r="C621" s="95" t="s">
        <v>151</v>
      </c>
      <c r="D621" s="95" t="s">
        <v>113</v>
      </c>
      <c r="E621" s="161" t="s">
        <v>685</v>
      </c>
      <c r="F621" s="97">
        <v>384007029144</v>
      </c>
      <c r="G621" s="134">
        <v>39105</v>
      </c>
      <c r="H621" s="134">
        <v>39153</v>
      </c>
      <c r="I621" s="126" t="s">
        <v>92</v>
      </c>
      <c r="J621" s="31">
        <v>823.66</v>
      </c>
      <c r="K621" s="120">
        <v>164.73</v>
      </c>
      <c r="L621" s="205">
        <v>990.43</v>
      </c>
      <c r="M621" s="87">
        <v>323.37539499999997</v>
      </c>
      <c r="N621" s="87"/>
      <c r="O621" s="216">
        <f t="shared" si="183"/>
        <v>323.37539499999997</v>
      </c>
      <c r="P621" s="92">
        <f t="shared" si="184"/>
        <v>210.19400675</v>
      </c>
      <c r="Q621" s="92">
        <f t="shared" si="185"/>
        <v>0</v>
      </c>
      <c r="R621" s="226">
        <f t="shared" si="186"/>
        <v>210.19400675</v>
      </c>
      <c r="S621" s="414" t="s">
        <v>717</v>
      </c>
      <c r="T621" s="415"/>
    </row>
    <row r="622" spans="1:20" s="98" customFormat="1" ht="22.5" customHeight="1">
      <c r="A622" s="61" t="s">
        <v>710</v>
      </c>
      <c r="B622" s="7"/>
      <c r="C622" s="95" t="s">
        <v>151</v>
      </c>
      <c r="D622" s="95" t="s">
        <v>113</v>
      </c>
      <c r="E622" s="161" t="s">
        <v>685</v>
      </c>
      <c r="F622" s="97">
        <v>384007059836</v>
      </c>
      <c r="G622" s="134">
        <v>39150</v>
      </c>
      <c r="H622" s="134">
        <v>39188</v>
      </c>
      <c r="I622" s="126" t="s">
        <v>92</v>
      </c>
      <c r="J622" s="31">
        <v>444.25</v>
      </c>
      <c r="K622" s="120">
        <v>89.41</v>
      </c>
      <c r="L622" s="205">
        <v>536.46</v>
      </c>
      <c r="M622" s="87">
        <v>175.15418999999991</v>
      </c>
      <c r="N622" s="87"/>
      <c r="O622" s="216">
        <f t="shared" si="183"/>
        <v>175.15418999999991</v>
      </c>
      <c r="P622" s="92">
        <f t="shared" si="184"/>
        <v>113.85022349999994</v>
      </c>
      <c r="Q622" s="92">
        <f t="shared" si="185"/>
        <v>0</v>
      </c>
      <c r="R622" s="226">
        <f t="shared" si="186"/>
        <v>113.85022349999994</v>
      </c>
      <c r="S622" s="414" t="s">
        <v>717</v>
      </c>
      <c r="T622" s="415"/>
    </row>
    <row r="623" spans="1:20" s="98" customFormat="1" ht="22.5" customHeight="1">
      <c r="A623" s="61" t="s">
        <v>710</v>
      </c>
      <c r="B623" s="7"/>
      <c r="C623" s="95" t="s">
        <v>151</v>
      </c>
      <c r="D623" s="95" t="s">
        <v>113</v>
      </c>
      <c r="E623" s="161" t="s">
        <v>685</v>
      </c>
      <c r="F623" s="97">
        <v>384007095684</v>
      </c>
      <c r="G623" s="134">
        <v>39248</v>
      </c>
      <c r="H623" s="134">
        <v>39303</v>
      </c>
      <c r="I623" s="126" t="s">
        <v>92</v>
      </c>
      <c r="J623" s="31">
        <v>230.67</v>
      </c>
      <c r="K623" s="120">
        <v>46.13</v>
      </c>
      <c r="L623" s="205">
        <v>281.97</v>
      </c>
      <c r="M623" s="87">
        <v>92.06320500000001</v>
      </c>
      <c r="N623" s="87"/>
      <c r="O623" s="216">
        <f t="shared" si="183"/>
        <v>92.06320500000001</v>
      </c>
      <c r="P623" s="92">
        <f t="shared" si="184"/>
        <v>59.84108325000001</v>
      </c>
      <c r="Q623" s="92">
        <f t="shared" si="185"/>
        <v>0</v>
      </c>
      <c r="R623" s="226">
        <f t="shared" si="186"/>
        <v>59.84108325000001</v>
      </c>
      <c r="S623" s="414" t="s">
        <v>717</v>
      </c>
      <c r="T623" s="415"/>
    </row>
    <row r="624" spans="1:20" s="98" customFormat="1" ht="22.5" customHeight="1">
      <c r="A624" s="61" t="s">
        <v>710</v>
      </c>
      <c r="B624" s="7"/>
      <c r="C624" s="95" t="s">
        <v>151</v>
      </c>
      <c r="D624" s="95" t="s">
        <v>115</v>
      </c>
      <c r="E624" s="161" t="s">
        <v>38</v>
      </c>
      <c r="F624" s="97" t="s">
        <v>737</v>
      </c>
      <c r="G624" s="134">
        <v>39114</v>
      </c>
      <c r="H624" s="134">
        <v>39176</v>
      </c>
      <c r="I624" s="126" t="s">
        <v>92</v>
      </c>
      <c r="J624" s="31">
        <v>137.3</v>
      </c>
      <c r="K624" s="120">
        <v>13.73</v>
      </c>
      <c r="L624" s="205">
        <v>152.24</v>
      </c>
      <c r="M624" s="87">
        <v>49.706360000000004</v>
      </c>
      <c r="N624" s="87"/>
      <c r="O624" s="216">
        <f t="shared" si="183"/>
        <v>49.706360000000004</v>
      </c>
      <c r="P624" s="92">
        <f t="shared" si="184"/>
        <v>32.309134</v>
      </c>
      <c r="Q624" s="92">
        <f t="shared" si="185"/>
        <v>0</v>
      </c>
      <c r="R624" s="226">
        <f t="shared" si="186"/>
        <v>32.309134</v>
      </c>
      <c r="S624" s="414" t="s">
        <v>717</v>
      </c>
      <c r="T624" s="415"/>
    </row>
    <row r="625" spans="1:20" s="98" customFormat="1" ht="22.5" customHeight="1">
      <c r="A625" s="61" t="s">
        <v>710</v>
      </c>
      <c r="B625" s="7"/>
      <c r="C625" s="95" t="s">
        <v>151</v>
      </c>
      <c r="D625" s="95" t="s">
        <v>115</v>
      </c>
      <c r="E625" s="161" t="s">
        <v>38</v>
      </c>
      <c r="F625" s="97" t="s">
        <v>738</v>
      </c>
      <c r="G625" s="134">
        <v>39191</v>
      </c>
      <c r="H625" s="134">
        <v>39234</v>
      </c>
      <c r="I625" s="126" t="s">
        <v>92</v>
      </c>
      <c r="J625" s="31">
        <v>134.38</v>
      </c>
      <c r="K625" s="120">
        <v>13.44</v>
      </c>
      <c r="L625" s="205">
        <v>147.82</v>
      </c>
      <c r="M625" s="87">
        <v>48.26323</v>
      </c>
      <c r="N625" s="87"/>
      <c r="O625" s="216">
        <f t="shared" si="183"/>
        <v>48.26323</v>
      </c>
      <c r="P625" s="92">
        <f t="shared" si="184"/>
        <v>31.3710995</v>
      </c>
      <c r="Q625" s="92">
        <f t="shared" si="185"/>
        <v>0</v>
      </c>
      <c r="R625" s="226">
        <f t="shared" si="186"/>
        <v>31.3710995</v>
      </c>
      <c r="S625" s="414" t="s">
        <v>717</v>
      </c>
      <c r="T625" s="415"/>
    </row>
    <row r="626" spans="1:20" s="98" customFormat="1" ht="22.5" customHeight="1">
      <c r="A626" s="61" t="s">
        <v>710</v>
      </c>
      <c r="B626" s="7"/>
      <c r="C626" s="95" t="s">
        <v>151</v>
      </c>
      <c r="D626" s="95" t="s">
        <v>431</v>
      </c>
      <c r="E626" s="161" t="s">
        <v>117</v>
      </c>
      <c r="F626" s="97" t="s">
        <v>739</v>
      </c>
      <c r="G626" s="134">
        <v>39174</v>
      </c>
      <c r="H626" s="134">
        <v>39184</v>
      </c>
      <c r="I626" s="126" t="s">
        <v>740</v>
      </c>
      <c r="J626" s="31">
        <v>246.64</v>
      </c>
      <c r="K626" s="120">
        <v>49.33</v>
      </c>
      <c r="L626" s="205">
        <v>295.97</v>
      </c>
      <c r="M626" s="87">
        <v>96.634205</v>
      </c>
      <c r="N626" s="87"/>
      <c r="O626" s="216">
        <f t="shared" si="183"/>
        <v>96.634205</v>
      </c>
      <c r="P626" s="92">
        <f t="shared" si="184"/>
        <v>62.81223325</v>
      </c>
      <c r="Q626" s="92">
        <f t="shared" si="185"/>
        <v>0</v>
      </c>
      <c r="R626" s="226">
        <f t="shared" si="186"/>
        <v>62.81223325</v>
      </c>
      <c r="S626" s="414" t="s">
        <v>717</v>
      </c>
      <c r="T626" s="415"/>
    </row>
    <row r="627" spans="1:20" s="98" customFormat="1" ht="22.5" customHeight="1">
      <c r="A627" s="61" t="s">
        <v>710</v>
      </c>
      <c r="B627" s="7"/>
      <c r="C627" s="95" t="s">
        <v>151</v>
      </c>
      <c r="D627" s="95" t="s">
        <v>431</v>
      </c>
      <c r="E627" s="161" t="s">
        <v>117</v>
      </c>
      <c r="F627" s="97" t="s">
        <v>741</v>
      </c>
      <c r="G627" s="134">
        <v>39265</v>
      </c>
      <c r="H627" s="134">
        <v>39297</v>
      </c>
      <c r="I627" s="126" t="s">
        <v>742</v>
      </c>
      <c r="J627" s="31">
        <v>246.64</v>
      </c>
      <c r="K627" s="120">
        <v>49.33</v>
      </c>
      <c r="L627" s="205">
        <v>295.97</v>
      </c>
      <c r="M627" s="87">
        <v>96.634205</v>
      </c>
      <c r="N627" s="87"/>
      <c r="O627" s="216">
        <f t="shared" si="183"/>
        <v>96.634205</v>
      </c>
      <c r="P627" s="92">
        <f t="shared" si="184"/>
        <v>62.81223325</v>
      </c>
      <c r="Q627" s="92">
        <f t="shared" si="185"/>
        <v>0</v>
      </c>
      <c r="R627" s="226">
        <f t="shared" si="186"/>
        <v>62.81223325</v>
      </c>
      <c r="S627" s="414" t="s">
        <v>717</v>
      </c>
      <c r="T627" s="415"/>
    </row>
    <row r="628" spans="1:20" s="98" customFormat="1" ht="22.5" customHeight="1">
      <c r="A628" s="61" t="s">
        <v>710</v>
      </c>
      <c r="B628" s="7"/>
      <c r="C628" s="95" t="s">
        <v>151</v>
      </c>
      <c r="D628" s="95" t="s">
        <v>120</v>
      </c>
      <c r="E628" s="161" t="s">
        <v>315</v>
      </c>
      <c r="F628" s="97">
        <v>21</v>
      </c>
      <c r="G628" s="134">
        <v>39171</v>
      </c>
      <c r="H628" s="134">
        <v>39185</v>
      </c>
      <c r="I628" s="126" t="s">
        <v>743</v>
      </c>
      <c r="J628" s="31">
        <v>1300</v>
      </c>
      <c r="K628" s="120">
        <v>260</v>
      </c>
      <c r="L628" s="205">
        <v>1560</v>
      </c>
      <c r="M628" s="87">
        <v>509.34</v>
      </c>
      <c r="N628" s="87"/>
      <c r="O628" s="216">
        <f t="shared" si="183"/>
        <v>509.34</v>
      </c>
      <c r="P628" s="92">
        <f t="shared" si="184"/>
        <v>331.07099999999997</v>
      </c>
      <c r="Q628" s="92">
        <f t="shared" si="185"/>
        <v>0</v>
      </c>
      <c r="R628" s="226">
        <f t="shared" si="186"/>
        <v>331.07099999999997</v>
      </c>
      <c r="S628" s="414" t="s">
        <v>717</v>
      </c>
      <c r="T628" s="415"/>
    </row>
    <row r="629" spans="1:20" s="98" customFormat="1" ht="22.5" customHeight="1">
      <c r="A629" s="61" t="s">
        <v>710</v>
      </c>
      <c r="B629" s="7"/>
      <c r="C629" s="95" t="s">
        <v>151</v>
      </c>
      <c r="D629" s="95" t="s">
        <v>120</v>
      </c>
      <c r="E629" s="161" t="s">
        <v>315</v>
      </c>
      <c r="F629" s="97">
        <v>29</v>
      </c>
      <c r="G629" s="134">
        <v>39202</v>
      </c>
      <c r="H629" s="134">
        <v>39210</v>
      </c>
      <c r="I629" s="126" t="s">
        <v>744</v>
      </c>
      <c r="J629" s="31">
        <v>1300</v>
      </c>
      <c r="K629" s="120">
        <v>260</v>
      </c>
      <c r="L629" s="205">
        <v>1560</v>
      </c>
      <c r="M629" s="87">
        <v>509.34</v>
      </c>
      <c r="N629" s="87"/>
      <c r="O629" s="216">
        <f t="shared" si="183"/>
        <v>509.34</v>
      </c>
      <c r="P629" s="92">
        <f t="shared" si="184"/>
        <v>331.07099999999997</v>
      </c>
      <c r="Q629" s="92">
        <f t="shared" si="185"/>
        <v>0</v>
      </c>
      <c r="R629" s="226">
        <f t="shared" si="186"/>
        <v>331.07099999999997</v>
      </c>
      <c r="S629" s="414" t="s">
        <v>717</v>
      </c>
      <c r="T629" s="415"/>
    </row>
    <row r="630" spans="1:20" s="98" customFormat="1" ht="22.5" customHeight="1">
      <c r="A630" s="61" t="s">
        <v>710</v>
      </c>
      <c r="B630" s="7"/>
      <c r="C630" s="95" t="s">
        <v>151</v>
      </c>
      <c r="D630" s="95" t="s">
        <v>120</v>
      </c>
      <c r="E630" s="161" t="s">
        <v>745</v>
      </c>
      <c r="F630" s="97">
        <v>233</v>
      </c>
      <c r="G630" s="134">
        <v>39233</v>
      </c>
      <c r="H630" s="134">
        <v>39253</v>
      </c>
      <c r="I630" s="126" t="s">
        <v>746</v>
      </c>
      <c r="J630" s="31">
        <v>1200</v>
      </c>
      <c r="K630" s="120">
        <v>240</v>
      </c>
      <c r="L630" s="205">
        <v>1440</v>
      </c>
      <c r="M630" s="87">
        <v>470.16</v>
      </c>
      <c r="N630" s="87"/>
      <c r="O630" s="216">
        <f t="shared" si="183"/>
        <v>470.16</v>
      </c>
      <c r="P630" s="92">
        <f t="shared" si="184"/>
        <v>305.60400000000004</v>
      </c>
      <c r="Q630" s="92">
        <f t="shared" si="185"/>
        <v>0</v>
      </c>
      <c r="R630" s="226">
        <f t="shared" si="186"/>
        <v>305.60400000000004</v>
      </c>
      <c r="S630" s="414" t="s">
        <v>717</v>
      </c>
      <c r="T630" s="415"/>
    </row>
    <row r="631" spans="1:20" s="98" customFormat="1" ht="22.5" customHeight="1">
      <c r="A631" s="61" t="s">
        <v>710</v>
      </c>
      <c r="B631" s="7"/>
      <c r="C631" s="95" t="s">
        <v>151</v>
      </c>
      <c r="D631" s="95" t="s">
        <v>120</v>
      </c>
      <c r="E631" s="161" t="s">
        <v>745</v>
      </c>
      <c r="F631" s="97">
        <v>307</v>
      </c>
      <c r="G631" s="134">
        <v>39263</v>
      </c>
      <c r="H631" s="134">
        <v>39287</v>
      </c>
      <c r="I631" s="126" t="s">
        <v>747</v>
      </c>
      <c r="J631" s="31">
        <v>1200</v>
      </c>
      <c r="K631" s="120">
        <v>240</v>
      </c>
      <c r="L631" s="205">
        <v>1440</v>
      </c>
      <c r="M631" s="87">
        <v>470.16</v>
      </c>
      <c r="N631" s="87"/>
      <c r="O631" s="216">
        <f t="shared" si="183"/>
        <v>470.16</v>
      </c>
      <c r="P631" s="92">
        <f t="shared" si="184"/>
        <v>305.60400000000004</v>
      </c>
      <c r="Q631" s="92">
        <f t="shared" si="185"/>
        <v>0</v>
      </c>
      <c r="R631" s="226">
        <f t="shared" si="186"/>
        <v>305.60400000000004</v>
      </c>
      <c r="S631" s="414" t="s">
        <v>717</v>
      </c>
      <c r="T631" s="415"/>
    </row>
    <row r="632" spans="1:20" s="98" customFormat="1" ht="22.5" customHeight="1">
      <c r="A632" s="61" t="s">
        <v>710</v>
      </c>
      <c r="B632" s="7"/>
      <c r="C632" s="95" t="s">
        <v>151</v>
      </c>
      <c r="D632" s="95" t="s">
        <v>120</v>
      </c>
      <c r="E632" s="161" t="s">
        <v>745</v>
      </c>
      <c r="F632" s="97">
        <v>357</v>
      </c>
      <c r="G632" s="134">
        <v>39294</v>
      </c>
      <c r="H632" s="134">
        <v>39304</v>
      </c>
      <c r="I632" s="126" t="s">
        <v>196</v>
      </c>
      <c r="J632" s="31">
        <v>1200</v>
      </c>
      <c r="K632" s="120">
        <v>240</v>
      </c>
      <c r="L632" s="205">
        <v>1440</v>
      </c>
      <c r="M632" s="87">
        <v>470.16</v>
      </c>
      <c r="N632" s="87"/>
      <c r="O632" s="216">
        <f t="shared" si="183"/>
        <v>470.16</v>
      </c>
      <c r="P632" s="92">
        <f t="shared" si="184"/>
        <v>305.60400000000004</v>
      </c>
      <c r="Q632" s="92">
        <f t="shared" si="185"/>
        <v>0</v>
      </c>
      <c r="R632" s="226">
        <f t="shared" si="186"/>
        <v>305.60400000000004</v>
      </c>
      <c r="S632" s="414" t="s">
        <v>717</v>
      </c>
      <c r="T632" s="415"/>
    </row>
    <row r="633" spans="1:20" s="98" customFormat="1" ht="22.5" customHeight="1">
      <c r="A633" s="61" t="s">
        <v>710</v>
      </c>
      <c r="B633" s="7"/>
      <c r="C633" s="14" t="s">
        <v>51</v>
      </c>
      <c r="D633" s="95" t="s">
        <v>89</v>
      </c>
      <c r="E633" s="161" t="s">
        <v>373</v>
      </c>
      <c r="F633" s="97" t="s">
        <v>753</v>
      </c>
      <c r="G633" s="134">
        <v>39158</v>
      </c>
      <c r="H633" s="134">
        <v>39672</v>
      </c>
      <c r="I633" s="126" t="s">
        <v>654</v>
      </c>
      <c r="J633" s="31">
        <v>4403.06</v>
      </c>
      <c r="K633" s="120">
        <v>717.24</v>
      </c>
      <c r="L633" s="205">
        <v>5120.3</v>
      </c>
      <c r="M633" s="31">
        <v>4403.06</v>
      </c>
      <c r="N633" s="120">
        <v>717.24</v>
      </c>
      <c r="O633" s="205">
        <v>5120.3</v>
      </c>
      <c r="P633" s="92">
        <f aca="true" t="shared" si="187" ref="P633:Q636">M633*0.65</f>
        <v>2861.9890000000005</v>
      </c>
      <c r="Q633" s="92">
        <f t="shared" si="187"/>
        <v>466.206</v>
      </c>
      <c r="R633" s="226">
        <f>+Q633+P633</f>
        <v>3328.1950000000006</v>
      </c>
      <c r="S633" s="414" t="s">
        <v>717</v>
      </c>
      <c r="T633" s="415"/>
    </row>
    <row r="634" spans="1:20" s="98" customFormat="1" ht="22.5" customHeight="1">
      <c r="A634" s="61" t="s">
        <v>710</v>
      </c>
      <c r="B634" s="7"/>
      <c r="C634" s="14" t="s">
        <v>51</v>
      </c>
      <c r="D634" s="95" t="s">
        <v>89</v>
      </c>
      <c r="E634" s="161" t="s">
        <v>373</v>
      </c>
      <c r="F634" s="97" t="s">
        <v>754</v>
      </c>
      <c r="G634" s="134">
        <v>39218</v>
      </c>
      <c r="H634" s="134">
        <v>39672</v>
      </c>
      <c r="I634" s="126" t="s">
        <v>654</v>
      </c>
      <c r="J634" s="31">
        <v>566.44</v>
      </c>
      <c r="K634" s="120">
        <v>-50.08</v>
      </c>
      <c r="L634" s="205">
        <v>516.36</v>
      </c>
      <c r="M634" s="31">
        <v>566.44</v>
      </c>
      <c r="N634" s="120">
        <v>-50.08</v>
      </c>
      <c r="O634" s="205">
        <v>516.36</v>
      </c>
      <c r="P634" s="92">
        <f t="shared" si="187"/>
        <v>368.18600000000004</v>
      </c>
      <c r="Q634" s="92">
        <f t="shared" si="187"/>
        <v>-32.552</v>
      </c>
      <c r="R634" s="226">
        <f>+Q634+P634</f>
        <v>335.634</v>
      </c>
      <c r="S634" s="414" t="s">
        <v>717</v>
      </c>
      <c r="T634" s="415"/>
    </row>
    <row r="635" spans="1:20" s="98" customFormat="1" ht="22.5" customHeight="1">
      <c r="A635" s="61" t="s">
        <v>710</v>
      </c>
      <c r="B635" s="7"/>
      <c r="C635" s="14" t="s">
        <v>51</v>
      </c>
      <c r="D635" s="95" t="s">
        <v>89</v>
      </c>
      <c r="E635" s="161" t="s">
        <v>373</v>
      </c>
      <c r="F635" s="97" t="s">
        <v>753</v>
      </c>
      <c r="G635" s="134">
        <v>39128</v>
      </c>
      <c r="H635" s="134">
        <v>39672</v>
      </c>
      <c r="I635" s="126" t="s">
        <v>654</v>
      </c>
      <c r="J635" s="31">
        <v>3533.0692</v>
      </c>
      <c r="K635" s="120">
        <v>575.1508000000001</v>
      </c>
      <c r="L635" s="205">
        <v>4108.22</v>
      </c>
      <c r="M635" s="31">
        <v>3533.0692</v>
      </c>
      <c r="N635" s="120">
        <v>575.1508000000001</v>
      </c>
      <c r="O635" s="205">
        <v>4108.22</v>
      </c>
      <c r="P635" s="92">
        <f t="shared" si="187"/>
        <v>2296.49498</v>
      </c>
      <c r="Q635" s="92">
        <f t="shared" si="187"/>
        <v>373.8480200000001</v>
      </c>
      <c r="R635" s="226">
        <f>+Q635+P635</f>
        <v>2670.343</v>
      </c>
      <c r="S635" s="414" t="s">
        <v>717</v>
      </c>
      <c r="T635" s="415"/>
    </row>
    <row r="636" spans="1:20" s="98" customFormat="1" ht="22.5" customHeight="1">
      <c r="A636" s="61" t="s">
        <v>710</v>
      </c>
      <c r="B636" s="7"/>
      <c r="C636" s="95" t="s">
        <v>151</v>
      </c>
      <c r="D636" s="95" t="s">
        <v>89</v>
      </c>
      <c r="E636" s="161" t="s">
        <v>90</v>
      </c>
      <c r="F636" s="97" t="s">
        <v>820</v>
      </c>
      <c r="G636" s="134">
        <v>39300</v>
      </c>
      <c r="H636" s="134">
        <v>39359</v>
      </c>
      <c r="I636" s="126" t="s">
        <v>196</v>
      </c>
      <c r="J636" s="31">
        <v>338.16</v>
      </c>
      <c r="K636" s="120">
        <v>67.72</v>
      </c>
      <c r="L636" s="205">
        <v>431.5</v>
      </c>
      <c r="M636" s="87">
        <v>123.27955</v>
      </c>
      <c r="N636" s="87"/>
      <c r="O636" s="216">
        <f>+N636+M636</f>
        <v>123.27955</v>
      </c>
      <c r="P636" s="92">
        <f t="shared" si="187"/>
        <v>80.1317075</v>
      </c>
      <c r="Q636" s="92">
        <f t="shared" si="187"/>
        <v>0</v>
      </c>
      <c r="R636" s="226">
        <f>+Q636+P636</f>
        <v>80.1317075</v>
      </c>
      <c r="S636" s="414" t="s">
        <v>717</v>
      </c>
      <c r="T636" s="415"/>
    </row>
    <row r="637" spans="1:20" s="98" customFormat="1" ht="22.5" customHeight="1">
      <c r="A637" s="61" t="s">
        <v>710</v>
      </c>
      <c r="B637" s="7"/>
      <c r="C637" s="95" t="s">
        <v>151</v>
      </c>
      <c r="D637" s="95" t="s">
        <v>89</v>
      </c>
      <c r="E637" s="161" t="s">
        <v>90</v>
      </c>
      <c r="F637" s="97" t="s">
        <v>821</v>
      </c>
      <c r="G637" s="134">
        <v>39300</v>
      </c>
      <c r="H637" s="134">
        <v>39359</v>
      </c>
      <c r="I637" s="126" t="s">
        <v>196</v>
      </c>
      <c r="J637" s="31">
        <v>43.6</v>
      </c>
      <c r="K637" s="120">
        <v>8.81</v>
      </c>
      <c r="L637" s="205">
        <v>56</v>
      </c>
      <c r="M637" s="87">
        <v>15.999200000000002</v>
      </c>
      <c r="N637" s="87"/>
      <c r="O637" s="216">
        <f aca="true" t="shared" si="188" ref="O637:O661">+N637+M637</f>
        <v>15.999200000000002</v>
      </c>
      <c r="P637" s="92">
        <f aca="true" t="shared" si="189" ref="P637:P661">M637*0.65</f>
        <v>10.399480000000002</v>
      </c>
      <c r="Q637" s="92">
        <f aca="true" t="shared" si="190" ref="Q637:Q661">N637*0.65</f>
        <v>0</v>
      </c>
      <c r="R637" s="226">
        <f aca="true" t="shared" si="191" ref="R637:R661">+Q637+P637</f>
        <v>10.399480000000002</v>
      </c>
      <c r="S637" s="414" t="s">
        <v>717</v>
      </c>
      <c r="T637" s="415"/>
    </row>
    <row r="638" spans="1:20" s="98" customFormat="1" ht="22.5" customHeight="1">
      <c r="A638" s="61" t="s">
        <v>710</v>
      </c>
      <c r="B638" s="7"/>
      <c r="C638" s="95" t="s">
        <v>151</v>
      </c>
      <c r="D638" s="95" t="s">
        <v>89</v>
      </c>
      <c r="E638" s="161" t="s">
        <v>90</v>
      </c>
      <c r="F638" s="97" t="s">
        <v>822</v>
      </c>
      <c r="G638" s="134">
        <v>39300</v>
      </c>
      <c r="H638" s="134">
        <v>39359</v>
      </c>
      <c r="I638" s="126" t="s">
        <v>196</v>
      </c>
      <c r="J638" s="31">
        <v>148.39</v>
      </c>
      <c r="K638" s="120">
        <v>29.76</v>
      </c>
      <c r="L638" s="205">
        <v>189</v>
      </c>
      <c r="M638" s="87">
        <v>53.997299999999996</v>
      </c>
      <c r="N638" s="87"/>
      <c r="O638" s="216">
        <f t="shared" si="188"/>
        <v>53.997299999999996</v>
      </c>
      <c r="P638" s="92">
        <f t="shared" si="189"/>
        <v>35.098245</v>
      </c>
      <c r="Q638" s="92">
        <f t="shared" si="190"/>
        <v>0</v>
      </c>
      <c r="R638" s="226">
        <f t="shared" si="191"/>
        <v>35.098245</v>
      </c>
      <c r="S638" s="414" t="s">
        <v>717</v>
      </c>
      <c r="T638" s="415"/>
    </row>
    <row r="639" spans="1:20" s="98" customFormat="1" ht="22.5" customHeight="1">
      <c r="A639" s="61" t="s">
        <v>710</v>
      </c>
      <c r="B639" s="7"/>
      <c r="C639" s="95" t="s">
        <v>151</v>
      </c>
      <c r="D639" s="95" t="s">
        <v>89</v>
      </c>
      <c r="E639" s="161" t="s">
        <v>90</v>
      </c>
      <c r="F639" s="97" t="s">
        <v>823</v>
      </c>
      <c r="G639" s="134">
        <v>39300</v>
      </c>
      <c r="H639" s="134">
        <v>39359</v>
      </c>
      <c r="I639" s="126" t="s">
        <v>196</v>
      </c>
      <c r="J639" s="31">
        <v>1137.74</v>
      </c>
      <c r="K639" s="120">
        <v>227.63</v>
      </c>
      <c r="L639" s="205">
        <v>1451</v>
      </c>
      <c r="M639" s="87">
        <v>414.55069999999995</v>
      </c>
      <c r="N639" s="87"/>
      <c r="O639" s="216">
        <f t="shared" si="188"/>
        <v>414.55069999999995</v>
      </c>
      <c r="P639" s="92">
        <f t="shared" si="189"/>
        <v>269.45795499999997</v>
      </c>
      <c r="Q639" s="92">
        <f t="shared" si="190"/>
        <v>0</v>
      </c>
      <c r="R639" s="226">
        <f t="shared" si="191"/>
        <v>269.45795499999997</v>
      </c>
      <c r="S639" s="414" t="s">
        <v>717</v>
      </c>
      <c r="T639" s="415"/>
    </row>
    <row r="640" spans="1:20" s="98" customFormat="1" ht="22.5" customHeight="1">
      <c r="A640" s="61" t="s">
        <v>710</v>
      </c>
      <c r="B640" s="7"/>
      <c r="C640" s="95" t="s">
        <v>151</v>
      </c>
      <c r="D640" s="95" t="s">
        <v>89</v>
      </c>
      <c r="E640" s="161" t="s">
        <v>90</v>
      </c>
      <c r="F640" s="97" t="s">
        <v>824</v>
      </c>
      <c r="G640" s="134">
        <v>39360</v>
      </c>
      <c r="H640" s="134">
        <v>39414</v>
      </c>
      <c r="I640" s="126" t="s">
        <v>196</v>
      </c>
      <c r="J640" s="31">
        <v>828.06</v>
      </c>
      <c r="K640" s="120">
        <v>165.7</v>
      </c>
      <c r="L640" s="205">
        <v>994</v>
      </c>
      <c r="M640" s="87">
        <v>283.9858</v>
      </c>
      <c r="N640" s="87"/>
      <c r="O640" s="216">
        <f t="shared" si="188"/>
        <v>283.9858</v>
      </c>
      <c r="P640" s="92">
        <f t="shared" si="189"/>
        <v>184.59077</v>
      </c>
      <c r="Q640" s="92">
        <f t="shared" si="190"/>
        <v>0</v>
      </c>
      <c r="R640" s="226">
        <f t="shared" si="191"/>
        <v>184.59077</v>
      </c>
      <c r="S640" s="414" t="s">
        <v>717</v>
      </c>
      <c r="T640" s="415"/>
    </row>
    <row r="641" spans="1:20" s="98" customFormat="1" ht="22.5" customHeight="1">
      <c r="A641" s="61" t="s">
        <v>710</v>
      </c>
      <c r="B641" s="7"/>
      <c r="C641" s="95" t="s">
        <v>151</v>
      </c>
      <c r="D641" s="95" t="s">
        <v>89</v>
      </c>
      <c r="E641" s="161" t="s">
        <v>90</v>
      </c>
      <c r="F641" s="97" t="s">
        <v>825</v>
      </c>
      <c r="G641" s="134">
        <v>39360</v>
      </c>
      <c r="H641" s="134">
        <v>39414</v>
      </c>
      <c r="I641" s="126" t="s">
        <v>196</v>
      </c>
      <c r="J641" s="31">
        <v>140.1</v>
      </c>
      <c r="K641" s="120">
        <v>28.11</v>
      </c>
      <c r="L641" s="205">
        <v>168.5</v>
      </c>
      <c r="M641" s="87">
        <v>48.14045</v>
      </c>
      <c r="N641" s="87"/>
      <c r="O641" s="216">
        <f t="shared" si="188"/>
        <v>48.14045</v>
      </c>
      <c r="P641" s="92">
        <f t="shared" si="189"/>
        <v>31.2912925</v>
      </c>
      <c r="Q641" s="92">
        <f t="shared" si="190"/>
        <v>0</v>
      </c>
      <c r="R641" s="226">
        <f t="shared" si="191"/>
        <v>31.2912925</v>
      </c>
      <c r="S641" s="414" t="s">
        <v>717</v>
      </c>
      <c r="T641" s="415"/>
    </row>
    <row r="642" spans="1:20" s="98" customFormat="1" ht="22.5" customHeight="1">
      <c r="A642" s="61" t="s">
        <v>710</v>
      </c>
      <c r="B642" s="7"/>
      <c r="C642" s="95" t="s">
        <v>151</v>
      </c>
      <c r="D642" s="95" t="s">
        <v>89</v>
      </c>
      <c r="E642" s="161" t="s">
        <v>90</v>
      </c>
      <c r="F642" s="97" t="s">
        <v>826</v>
      </c>
      <c r="G642" s="134">
        <v>39360</v>
      </c>
      <c r="H642" s="134">
        <v>39414</v>
      </c>
      <c r="I642" s="126" t="s">
        <v>196</v>
      </c>
      <c r="J642" s="31">
        <v>45.7</v>
      </c>
      <c r="K642" s="120">
        <v>9.23</v>
      </c>
      <c r="L642" s="205">
        <v>55.5</v>
      </c>
      <c r="M642" s="87">
        <v>15.856350000000003</v>
      </c>
      <c r="N642" s="87"/>
      <c r="O642" s="216">
        <f t="shared" si="188"/>
        <v>15.856350000000003</v>
      </c>
      <c r="P642" s="92">
        <f t="shared" si="189"/>
        <v>10.306627500000001</v>
      </c>
      <c r="Q642" s="92">
        <f t="shared" si="190"/>
        <v>0</v>
      </c>
      <c r="R642" s="226">
        <f t="shared" si="191"/>
        <v>10.306627500000001</v>
      </c>
      <c r="S642" s="414" t="s">
        <v>717</v>
      </c>
      <c r="T642" s="415"/>
    </row>
    <row r="643" spans="1:20" s="98" customFormat="1" ht="22.5" customHeight="1">
      <c r="A643" s="61" t="s">
        <v>710</v>
      </c>
      <c r="B643" s="7"/>
      <c r="C643" s="95" t="s">
        <v>151</v>
      </c>
      <c r="D643" s="95" t="s">
        <v>89</v>
      </c>
      <c r="E643" s="161" t="s">
        <v>90</v>
      </c>
      <c r="F643" s="97" t="s">
        <v>827</v>
      </c>
      <c r="G643" s="134">
        <v>39360</v>
      </c>
      <c r="H643" s="134">
        <v>39414</v>
      </c>
      <c r="I643" s="126" t="s">
        <v>196</v>
      </c>
      <c r="J643" s="31">
        <v>261.43</v>
      </c>
      <c r="K643" s="120">
        <v>52.44</v>
      </c>
      <c r="L643" s="205">
        <v>314.5</v>
      </c>
      <c r="M643" s="87">
        <v>89.85265</v>
      </c>
      <c r="N643" s="87"/>
      <c r="O643" s="216">
        <f t="shared" si="188"/>
        <v>89.85265</v>
      </c>
      <c r="P643" s="92">
        <f t="shared" si="189"/>
        <v>58.4042225</v>
      </c>
      <c r="Q643" s="92">
        <f t="shared" si="190"/>
        <v>0</v>
      </c>
      <c r="R643" s="226">
        <f t="shared" si="191"/>
        <v>58.4042225</v>
      </c>
      <c r="S643" s="414" t="s">
        <v>717</v>
      </c>
      <c r="T643" s="415"/>
    </row>
    <row r="644" spans="1:20" s="98" customFormat="1" ht="22.5" customHeight="1">
      <c r="A644" s="61" t="s">
        <v>710</v>
      </c>
      <c r="B644" s="7"/>
      <c r="C644" s="95" t="s">
        <v>151</v>
      </c>
      <c r="D644" s="95" t="s">
        <v>89</v>
      </c>
      <c r="E644" s="161" t="s">
        <v>90</v>
      </c>
      <c r="F644" s="97" t="s">
        <v>828</v>
      </c>
      <c r="G644" s="134">
        <v>39422</v>
      </c>
      <c r="H644" s="134">
        <v>39477</v>
      </c>
      <c r="I644" s="126" t="s">
        <v>92</v>
      </c>
      <c r="J644" s="31">
        <v>1311.3</v>
      </c>
      <c r="K644" s="120">
        <v>262.34</v>
      </c>
      <c r="L644" s="205">
        <v>1625.5</v>
      </c>
      <c r="M644" s="87">
        <v>464.40535</v>
      </c>
      <c r="N644" s="87"/>
      <c r="O644" s="216">
        <f t="shared" si="188"/>
        <v>464.40535</v>
      </c>
      <c r="P644" s="92">
        <f t="shared" si="189"/>
        <v>301.8634775</v>
      </c>
      <c r="Q644" s="92">
        <f t="shared" si="190"/>
        <v>0</v>
      </c>
      <c r="R644" s="226">
        <f t="shared" si="191"/>
        <v>301.8634775</v>
      </c>
      <c r="S644" s="414" t="s">
        <v>717</v>
      </c>
      <c r="T644" s="415"/>
    </row>
    <row r="645" spans="1:20" s="98" customFormat="1" ht="22.5" customHeight="1">
      <c r="A645" s="61" t="s">
        <v>710</v>
      </c>
      <c r="B645" s="7"/>
      <c r="C645" s="95" t="s">
        <v>151</v>
      </c>
      <c r="D645" s="95" t="s">
        <v>89</v>
      </c>
      <c r="E645" s="161" t="s">
        <v>90</v>
      </c>
      <c r="F645" s="97" t="s">
        <v>829</v>
      </c>
      <c r="G645" s="134">
        <v>39422</v>
      </c>
      <c r="H645" s="134">
        <v>39477</v>
      </c>
      <c r="I645" s="126" t="s">
        <v>92</v>
      </c>
      <c r="J645" s="31">
        <v>156.12</v>
      </c>
      <c r="K645" s="120">
        <v>31.31</v>
      </c>
      <c r="L645" s="205">
        <v>195</v>
      </c>
      <c r="M645" s="87">
        <v>55.7115</v>
      </c>
      <c r="N645" s="87"/>
      <c r="O645" s="216">
        <f t="shared" si="188"/>
        <v>55.7115</v>
      </c>
      <c r="P645" s="92">
        <f t="shared" si="189"/>
        <v>36.212475000000005</v>
      </c>
      <c r="Q645" s="92">
        <f t="shared" si="190"/>
        <v>0</v>
      </c>
      <c r="R645" s="226">
        <f t="shared" si="191"/>
        <v>36.212475000000005</v>
      </c>
      <c r="S645" s="414" t="s">
        <v>717</v>
      </c>
      <c r="T645" s="415"/>
    </row>
    <row r="646" spans="1:20" s="98" customFormat="1" ht="22.5" customHeight="1">
      <c r="A646" s="61" t="s">
        <v>710</v>
      </c>
      <c r="B646" s="7"/>
      <c r="C646" s="95" t="s">
        <v>151</v>
      </c>
      <c r="D646" s="95" t="s">
        <v>89</v>
      </c>
      <c r="E646" s="161" t="s">
        <v>90</v>
      </c>
      <c r="F646" s="97" t="s">
        <v>830</v>
      </c>
      <c r="G646" s="134">
        <v>39422</v>
      </c>
      <c r="H646" s="134">
        <v>39477</v>
      </c>
      <c r="I646" s="126" t="s">
        <v>92</v>
      </c>
      <c r="J646" s="31">
        <v>45</v>
      </c>
      <c r="K646" s="120">
        <v>9.09</v>
      </c>
      <c r="L646" s="205">
        <v>56.5</v>
      </c>
      <c r="M646" s="87">
        <v>16.14205</v>
      </c>
      <c r="N646" s="87"/>
      <c r="O646" s="216">
        <f t="shared" si="188"/>
        <v>16.14205</v>
      </c>
      <c r="P646" s="92">
        <f t="shared" si="189"/>
        <v>10.492332500000002</v>
      </c>
      <c r="Q646" s="92">
        <f t="shared" si="190"/>
        <v>0</v>
      </c>
      <c r="R646" s="226">
        <f t="shared" si="191"/>
        <v>10.492332500000002</v>
      </c>
      <c r="S646" s="414" t="s">
        <v>717</v>
      </c>
      <c r="T646" s="415"/>
    </row>
    <row r="647" spans="1:20" s="98" customFormat="1" ht="22.5" customHeight="1">
      <c r="A647" s="61" t="s">
        <v>710</v>
      </c>
      <c r="B647" s="7"/>
      <c r="C647" s="95" t="s">
        <v>151</v>
      </c>
      <c r="D647" s="95" t="s">
        <v>105</v>
      </c>
      <c r="E647" s="161" t="s">
        <v>736</v>
      </c>
      <c r="F647" s="97">
        <v>750084061920214</v>
      </c>
      <c r="G647" s="134">
        <v>39296</v>
      </c>
      <c r="H647" s="134">
        <v>39343</v>
      </c>
      <c r="I647" s="126" t="s">
        <v>92</v>
      </c>
      <c r="J647" s="31">
        <v>2943.46</v>
      </c>
      <c r="K647" s="120">
        <v>588.69</v>
      </c>
      <c r="L647" s="205">
        <v>3542.77</v>
      </c>
      <c r="M647" s="87">
        <v>1012.169389</v>
      </c>
      <c r="N647" s="87"/>
      <c r="O647" s="216">
        <f t="shared" si="188"/>
        <v>1012.169389</v>
      </c>
      <c r="P647" s="92">
        <f t="shared" si="189"/>
        <v>657.91010285</v>
      </c>
      <c r="Q647" s="92">
        <f t="shared" si="190"/>
        <v>0</v>
      </c>
      <c r="R647" s="226">
        <f t="shared" si="191"/>
        <v>657.91010285</v>
      </c>
      <c r="S647" s="414" t="s">
        <v>717</v>
      </c>
      <c r="T647" s="415"/>
    </row>
    <row r="648" spans="1:20" s="98" customFormat="1" ht="22.5" customHeight="1">
      <c r="A648" s="61" t="s">
        <v>710</v>
      </c>
      <c r="B648" s="7"/>
      <c r="C648" s="95" t="s">
        <v>151</v>
      </c>
      <c r="D648" s="95" t="s">
        <v>105</v>
      </c>
      <c r="E648" s="161" t="s">
        <v>736</v>
      </c>
      <c r="F648" s="97">
        <v>750084061920215</v>
      </c>
      <c r="G648" s="134">
        <v>39327</v>
      </c>
      <c r="H648" s="134">
        <v>39367</v>
      </c>
      <c r="I648" s="126" t="s">
        <v>92</v>
      </c>
      <c r="J648" s="31">
        <v>2648.92</v>
      </c>
      <c r="K648" s="120">
        <v>529.784</v>
      </c>
      <c r="L648" s="205">
        <v>3188.664</v>
      </c>
      <c r="M648" s="87">
        <v>911.0013048000001</v>
      </c>
      <c r="N648" s="87"/>
      <c r="O648" s="216">
        <f t="shared" si="188"/>
        <v>911.0013048000001</v>
      </c>
      <c r="P648" s="92">
        <f t="shared" si="189"/>
        <v>592.1508481200001</v>
      </c>
      <c r="Q648" s="92">
        <f t="shared" si="190"/>
        <v>0</v>
      </c>
      <c r="R648" s="226">
        <f t="shared" si="191"/>
        <v>592.1508481200001</v>
      </c>
      <c r="S648" s="414" t="s">
        <v>717</v>
      </c>
      <c r="T648" s="415"/>
    </row>
    <row r="649" spans="1:20" s="98" customFormat="1" ht="22.5" customHeight="1">
      <c r="A649" s="61" t="s">
        <v>710</v>
      </c>
      <c r="B649" s="7"/>
      <c r="C649" s="95" t="s">
        <v>151</v>
      </c>
      <c r="D649" s="95" t="s">
        <v>105</v>
      </c>
      <c r="E649" s="161" t="s">
        <v>736</v>
      </c>
      <c r="F649" s="97">
        <v>750084061920216</v>
      </c>
      <c r="G649" s="134">
        <v>39357</v>
      </c>
      <c r="H649" s="134">
        <v>39405</v>
      </c>
      <c r="I649" s="126" t="s">
        <v>92</v>
      </c>
      <c r="J649" s="31">
        <v>2472.01</v>
      </c>
      <c r="K649" s="120">
        <v>494.96</v>
      </c>
      <c r="L649" s="205">
        <v>2989.37</v>
      </c>
      <c r="M649" s="87">
        <v>854.0630090000001</v>
      </c>
      <c r="N649" s="87"/>
      <c r="O649" s="216">
        <f t="shared" si="188"/>
        <v>854.0630090000001</v>
      </c>
      <c r="P649" s="92">
        <f t="shared" si="189"/>
        <v>555.1409558500001</v>
      </c>
      <c r="Q649" s="92">
        <f t="shared" si="190"/>
        <v>0</v>
      </c>
      <c r="R649" s="226">
        <f t="shared" si="191"/>
        <v>555.1409558500001</v>
      </c>
      <c r="S649" s="414" t="s">
        <v>717</v>
      </c>
      <c r="T649" s="415"/>
    </row>
    <row r="650" spans="1:20" s="98" customFormat="1" ht="22.5" customHeight="1">
      <c r="A650" s="61" t="s">
        <v>710</v>
      </c>
      <c r="B650" s="7"/>
      <c r="C650" s="95" t="s">
        <v>151</v>
      </c>
      <c r="D650" s="95" t="s">
        <v>105</v>
      </c>
      <c r="E650" s="161" t="s">
        <v>736</v>
      </c>
      <c r="F650" s="97">
        <v>750084061920217</v>
      </c>
      <c r="G650" s="134">
        <v>39388</v>
      </c>
      <c r="H650" s="134">
        <v>39435</v>
      </c>
      <c r="I650" s="126" t="s">
        <v>92</v>
      </c>
      <c r="J650" s="31">
        <v>2386.59</v>
      </c>
      <c r="K650" s="120">
        <v>477.32</v>
      </c>
      <c r="L650" s="205">
        <v>2876.97</v>
      </c>
      <c r="M650" s="87">
        <v>821.9503290000001</v>
      </c>
      <c r="N650" s="87"/>
      <c r="O650" s="216">
        <f t="shared" si="188"/>
        <v>821.9503290000001</v>
      </c>
      <c r="P650" s="92">
        <f t="shared" si="189"/>
        <v>534.2677138500001</v>
      </c>
      <c r="Q650" s="92">
        <f t="shared" si="190"/>
        <v>0</v>
      </c>
      <c r="R650" s="226">
        <f t="shared" si="191"/>
        <v>534.2677138500001</v>
      </c>
      <c r="S650" s="414" t="s">
        <v>717</v>
      </c>
      <c r="T650" s="415"/>
    </row>
    <row r="651" spans="1:20" s="98" customFormat="1" ht="22.5" customHeight="1">
      <c r="A651" s="61" t="s">
        <v>710</v>
      </c>
      <c r="B651" s="7"/>
      <c r="C651" s="95" t="s">
        <v>151</v>
      </c>
      <c r="D651" s="95" t="s">
        <v>105</v>
      </c>
      <c r="E651" s="161" t="s">
        <v>736</v>
      </c>
      <c r="F651" s="97">
        <v>750084061920218</v>
      </c>
      <c r="G651" s="134">
        <v>39418</v>
      </c>
      <c r="H651" s="134">
        <v>39444</v>
      </c>
      <c r="I651" s="126" t="s">
        <v>92</v>
      </c>
      <c r="J651" s="31">
        <v>2092.73</v>
      </c>
      <c r="K651" s="120">
        <v>419.11</v>
      </c>
      <c r="L651" s="205">
        <v>2531.73</v>
      </c>
      <c r="M651" s="87">
        <v>723.3152610000001</v>
      </c>
      <c r="N651" s="87"/>
      <c r="O651" s="216">
        <f t="shared" si="188"/>
        <v>723.3152610000001</v>
      </c>
      <c r="P651" s="92">
        <f t="shared" si="189"/>
        <v>470.15491965000007</v>
      </c>
      <c r="Q651" s="92">
        <f t="shared" si="190"/>
        <v>0</v>
      </c>
      <c r="R651" s="226">
        <f t="shared" si="191"/>
        <v>470.15491965000007</v>
      </c>
      <c r="S651" s="414" t="s">
        <v>717</v>
      </c>
      <c r="T651" s="415"/>
    </row>
    <row r="652" spans="1:20" s="98" customFormat="1" ht="22.5" customHeight="1">
      <c r="A652" s="61" t="s">
        <v>710</v>
      </c>
      <c r="B652" s="7"/>
      <c r="C652" s="95" t="s">
        <v>151</v>
      </c>
      <c r="D652" s="95" t="s">
        <v>113</v>
      </c>
      <c r="E652" s="161" t="s">
        <v>685</v>
      </c>
      <c r="F652" s="97">
        <v>384007125254</v>
      </c>
      <c r="G652" s="134">
        <v>39343</v>
      </c>
      <c r="H652" s="134">
        <v>39393</v>
      </c>
      <c r="I652" s="126" t="s">
        <v>92</v>
      </c>
      <c r="J652" s="31">
        <v>179.75</v>
      </c>
      <c r="K652" s="120">
        <v>36.51</v>
      </c>
      <c r="L652" s="205">
        <v>220.44</v>
      </c>
      <c r="M652" s="87">
        <v>62.97970800000001</v>
      </c>
      <c r="N652" s="87"/>
      <c r="O652" s="216">
        <f t="shared" si="188"/>
        <v>62.97970800000001</v>
      </c>
      <c r="P652" s="92">
        <f t="shared" si="189"/>
        <v>40.93681020000001</v>
      </c>
      <c r="Q652" s="92">
        <f t="shared" si="190"/>
        <v>0</v>
      </c>
      <c r="R652" s="226">
        <f t="shared" si="191"/>
        <v>40.93681020000001</v>
      </c>
      <c r="S652" s="414" t="s">
        <v>717</v>
      </c>
      <c r="T652" s="415"/>
    </row>
    <row r="653" spans="1:20" s="98" customFormat="1" ht="22.5" customHeight="1">
      <c r="A653" s="61" t="s">
        <v>710</v>
      </c>
      <c r="B653" s="7"/>
      <c r="C653" s="95" t="s">
        <v>151</v>
      </c>
      <c r="D653" s="95" t="s">
        <v>113</v>
      </c>
      <c r="E653" s="161" t="s">
        <v>685</v>
      </c>
      <c r="F653" s="97">
        <v>384007164170</v>
      </c>
      <c r="G653" s="134">
        <v>39419</v>
      </c>
      <c r="H653" s="134">
        <v>39435</v>
      </c>
      <c r="I653" s="126" t="s">
        <v>92</v>
      </c>
      <c r="J653" s="31">
        <v>241.48</v>
      </c>
      <c r="K653" s="120">
        <v>48.3</v>
      </c>
      <c r="L653" s="205">
        <v>290.7</v>
      </c>
      <c r="M653" s="87">
        <v>83.05299</v>
      </c>
      <c r="N653" s="87"/>
      <c r="O653" s="216">
        <f t="shared" si="188"/>
        <v>83.05299</v>
      </c>
      <c r="P653" s="92">
        <f t="shared" si="189"/>
        <v>53.9844435</v>
      </c>
      <c r="Q653" s="92">
        <f t="shared" si="190"/>
        <v>0</v>
      </c>
      <c r="R653" s="226">
        <f t="shared" si="191"/>
        <v>53.9844435</v>
      </c>
      <c r="S653" s="414" t="s">
        <v>717</v>
      </c>
      <c r="T653" s="415"/>
    </row>
    <row r="654" spans="1:20" s="98" customFormat="1" ht="22.5" customHeight="1">
      <c r="A654" s="61" t="s">
        <v>710</v>
      </c>
      <c r="B654" s="7"/>
      <c r="C654" s="95" t="s">
        <v>151</v>
      </c>
      <c r="D654" s="95" t="s">
        <v>115</v>
      </c>
      <c r="E654" s="161" t="s">
        <v>38</v>
      </c>
      <c r="F654" s="97" t="s">
        <v>831</v>
      </c>
      <c r="G654" s="134">
        <v>39286</v>
      </c>
      <c r="H654" s="134">
        <v>39353</v>
      </c>
      <c r="I654" s="126" t="s">
        <v>92</v>
      </c>
      <c r="J654" s="31">
        <v>135.84</v>
      </c>
      <c r="K654" s="120">
        <v>13.58</v>
      </c>
      <c r="L654" s="205">
        <v>285.9</v>
      </c>
      <c r="M654" s="87">
        <v>81.68163000000001</v>
      </c>
      <c r="N654" s="87"/>
      <c r="O654" s="216">
        <f t="shared" si="188"/>
        <v>81.68163000000001</v>
      </c>
      <c r="P654" s="92">
        <f t="shared" si="189"/>
        <v>53.09305950000001</v>
      </c>
      <c r="Q654" s="92">
        <f t="shared" si="190"/>
        <v>0</v>
      </c>
      <c r="R654" s="226">
        <f t="shared" si="191"/>
        <v>53.09305950000001</v>
      </c>
      <c r="S654" s="414" t="s">
        <v>717</v>
      </c>
      <c r="T654" s="415"/>
    </row>
    <row r="655" spans="1:20" s="98" customFormat="1" ht="22.5" customHeight="1">
      <c r="A655" s="61" t="s">
        <v>710</v>
      </c>
      <c r="B655" s="7"/>
      <c r="C655" s="95" t="s">
        <v>151</v>
      </c>
      <c r="D655" s="95" t="s">
        <v>115</v>
      </c>
      <c r="E655" s="161" t="s">
        <v>38</v>
      </c>
      <c r="F655" s="97" t="s">
        <v>832</v>
      </c>
      <c r="G655" s="134">
        <v>39365</v>
      </c>
      <c r="H655" s="134">
        <v>39435</v>
      </c>
      <c r="I655" s="126" t="s">
        <v>92</v>
      </c>
      <c r="J655" s="31">
        <v>137.3</v>
      </c>
      <c r="K655" s="120">
        <v>13.73</v>
      </c>
      <c r="L655" s="205">
        <v>150.28</v>
      </c>
      <c r="M655" s="87">
        <v>42.934996000000005</v>
      </c>
      <c r="N655" s="87"/>
      <c r="O655" s="216">
        <f t="shared" si="188"/>
        <v>42.934996000000005</v>
      </c>
      <c r="P655" s="92">
        <f t="shared" si="189"/>
        <v>27.907747400000005</v>
      </c>
      <c r="Q655" s="92">
        <f t="shared" si="190"/>
        <v>0</v>
      </c>
      <c r="R655" s="226">
        <f t="shared" si="191"/>
        <v>27.907747400000005</v>
      </c>
      <c r="S655" s="414" t="s">
        <v>717</v>
      </c>
      <c r="T655" s="415"/>
    </row>
    <row r="656" spans="1:20" s="98" customFormat="1" ht="22.5" customHeight="1">
      <c r="A656" s="61" t="s">
        <v>710</v>
      </c>
      <c r="B656" s="7"/>
      <c r="C656" s="95" t="s">
        <v>151</v>
      </c>
      <c r="D656" s="95" t="s">
        <v>431</v>
      </c>
      <c r="E656" s="161" t="s">
        <v>117</v>
      </c>
      <c r="F656" s="97" t="s">
        <v>833</v>
      </c>
      <c r="G656" s="134">
        <v>39356</v>
      </c>
      <c r="H656" s="134">
        <v>39357</v>
      </c>
      <c r="I656" s="126" t="s">
        <v>834</v>
      </c>
      <c r="J656" s="31">
        <v>246.64</v>
      </c>
      <c r="K656" s="120">
        <v>49.33</v>
      </c>
      <c r="L656" s="205">
        <v>295.97</v>
      </c>
      <c r="M656" s="87">
        <v>84.558629</v>
      </c>
      <c r="N656" s="87"/>
      <c r="O656" s="216">
        <f t="shared" si="188"/>
        <v>84.558629</v>
      </c>
      <c r="P656" s="92">
        <f t="shared" si="189"/>
        <v>54.96310885</v>
      </c>
      <c r="Q656" s="92">
        <f t="shared" si="190"/>
        <v>0</v>
      </c>
      <c r="R656" s="226">
        <f t="shared" si="191"/>
        <v>54.96310885</v>
      </c>
      <c r="S656" s="414" t="s">
        <v>717</v>
      </c>
      <c r="T656" s="415"/>
    </row>
    <row r="657" spans="1:20" s="98" customFormat="1" ht="22.5" customHeight="1">
      <c r="A657" s="61" t="s">
        <v>710</v>
      </c>
      <c r="B657" s="7"/>
      <c r="C657" s="95" t="s">
        <v>151</v>
      </c>
      <c r="D657" s="95" t="s">
        <v>120</v>
      </c>
      <c r="E657" s="161" t="s">
        <v>835</v>
      </c>
      <c r="F657" s="97">
        <v>411</v>
      </c>
      <c r="G657" s="134">
        <v>39325</v>
      </c>
      <c r="H657" s="134">
        <v>39339</v>
      </c>
      <c r="I657" s="126" t="s">
        <v>836</v>
      </c>
      <c r="J657" s="31">
        <v>1200</v>
      </c>
      <c r="K657" s="120">
        <v>240</v>
      </c>
      <c r="L657" s="205">
        <v>1440</v>
      </c>
      <c r="M657" s="87">
        <v>411.408</v>
      </c>
      <c r="N657" s="87"/>
      <c r="O657" s="216">
        <f t="shared" si="188"/>
        <v>411.408</v>
      </c>
      <c r="P657" s="92">
        <f t="shared" si="189"/>
        <v>267.4152</v>
      </c>
      <c r="Q657" s="92">
        <f t="shared" si="190"/>
        <v>0</v>
      </c>
      <c r="R657" s="226">
        <f t="shared" si="191"/>
        <v>267.4152</v>
      </c>
      <c r="S657" s="414" t="s">
        <v>717</v>
      </c>
      <c r="T657" s="415"/>
    </row>
    <row r="658" spans="1:20" s="98" customFormat="1" ht="22.5" customHeight="1">
      <c r="A658" s="61" t="s">
        <v>710</v>
      </c>
      <c r="B658" s="7"/>
      <c r="C658" s="95" t="s">
        <v>151</v>
      </c>
      <c r="D658" s="95" t="s">
        <v>120</v>
      </c>
      <c r="E658" s="161" t="s">
        <v>835</v>
      </c>
      <c r="F658" s="97">
        <v>465</v>
      </c>
      <c r="G658" s="134">
        <v>39355</v>
      </c>
      <c r="H658" s="134">
        <v>39356</v>
      </c>
      <c r="I658" s="126" t="s">
        <v>837</v>
      </c>
      <c r="J658" s="31">
        <v>1200</v>
      </c>
      <c r="K658" s="120">
        <v>240</v>
      </c>
      <c r="L658" s="205">
        <v>1440</v>
      </c>
      <c r="M658" s="87">
        <v>411.408</v>
      </c>
      <c r="N658" s="87"/>
      <c r="O658" s="216">
        <f t="shared" si="188"/>
        <v>411.408</v>
      </c>
      <c r="P658" s="92">
        <f t="shared" si="189"/>
        <v>267.4152</v>
      </c>
      <c r="Q658" s="92">
        <f t="shared" si="190"/>
        <v>0</v>
      </c>
      <c r="R658" s="226">
        <f t="shared" si="191"/>
        <v>267.4152</v>
      </c>
      <c r="S658" s="414" t="s">
        <v>717</v>
      </c>
      <c r="T658" s="415"/>
    </row>
    <row r="659" spans="1:20" s="98" customFormat="1" ht="22.5" customHeight="1">
      <c r="A659" s="61" t="s">
        <v>710</v>
      </c>
      <c r="B659" s="7"/>
      <c r="C659" s="95" t="s">
        <v>151</v>
      </c>
      <c r="D659" s="95" t="s">
        <v>120</v>
      </c>
      <c r="E659" s="161" t="s">
        <v>835</v>
      </c>
      <c r="F659" s="97">
        <v>533</v>
      </c>
      <c r="G659" s="134">
        <v>39386</v>
      </c>
      <c r="H659" s="134">
        <v>39405</v>
      </c>
      <c r="I659" s="126" t="s">
        <v>838</v>
      </c>
      <c r="J659" s="31">
        <v>1200</v>
      </c>
      <c r="K659" s="120">
        <v>240</v>
      </c>
      <c r="L659" s="205">
        <v>1440</v>
      </c>
      <c r="M659" s="87">
        <v>411.408</v>
      </c>
      <c r="N659" s="87"/>
      <c r="O659" s="216">
        <f t="shared" si="188"/>
        <v>411.408</v>
      </c>
      <c r="P659" s="92">
        <f t="shared" si="189"/>
        <v>267.4152</v>
      </c>
      <c r="Q659" s="92">
        <f t="shared" si="190"/>
        <v>0</v>
      </c>
      <c r="R659" s="226">
        <f t="shared" si="191"/>
        <v>267.4152</v>
      </c>
      <c r="S659" s="414" t="s">
        <v>717</v>
      </c>
      <c r="T659" s="415"/>
    </row>
    <row r="660" spans="1:20" s="98" customFormat="1" ht="22.5" customHeight="1">
      <c r="A660" s="61" t="s">
        <v>710</v>
      </c>
      <c r="B660" s="7"/>
      <c r="C660" s="95" t="s">
        <v>151</v>
      </c>
      <c r="D660" s="95" t="s">
        <v>120</v>
      </c>
      <c r="E660" s="161" t="s">
        <v>745</v>
      </c>
      <c r="F660" s="97">
        <v>589</v>
      </c>
      <c r="G660" s="134">
        <v>39416</v>
      </c>
      <c r="H660" s="134">
        <v>39451</v>
      </c>
      <c r="I660" s="126" t="s">
        <v>839</v>
      </c>
      <c r="J660" s="31">
        <v>1200</v>
      </c>
      <c r="K660" s="120">
        <v>240</v>
      </c>
      <c r="L660" s="205">
        <v>1440</v>
      </c>
      <c r="M660" s="87">
        <v>411.408</v>
      </c>
      <c r="N660" s="87"/>
      <c r="O660" s="216">
        <f t="shared" si="188"/>
        <v>411.408</v>
      </c>
      <c r="P660" s="92">
        <f t="shared" si="189"/>
        <v>267.4152</v>
      </c>
      <c r="Q660" s="92">
        <f t="shared" si="190"/>
        <v>0</v>
      </c>
      <c r="R660" s="226">
        <f t="shared" si="191"/>
        <v>267.4152</v>
      </c>
      <c r="S660" s="414" t="s">
        <v>717</v>
      </c>
      <c r="T660" s="415"/>
    </row>
    <row r="661" spans="1:20" s="98" customFormat="1" ht="22.5" customHeight="1">
      <c r="A661" s="61" t="s">
        <v>710</v>
      </c>
      <c r="B661" s="7"/>
      <c r="C661" s="95" t="s">
        <v>151</v>
      </c>
      <c r="D661" s="95" t="s">
        <v>120</v>
      </c>
      <c r="E661" s="161" t="s">
        <v>745</v>
      </c>
      <c r="F661" s="97">
        <v>672</v>
      </c>
      <c r="G661" s="134">
        <v>39447</v>
      </c>
      <c r="H661" s="134">
        <v>39477</v>
      </c>
      <c r="I661" s="126" t="s">
        <v>840</v>
      </c>
      <c r="J661" s="31">
        <v>1200</v>
      </c>
      <c r="K661" s="120">
        <v>240</v>
      </c>
      <c r="L661" s="205">
        <v>1440</v>
      </c>
      <c r="M661" s="87">
        <v>411.408</v>
      </c>
      <c r="N661" s="87"/>
      <c r="O661" s="216">
        <f t="shared" si="188"/>
        <v>411.408</v>
      </c>
      <c r="P661" s="92">
        <f t="shared" si="189"/>
        <v>267.4152</v>
      </c>
      <c r="Q661" s="92">
        <f t="shared" si="190"/>
        <v>0</v>
      </c>
      <c r="R661" s="226">
        <f t="shared" si="191"/>
        <v>267.4152</v>
      </c>
      <c r="S661" s="414" t="s">
        <v>717</v>
      </c>
      <c r="T661" s="415"/>
    </row>
    <row r="662" spans="1:20" s="98" customFormat="1" ht="22.5" customHeight="1">
      <c r="A662" s="61"/>
      <c r="B662" s="7"/>
      <c r="C662" s="95"/>
      <c r="D662" s="95"/>
      <c r="E662" s="161"/>
      <c r="F662" s="97"/>
      <c r="G662" s="134"/>
      <c r="H662" s="134"/>
      <c r="I662" s="126"/>
      <c r="J662" s="31"/>
      <c r="K662" s="120"/>
      <c r="L662" s="205"/>
      <c r="M662" s="87"/>
      <c r="N662" s="87"/>
      <c r="O662" s="216"/>
      <c r="P662" s="92"/>
      <c r="Q662" s="92"/>
      <c r="R662" s="226"/>
      <c r="S662" s="315"/>
      <c r="T662" s="316"/>
    </row>
  </sheetData>
  <autoFilter ref="A13:U661"/>
  <mergeCells count="413">
    <mergeCell ref="S654:T654"/>
    <mergeCell ref="S655:T655"/>
    <mergeCell ref="S660:T660"/>
    <mergeCell ref="S661:T661"/>
    <mergeCell ref="S656:T656"/>
    <mergeCell ref="S657:T657"/>
    <mergeCell ref="S658:T658"/>
    <mergeCell ref="S659:T659"/>
    <mergeCell ref="S650:T650"/>
    <mergeCell ref="S651:T651"/>
    <mergeCell ref="S652:T652"/>
    <mergeCell ref="S653:T653"/>
    <mergeCell ref="S646:T646"/>
    <mergeCell ref="S647:T647"/>
    <mergeCell ref="S648:T648"/>
    <mergeCell ref="S649:T649"/>
    <mergeCell ref="S642:T642"/>
    <mergeCell ref="S643:T643"/>
    <mergeCell ref="S644:T644"/>
    <mergeCell ref="S645:T645"/>
    <mergeCell ref="S638:T638"/>
    <mergeCell ref="S639:T639"/>
    <mergeCell ref="S640:T640"/>
    <mergeCell ref="S641:T641"/>
    <mergeCell ref="S329:T329"/>
    <mergeCell ref="S330:T330"/>
    <mergeCell ref="S636:T636"/>
    <mergeCell ref="S637:T637"/>
    <mergeCell ref="S325:T325"/>
    <mergeCell ref="S326:T326"/>
    <mergeCell ref="S327:T327"/>
    <mergeCell ref="S328:T328"/>
    <mergeCell ref="S321:T321"/>
    <mergeCell ref="S322:T322"/>
    <mergeCell ref="S323:T323"/>
    <mergeCell ref="S324:T324"/>
    <mergeCell ref="S197:T197"/>
    <mergeCell ref="S198:T198"/>
    <mergeCell ref="S231:T231"/>
    <mergeCell ref="S232:T232"/>
    <mergeCell ref="S224:T224"/>
    <mergeCell ref="S633:T633"/>
    <mergeCell ref="S634:T634"/>
    <mergeCell ref="S635:T635"/>
    <mergeCell ref="S37:T37"/>
    <mergeCell ref="S38:T38"/>
    <mergeCell ref="S167:T167"/>
    <mergeCell ref="S168:T168"/>
    <mergeCell ref="S169:T169"/>
    <mergeCell ref="S170:T170"/>
    <mergeCell ref="S171:T171"/>
    <mergeCell ref="S629:T629"/>
    <mergeCell ref="S631:T631"/>
    <mergeCell ref="S632:T632"/>
    <mergeCell ref="S163:T163"/>
    <mergeCell ref="S164:T164"/>
    <mergeCell ref="S165:T165"/>
    <mergeCell ref="S166:T166"/>
    <mergeCell ref="S172:T172"/>
    <mergeCell ref="S173:T173"/>
    <mergeCell ref="S174:T174"/>
    <mergeCell ref="S625:T625"/>
    <mergeCell ref="S626:T626"/>
    <mergeCell ref="S627:T627"/>
    <mergeCell ref="S628:T628"/>
    <mergeCell ref="S621:T621"/>
    <mergeCell ref="S622:T622"/>
    <mergeCell ref="S623:T623"/>
    <mergeCell ref="S624:T624"/>
    <mergeCell ref="S617:T617"/>
    <mergeCell ref="S618:T618"/>
    <mergeCell ref="S619:T619"/>
    <mergeCell ref="S620:T620"/>
    <mergeCell ref="S613:T613"/>
    <mergeCell ref="S614:T614"/>
    <mergeCell ref="S615:T615"/>
    <mergeCell ref="S616:T616"/>
    <mergeCell ref="S609:T609"/>
    <mergeCell ref="S610:T610"/>
    <mergeCell ref="S611:T611"/>
    <mergeCell ref="S612:T612"/>
    <mergeCell ref="S605:T605"/>
    <mergeCell ref="S606:T606"/>
    <mergeCell ref="S607:T607"/>
    <mergeCell ref="S608:T608"/>
    <mergeCell ref="S161:T161"/>
    <mergeCell ref="S162:T162"/>
    <mergeCell ref="S313:T313"/>
    <mergeCell ref="S314:T314"/>
    <mergeCell ref="S193:T193"/>
    <mergeCell ref="S191:T191"/>
    <mergeCell ref="S192:T192"/>
    <mergeCell ref="S194:T194"/>
    <mergeCell ref="S195:T195"/>
    <mergeCell ref="S196:T196"/>
    <mergeCell ref="S157:T157"/>
    <mergeCell ref="S158:T158"/>
    <mergeCell ref="S159:T159"/>
    <mergeCell ref="S160:T160"/>
    <mergeCell ref="S36:T36"/>
    <mergeCell ref="S155:T155"/>
    <mergeCell ref="S151:T151"/>
    <mergeCell ref="S149:T149"/>
    <mergeCell ref="S150:T150"/>
    <mergeCell ref="S148:T148"/>
    <mergeCell ref="S65:T65"/>
    <mergeCell ref="S66:T66"/>
    <mergeCell ref="S67:T67"/>
    <mergeCell ref="S126:T126"/>
    <mergeCell ref="S473:T473"/>
    <mergeCell ref="S474:T474"/>
    <mergeCell ref="S470:T470"/>
    <mergeCell ref="S471:T471"/>
    <mergeCell ref="S472:T472"/>
    <mergeCell ref="S315:T315"/>
    <mergeCell ref="S316:T316"/>
    <mergeCell ref="S462:T462"/>
    <mergeCell ref="S463:T463"/>
    <mergeCell ref="S459:T459"/>
    <mergeCell ref="S460:T460"/>
    <mergeCell ref="S461:T461"/>
    <mergeCell ref="S455:T455"/>
    <mergeCell ref="S319:T319"/>
    <mergeCell ref="S320:T320"/>
    <mergeCell ref="S469:T469"/>
    <mergeCell ref="S464:T464"/>
    <mergeCell ref="S465:T465"/>
    <mergeCell ref="S466:T466"/>
    <mergeCell ref="S467:T467"/>
    <mergeCell ref="S468:T468"/>
    <mergeCell ref="S456:T456"/>
    <mergeCell ref="S457:T457"/>
    <mergeCell ref="S458:T458"/>
    <mergeCell ref="S452:T452"/>
    <mergeCell ref="S453:T453"/>
    <mergeCell ref="S454:T454"/>
    <mergeCell ref="S448:T448"/>
    <mergeCell ref="S449:T449"/>
    <mergeCell ref="S450:T450"/>
    <mergeCell ref="S451:T451"/>
    <mergeCell ref="S444:T444"/>
    <mergeCell ref="S445:T445"/>
    <mergeCell ref="S446:T446"/>
    <mergeCell ref="S447:T447"/>
    <mergeCell ref="S427:T427"/>
    <mergeCell ref="S428:T428"/>
    <mergeCell ref="S429:T429"/>
    <mergeCell ref="S423:T423"/>
    <mergeCell ref="S424:T424"/>
    <mergeCell ref="S425:T425"/>
    <mergeCell ref="S426:T426"/>
    <mergeCell ref="S441:T441"/>
    <mergeCell ref="S442:T442"/>
    <mergeCell ref="S443:T443"/>
    <mergeCell ref="S430:T430"/>
    <mergeCell ref="S431:T431"/>
    <mergeCell ref="S432:T432"/>
    <mergeCell ref="S433:T433"/>
    <mergeCell ref="S437:T440"/>
    <mergeCell ref="S434:T434"/>
    <mergeCell ref="S435:T435"/>
    <mergeCell ref="S418:T418"/>
    <mergeCell ref="S419:T419"/>
    <mergeCell ref="S421:T421"/>
    <mergeCell ref="S422:T422"/>
    <mergeCell ref="S420:T420"/>
    <mergeCell ref="S413:T413"/>
    <mergeCell ref="S415:T415"/>
    <mergeCell ref="S416:T416"/>
    <mergeCell ref="S417:T417"/>
    <mergeCell ref="S414:T414"/>
    <mergeCell ref="S411:T411"/>
    <mergeCell ref="S412:T412"/>
    <mergeCell ref="S405:T405"/>
    <mergeCell ref="S406:T406"/>
    <mergeCell ref="S407:T407"/>
    <mergeCell ref="S408:T408"/>
    <mergeCell ref="S409:T409"/>
    <mergeCell ref="S410:T410"/>
    <mergeCell ref="S379:T379"/>
    <mergeCell ref="S345:T345"/>
    <mergeCell ref="S265:T265"/>
    <mergeCell ref="S266:T266"/>
    <mergeCell ref="S267:T267"/>
    <mergeCell ref="S291:T291"/>
    <mergeCell ref="S289:T289"/>
    <mergeCell ref="S378:T378"/>
    <mergeCell ref="S373:T373"/>
    <mergeCell ref="S374:T374"/>
    <mergeCell ref="S250:T250"/>
    <mergeCell ref="S264:T264"/>
    <mergeCell ref="S230:T230"/>
    <mergeCell ref="S225:T225"/>
    <mergeCell ref="S248:T248"/>
    <mergeCell ref="S249:T249"/>
    <mergeCell ref="S234:T234"/>
    <mergeCell ref="S233:T233"/>
    <mergeCell ref="S114:T114"/>
    <mergeCell ref="S120:T120"/>
    <mergeCell ref="S125:T125"/>
    <mergeCell ref="S226:T226"/>
    <mergeCell ref="S223:T223"/>
    <mergeCell ref="S218:T218"/>
    <mergeCell ref="S219:T219"/>
    <mergeCell ref="S222:T222"/>
    <mergeCell ref="S220:T220"/>
    <mergeCell ref="S221:T221"/>
    <mergeCell ref="S61:T61"/>
    <mergeCell ref="S62:T62"/>
    <mergeCell ref="S63:T63"/>
    <mergeCell ref="S64:T64"/>
    <mergeCell ref="S375:T375"/>
    <mergeCell ref="S376:T376"/>
    <mergeCell ref="S404:T404"/>
    <mergeCell ref="S399:T399"/>
    <mergeCell ref="S400:T400"/>
    <mergeCell ref="S401:T401"/>
    <mergeCell ref="S402:T402"/>
    <mergeCell ref="S403:T403"/>
    <mergeCell ref="S397:T397"/>
    <mergeCell ref="S392:T392"/>
    <mergeCell ref="S393:T393"/>
    <mergeCell ref="S386:T386"/>
    <mergeCell ref="S396:T396"/>
    <mergeCell ref="S387:T387"/>
    <mergeCell ref="S391:T391"/>
    <mergeCell ref="S388:T388"/>
    <mergeCell ref="S389:T389"/>
    <mergeCell ref="S390:T390"/>
    <mergeCell ref="S380:T380"/>
    <mergeCell ref="S365:T365"/>
    <mergeCell ref="S366:T366"/>
    <mergeCell ref="S367:T367"/>
    <mergeCell ref="S368:T368"/>
    <mergeCell ref="S369:T369"/>
    <mergeCell ref="S370:T370"/>
    <mergeCell ref="S371:T371"/>
    <mergeCell ref="S372:T372"/>
    <mergeCell ref="S377:T377"/>
    <mergeCell ref="S268:T268"/>
    <mergeCell ref="S269:T269"/>
    <mergeCell ref="S346:T346"/>
    <mergeCell ref="S286:T286"/>
    <mergeCell ref="S290:T290"/>
    <mergeCell ref="S270:T271"/>
    <mergeCell ref="S287:T287"/>
    <mergeCell ref="S288:T288"/>
    <mergeCell ref="S317:T317"/>
    <mergeCell ref="S318:T318"/>
    <mergeCell ref="S364:T364"/>
    <mergeCell ref="A333:K333"/>
    <mergeCell ref="S398:T398"/>
    <mergeCell ref="S381:T381"/>
    <mergeCell ref="S382:T382"/>
    <mergeCell ref="S383:T383"/>
    <mergeCell ref="S384:T384"/>
    <mergeCell ref="S385:T385"/>
    <mergeCell ref="S394:T394"/>
    <mergeCell ref="S395:T395"/>
    <mergeCell ref="A252:K252"/>
    <mergeCell ref="A177:L177"/>
    <mergeCell ref="A205:L205"/>
    <mergeCell ref="A178:B188"/>
    <mergeCell ref="C178:K178"/>
    <mergeCell ref="C206:K206"/>
    <mergeCell ref="C216:K216"/>
    <mergeCell ref="A236:L236"/>
    <mergeCell ref="A1:T1"/>
    <mergeCell ref="C15:L15"/>
    <mergeCell ref="A42:L42"/>
    <mergeCell ref="A43:B53"/>
    <mergeCell ref="C43:K43"/>
    <mergeCell ref="C53:K53"/>
    <mergeCell ref="S32:T32"/>
    <mergeCell ref="S29:T29"/>
    <mergeCell ref="A16:B26"/>
    <mergeCell ref="S14:T14"/>
    <mergeCell ref="S27:T27"/>
    <mergeCell ref="S30:T30"/>
    <mergeCell ref="S54:T54"/>
    <mergeCell ref="S217:T217"/>
    <mergeCell ref="S60:T60"/>
    <mergeCell ref="S68:T68"/>
    <mergeCell ref="S69:T69"/>
    <mergeCell ref="S70:T70"/>
    <mergeCell ref="S71:T71"/>
    <mergeCell ref="S72:T72"/>
    <mergeCell ref="A334:B344"/>
    <mergeCell ref="C334:K334"/>
    <mergeCell ref="C344:K344"/>
    <mergeCell ref="C188:K188"/>
    <mergeCell ref="A253:B263"/>
    <mergeCell ref="C253:K253"/>
    <mergeCell ref="C263:K263"/>
    <mergeCell ref="A237:B247"/>
    <mergeCell ref="C237:K237"/>
    <mergeCell ref="A206:B216"/>
    <mergeCell ref="S58:T58"/>
    <mergeCell ref="S59:T59"/>
    <mergeCell ref="S55:T55"/>
    <mergeCell ref="S56:T56"/>
    <mergeCell ref="S57:T57"/>
    <mergeCell ref="S90:T90"/>
    <mergeCell ref="S91:T91"/>
    <mergeCell ref="S92:T92"/>
    <mergeCell ref="S93:T93"/>
    <mergeCell ref="S77:T77"/>
    <mergeCell ref="S78:T78"/>
    <mergeCell ref="S79:T79"/>
    <mergeCell ref="S85:T85"/>
    <mergeCell ref="S81:T81"/>
    <mergeCell ref="S82:T82"/>
    <mergeCell ref="S83:T83"/>
    <mergeCell ref="S84:T84"/>
    <mergeCell ref="S80:T80"/>
    <mergeCell ref="S31:T31"/>
    <mergeCell ref="S100:T100"/>
    <mergeCell ref="S89:T89"/>
    <mergeCell ref="S86:T86"/>
    <mergeCell ref="S87:T87"/>
    <mergeCell ref="S88:T88"/>
    <mergeCell ref="S73:T73"/>
    <mergeCell ref="S74:T74"/>
    <mergeCell ref="S75:T75"/>
    <mergeCell ref="S76:T76"/>
    <mergeCell ref="S436:T436"/>
    <mergeCell ref="S189:T189"/>
    <mergeCell ref="S94:T94"/>
    <mergeCell ref="S175:T175"/>
    <mergeCell ref="S104:T106"/>
    <mergeCell ref="S107:T107"/>
    <mergeCell ref="S101:T101"/>
    <mergeCell ref="S108:T108"/>
    <mergeCell ref="S102:T102"/>
    <mergeCell ref="S103:T103"/>
    <mergeCell ref="S475:T475"/>
    <mergeCell ref="S476:T476"/>
    <mergeCell ref="S477:T477"/>
    <mergeCell ref="S478:T478"/>
    <mergeCell ref="S479:T479"/>
    <mergeCell ref="S480:T480"/>
    <mergeCell ref="S481:T481"/>
    <mergeCell ref="S482:T482"/>
    <mergeCell ref="S483:T483"/>
    <mergeCell ref="S484:T484"/>
    <mergeCell ref="S485:T485"/>
    <mergeCell ref="S486:T486"/>
    <mergeCell ref="S487:T487"/>
    <mergeCell ref="S488:T488"/>
    <mergeCell ref="S489:T489"/>
    <mergeCell ref="S490:T490"/>
    <mergeCell ref="S491:T491"/>
    <mergeCell ref="S492:T492"/>
    <mergeCell ref="S493:T493"/>
    <mergeCell ref="S494:T494"/>
    <mergeCell ref="S495:T495"/>
    <mergeCell ref="S496:T496"/>
    <mergeCell ref="S497:T497"/>
    <mergeCell ref="S498:T498"/>
    <mergeCell ref="S508:T508"/>
    <mergeCell ref="S499:T499"/>
    <mergeCell ref="S500:T500"/>
    <mergeCell ref="S501:T501"/>
    <mergeCell ref="S502:T502"/>
    <mergeCell ref="S503:T503"/>
    <mergeCell ref="S504:T504"/>
    <mergeCell ref="S505:T505"/>
    <mergeCell ref="S506:T506"/>
    <mergeCell ref="S507:T507"/>
    <mergeCell ref="S545:T545"/>
    <mergeCell ref="S541:T541"/>
    <mergeCell ref="S509:T509"/>
    <mergeCell ref="S510:T510"/>
    <mergeCell ref="S521:T521"/>
    <mergeCell ref="S511:T511"/>
    <mergeCell ref="S512:T512"/>
    <mergeCell ref="S513:T513"/>
    <mergeCell ref="S514:T514"/>
    <mergeCell ref="S542:T542"/>
    <mergeCell ref="S546:T546"/>
    <mergeCell ref="S515:T515"/>
    <mergeCell ref="S516:T516"/>
    <mergeCell ref="S517:T517"/>
    <mergeCell ref="S518:T518"/>
    <mergeCell ref="S522:T522"/>
    <mergeCell ref="S523:T523"/>
    <mergeCell ref="S525:T525"/>
    <mergeCell ref="S519:T519"/>
    <mergeCell ref="S520:T520"/>
    <mergeCell ref="S630:T630"/>
    <mergeCell ref="S547:T547"/>
    <mergeCell ref="S548:T548"/>
    <mergeCell ref="S549:T549"/>
    <mergeCell ref="S550:T550"/>
    <mergeCell ref="S551:T551"/>
    <mergeCell ref="S582:T582"/>
    <mergeCell ref="S581:T581"/>
    <mergeCell ref="S603:T603"/>
    <mergeCell ref="S604:T604"/>
    <mergeCell ref="S543:T543"/>
    <mergeCell ref="S544:T544"/>
    <mergeCell ref="S524:T524"/>
    <mergeCell ref="S540:T540"/>
    <mergeCell ref="S33:T33"/>
    <mergeCell ref="S134:T134"/>
    <mergeCell ref="D136:D138"/>
    <mergeCell ref="S331:T331"/>
    <mergeCell ref="S281:T281"/>
    <mergeCell ref="S282:T282"/>
    <mergeCell ref="S283:T283"/>
    <mergeCell ref="S284:T284"/>
    <mergeCell ref="S285:T285"/>
    <mergeCell ref="S40:T40"/>
  </mergeCells>
  <printOptions horizontalCentered="1"/>
  <pageMargins left="0.17" right="0.16" top="0.23" bottom="0.22" header="0.17" footer="0.15748031496062992"/>
  <pageSetup horizontalDpi="300" verticalDpi="300" orientation="landscape" paperSize="9" scale="60" r:id="rId1"/>
  <headerFooter alignWithMargins="0">
    <oddFooter>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2008-09-17T13:09:58Z</cp:lastPrinted>
  <dcterms:created xsi:type="dcterms:W3CDTF">2005-04-28T08:10:49Z</dcterms:created>
  <dcterms:modified xsi:type="dcterms:W3CDTF">2008-09-17T13:25:03Z</dcterms:modified>
  <cp:category/>
  <cp:version/>
  <cp:contentType/>
  <cp:contentStatus/>
</cp:coreProperties>
</file>