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riepilogo" sheetId="1" r:id="rId1"/>
    <sheet name="Complessivo" sheetId="2" r:id="rId2"/>
  </sheets>
  <definedNames>
    <definedName name="_xlnm.Print_Area" localSheetId="1">'Complessivo'!$A$8:$T$238</definedName>
    <definedName name="_xlnm.Print_Titles" localSheetId="1">'Complessivo'!$1:$6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S5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e timesheet. Ok 20/09/07
</t>
        </r>
      </text>
    </comment>
    <comment ref="S12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Esiste un contratto per fornitura di arredi. Non viene data evidenza dell'utilizzo di procedure di gara.</t>
        </r>
      </text>
    </comment>
    <comment ref="S14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Inferiore a 1ML ma OK
</t>
        </r>
      </text>
    </comment>
    <comment ref="S14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fattura e liberatoria OK ricevuto</t>
        </r>
      </text>
    </comment>
    <comment ref="S20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documentazione. Ok 20/09/07
</t>
        </r>
      </text>
    </comment>
  </commentList>
</comments>
</file>

<file path=xl/sharedStrings.xml><?xml version="1.0" encoding="utf-8"?>
<sst xmlns="http://schemas.openxmlformats.org/spreadsheetml/2006/main" count="1101" uniqueCount="327">
  <si>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</si>
  <si>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</si>
  <si>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</si>
  <si>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</si>
  <si>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</si>
  <si>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</si>
  <si>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</si>
  <si>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</si>
  <si>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</si>
  <si>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</si>
  <si>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</si>
  <si>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</si>
  <si>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</si>
  <si>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</si>
  <si>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</si>
  <si>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</si>
  <si>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</si>
  <si>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</si>
  <si>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</si>
  <si>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</si>
  <si>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</si>
  <si>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</si>
  <si>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</si>
  <si>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Partner</t>
  </si>
  <si>
    <t>Ant.</t>
  </si>
  <si>
    <t>Erogare</t>
  </si>
  <si>
    <t>Bonifico</t>
  </si>
  <si>
    <t>Note</t>
  </si>
  <si>
    <t>SAL 1</t>
  </si>
  <si>
    <t>SAL 2</t>
  </si>
  <si>
    <t>TOT GEN</t>
  </si>
  <si>
    <t>TOT SAL 1</t>
  </si>
  <si>
    <t>TOT SAL 2</t>
  </si>
  <si>
    <t>PugliaDoc</t>
  </si>
  <si>
    <t>Avvio PR</t>
  </si>
  <si>
    <t>personale impiegato sul progetto: Cacciatore Giovanna, Maggiulli Alfieri Angela, Maggiulli Alfieri Anita</t>
  </si>
  <si>
    <t>Definizione contenuti ed aree portale</t>
  </si>
  <si>
    <t>calendario workshop, seminari e meeting</t>
  </si>
  <si>
    <t>Studio interfaccia grafica</t>
  </si>
  <si>
    <t>Polaris Consulting</t>
  </si>
  <si>
    <t xml:space="preserve">Bonifico </t>
  </si>
  <si>
    <t>Elio Paiano</t>
  </si>
  <si>
    <t>Clio Otranto di Luca De Simei</t>
  </si>
  <si>
    <t>Cancelleria</t>
  </si>
  <si>
    <t>Teknomax</t>
  </si>
  <si>
    <t>Rinnovo Dominio pugliadoc.net</t>
  </si>
  <si>
    <t>Clio Srl</t>
  </si>
  <si>
    <t>Polizza fideiussoria</t>
  </si>
  <si>
    <t>Zurich</t>
  </si>
  <si>
    <t>417R0322</t>
  </si>
  <si>
    <t>Considerato Imponibile senza imposte</t>
  </si>
  <si>
    <t>Pugliadoc</t>
  </si>
  <si>
    <t xml:space="preserve"> PUGLIADOC - 45 - RIEPILOGO SPESE</t>
  </si>
  <si>
    <t>SAL 1 - 01/07/2004 - 28/02/2005 (due quad)</t>
  </si>
  <si>
    <t>TOT PROGETTO=</t>
  </si>
  <si>
    <t>CONTRIBUTO=</t>
  </si>
  <si>
    <t>CONTRIBUTO IVA=</t>
  </si>
  <si>
    <t>TOT CONTRIBUTO=</t>
  </si>
  <si>
    <t>IVA=</t>
  </si>
  <si>
    <t>Res IVA=</t>
  </si>
  <si>
    <t>Lettera circolare, dati statistici, assistenza</t>
  </si>
  <si>
    <t>Testi ed editing CD rom</t>
  </si>
  <si>
    <t>NOLO, LEASING E AMMORTAMENTI</t>
  </si>
  <si>
    <t>Iva ammessa</t>
  </si>
  <si>
    <t>Totale ammesso</t>
  </si>
  <si>
    <t>Contributo iva</t>
  </si>
  <si>
    <t>Totale Contributo</t>
  </si>
  <si>
    <t>SAL 2 - 01/03/2005 - 31/10/2005</t>
  </si>
  <si>
    <t>II</t>
  </si>
  <si>
    <t>Cacciatore Giovanna, Maggiulli Alfieri Angela, Maggiulli Alfieri Anita</t>
  </si>
  <si>
    <t>Realizzazione seminario presso BIT Milano</t>
  </si>
  <si>
    <t>Emmeffe Consulting</t>
  </si>
  <si>
    <t>Bonifico bancario</t>
  </si>
  <si>
    <t>Studio fattibilità realizzazione Contact center</t>
  </si>
  <si>
    <t>Evolvit</t>
  </si>
  <si>
    <t>Studio di fattibilità relativo alle attività e ai servizi del portale</t>
  </si>
  <si>
    <t>Polaris Consulting di Salamanna Dino</t>
  </si>
  <si>
    <t>progettazione pagine web ed interfaccia grafica del portale www.pugliadoc.net</t>
  </si>
  <si>
    <t>Pianificazione progetto "Puglia DOC net-community"</t>
  </si>
  <si>
    <t>Clio Otranto di De Simei Luca</t>
  </si>
  <si>
    <t>Assegno circolare</t>
  </si>
  <si>
    <t xml:space="preserve">Studi di fattibilità e progettazione relativa al portale www.pugliadoc.net </t>
  </si>
  <si>
    <t>Studi di fattibilità relativi al software del portale</t>
  </si>
  <si>
    <t>studio di procedure per il Contact Center</t>
  </si>
  <si>
    <t>Creazione manuale operatore per la gestione del Contact Center</t>
  </si>
  <si>
    <t>acconto licenza software "EPROGRESS" per Contact Center</t>
  </si>
  <si>
    <t>bonifico bancario</t>
  </si>
  <si>
    <t>saldo licenza software "EPROGRESS" per Contact Center</t>
  </si>
  <si>
    <t>Acconto 70% riproduzione 3000 CD</t>
  </si>
  <si>
    <t xml:space="preserve">area amministrazione contenuti portale www.pugliadoc.net </t>
  </si>
  <si>
    <t>Clio</t>
  </si>
  <si>
    <t>gestione adserver</t>
  </si>
  <si>
    <t>software portale www.pugliadoc.net</t>
  </si>
  <si>
    <t>sviluppo moduli per attività inbound ed outbound del Contact center</t>
  </si>
  <si>
    <t>Acconto su sviluppo moduli personalizzati</t>
  </si>
  <si>
    <t>Apparecch.inform. Per present. Progetto c/o BIT Milano</t>
  </si>
  <si>
    <t>acconto noleggio server</t>
  </si>
  <si>
    <t>Server + installazione e configurazione sistema operativo</t>
  </si>
  <si>
    <t>Bonficio bancario</t>
  </si>
  <si>
    <t>4 Computer e relativi accessori per il Contact Center</t>
  </si>
  <si>
    <t>Energy s.a.s.</t>
  </si>
  <si>
    <t>Fitti passivi - periodo apr-lug 2005</t>
  </si>
  <si>
    <t>Pierri Enzo Patrizio</t>
  </si>
  <si>
    <t>giroconto</t>
  </si>
  <si>
    <t>Fitti passivi - periodo ago-ott 2005</t>
  </si>
  <si>
    <t>spese postali</t>
  </si>
  <si>
    <t>Poste Italiane</t>
  </si>
  <si>
    <t>Tim - 1° bim. 2005</t>
  </si>
  <si>
    <t>Tim</t>
  </si>
  <si>
    <t>7S0001459</t>
  </si>
  <si>
    <t>Addebito C/C</t>
  </si>
  <si>
    <t>Tim - 2° bim. 2005</t>
  </si>
  <si>
    <t>7S00020178</t>
  </si>
  <si>
    <t>Telecom - periodo 01-12-04/31-01-05</t>
  </si>
  <si>
    <t>Telecom</t>
  </si>
  <si>
    <t>8S00269581</t>
  </si>
  <si>
    <t>Telecom - periodo 01-02-05/31-03-05</t>
  </si>
  <si>
    <t>8S00448752</t>
  </si>
  <si>
    <t>Tim - 3° bim. 2005</t>
  </si>
  <si>
    <t>7S00038471</t>
  </si>
  <si>
    <t>Telecom - periodo 01-04-05/31-05-05</t>
  </si>
  <si>
    <t>8S00654824</t>
  </si>
  <si>
    <t>Tim - 4° bim. 2005</t>
  </si>
  <si>
    <t>7S00056319</t>
  </si>
  <si>
    <t>Telecom - periodo 01-06-05/31-07-05</t>
  </si>
  <si>
    <t>8S00849172</t>
  </si>
  <si>
    <t>Tim - 5° bim. 2005</t>
  </si>
  <si>
    <t>7S00073736</t>
  </si>
  <si>
    <t>cancelleria e stampati</t>
  </si>
  <si>
    <t>Valentini Srl</t>
  </si>
  <si>
    <t>Tipogr. Scorrano</t>
  </si>
  <si>
    <t>Labor. Gioffreda</t>
  </si>
  <si>
    <t>manutenzione e riparazioni</t>
  </si>
  <si>
    <t>Paolo Ingrosso srl</t>
  </si>
  <si>
    <t>Technical sound</t>
  </si>
  <si>
    <t>Manlio De Giorgi</t>
  </si>
  <si>
    <t>Termoidraulica</t>
  </si>
  <si>
    <t>energia elettrica - bim dic 04 gen 05</t>
  </si>
  <si>
    <t>ENEL</t>
  </si>
  <si>
    <t>energia elettrica - bim feb 05 mar 05</t>
  </si>
  <si>
    <t>energia elettrica - mag 05</t>
  </si>
  <si>
    <t>energia elettrica - bim giu 05 lug 05</t>
  </si>
  <si>
    <t>energia elettrica - bim ago 05 set 05</t>
  </si>
  <si>
    <t>Spese gas e metano - gen 05</t>
  </si>
  <si>
    <t>Enel gas</t>
  </si>
  <si>
    <t>Spese gas e metano - feb-mar 05</t>
  </si>
  <si>
    <t>Spese gas e metano - ult. Consumo</t>
  </si>
  <si>
    <t>Spese gas e metano - apr-giu 05</t>
  </si>
  <si>
    <t>7501513 01636231</t>
  </si>
  <si>
    <t>750151 301636233</t>
  </si>
  <si>
    <t>7501513 01636232</t>
  </si>
  <si>
    <t>7501513 01628043</t>
  </si>
  <si>
    <t>7501513 01628042</t>
  </si>
  <si>
    <t>384005 083830</t>
  </si>
  <si>
    <t>Liquidazione provvisoria del 28/12/2005</t>
  </si>
  <si>
    <t>III</t>
  </si>
  <si>
    <t>ISTRUTTORIA SU II SAL: Eliminate le ore già rendicontate nel sal I e ripresentate nel sal II</t>
  </si>
  <si>
    <t>SAL 3</t>
  </si>
  <si>
    <t>CONGUAGLIO PER VERIFICA II SAL</t>
  </si>
  <si>
    <t>TOT SAL 3</t>
  </si>
  <si>
    <t>SAL 3 - 01/11/2005 - 31/03/2006</t>
  </si>
  <si>
    <t>manca dimostrazione di spesa</t>
  </si>
  <si>
    <t>Spesa inferiore a 516,46</t>
  </si>
  <si>
    <t>Cacciatore Giovanna, Hepperle Susanne Else</t>
  </si>
  <si>
    <t xml:space="preserve">POPOLAZIONE PORTALE </t>
  </si>
  <si>
    <t>Contact Center</t>
  </si>
  <si>
    <t>EVOLVIT SRL</t>
  </si>
  <si>
    <t>Realizzazione portale</t>
  </si>
  <si>
    <t>CLIO SRL</t>
  </si>
  <si>
    <t>Piattaforma telematica carta servizi</t>
  </si>
  <si>
    <t>GRUPPO ITALIA SRL</t>
  </si>
  <si>
    <t>22/12/05; 01/02/06</t>
  </si>
  <si>
    <t>Notebook</t>
  </si>
  <si>
    <t>ENERGY</t>
  </si>
  <si>
    <t>arredamento</t>
  </si>
  <si>
    <t>01/02/06;14/02/06</t>
  </si>
  <si>
    <t>attrezzature per contact center</t>
  </si>
  <si>
    <t>n. 2 totem multimediali</t>
  </si>
  <si>
    <t>CATALOGO PUGLIA DOC</t>
  </si>
  <si>
    <t>Gr. Poligr. Dehon.</t>
  </si>
  <si>
    <t>bonifico banc.</t>
  </si>
  <si>
    <t>FITTI PASSIVI</t>
  </si>
  <si>
    <t>sig. Pierri</t>
  </si>
  <si>
    <t>ricevuta</t>
  </si>
  <si>
    <t xml:space="preserve">assegno </t>
  </si>
  <si>
    <t>GAS</t>
  </si>
  <si>
    <t>bollettino</t>
  </si>
  <si>
    <t>ENERGIA ELETTRICA</t>
  </si>
  <si>
    <t>addebito c/c</t>
  </si>
  <si>
    <t>SPESE DI MANUTENZIONE</t>
  </si>
  <si>
    <t>Paolo Ingrosso</t>
  </si>
  <si>
    <t>127-F</t>
  </si>
  <si>
    <t>contanti</t>
  </si>
  <si>
    <t>SPESE TELEFONICHE</t>
  </si>
  <si>
    <t>8s01065880</t>
  </si>
  <si>
    <t>7s00090683</t>
  </si>
  <si>
    <t>8s00003354</t>
  </si>
  <si>
    <t>7s00001123</t>
  </si>
  <si>
    <t>8s00207858</t>
  </si>
  <si>
    <t>7s00018905</t>
  </si>
  <si>
    <t>3840 05180147</t>
  </si>
  <si>
    <t>38400515 2981</t>
  </si>
  <si>
    <t>3840060 53090</t>
  </si>
  <si>
    <t>3840060 21851</t>
  </si>
  <si>
    <t>750151301 636235</t>
  </si>
  <si>
    <t>750151301 636236</t>
  </si>
  <si>
    <t>750151301 636234</t>
  </si>
  <si>
    <t>saldo noleggio server</t>
  </si>
  <si>
    <t>PROMOZIONE</t>
  </si>
  <si>
    <t>Pagamento contanti non ammesso</t>
  </si>
  <si>
    <t>REVISIONE RELATIVA ALLA DICHIARAZIONE DI ADDEBITO AL 70%</t>
  </si>
  <si>
    <t>promoz</t>
  </si>
  <si>
    <t>Spesa ammessa</t>
  </si>
  <si>
    <t>TOT ammes</t>
  </si>
  <si>
    <t>Contrib. Costi</t>
  </si>
  <si>
    <t>Contrib. Iva</t>
  </si>
  <si>
    <t>TOT CONTR</t>
  </si>
  <si>
    <t>scheda mastro</t>
  </si>
  <si>
    <t>C/C</t>
  </si>
  <si>
    <t>Totale spesa sostenuta</t>
  </si>
  <si>
    <t>Contributo spettante (65%)</t>
  </si>
  <si>
    <t>(a)</t>
  </si>
  <si>
    <t>(b)</t>
  </si>
  <si>
    <t>Contributo erogato</t>
  </si>
  <si>
    <t>Contributo erogabile (80% di b)</t>
  </si>
  <si>
    <t>(c)</t>
  </si>
  <si>
    <t>(d)</t>
  </si>
  <si>
    <t>(c-d)</t>
  </si>
  <si>
    <t>SAL 4 - 01/04/2006 - 31/12/2006</t>
  </si>
  <si>
    <t>IV</t>
  </si>
  <si>
    <t>n.ro 5 dipendenti</t>
  </si>
  <si>
    <t>Aggiornamento portale "eventi religiosi"</t>
  </si>
  <si>
    <t>Andrea Albanese</t>
  </si>
  <si>
    <t>bonifico</t>
  </si>
  <si>
    <t xml:space="preserve">Progettazione, definizione e aggiornamento dei contenuti relativi all'area aziende del portale www.pugliadoc.net </t>
  </si>
  <si>
    <t>Realizzazione pagine web relative agli itinerari culturali ed enogastronomici pugliesi</t>
  </si>
  <si>
    <t>De Simei Luca</t>
  </si>
  <si>
    <t xml:space="preserve">Inserimento ed ottimizzazione dati per itinerari "Musei Diocesani" sul portale www.pugliadoc.net </t>
  </si>
  <si>
    <t>EVENTI di Stefanelli Assunta</t>
  </si>
  <si>
    <t>ricerca, raccolta e fornitura di materiale redazionale e fotografico per itinerari "Musei Diocesani"</t>
  </si>
  <si>
    <t>Creazione sequenze video per il portale www.pugliadoc.net</t>
  </si>
  <si>
    <t>RED FISH - Produzioni cinematografiche di Alex Bottalico</t>
  </si>
  <si>
    <t>02_06</t>
  </si>
  <si>
    <t>Inserimento itinerari turistico-culturali</t>
  </si>
  <si>
    <t>IMAC Intel 17" Core duo 1,83 Ghz + Espansione RAM 512 Mb</t>
  </si>
  <si>
    <t>Isipoint</t>
  </si>
  <si>
    <t>Canoni affitto sede periodo apr-set 06</t>
  </si>
  <si>
    <t>assegno bancario</t>
  </si>
  <si>
    <t>Interventi tecnici su Pc per formattazione e per collegamento Internet</t>
  </si>
  <si>
    <t>Energy di Manzo C. &amp; C. s.a.s.</t>
  </si>
  <si>
    <t>Interventi tecnici su Server Contact Center, PC, Centralino telefonico, Segreteria</t>
  </si>
  <si>
    <t>Realizzazione del portale in trenuove lingue: tedesco, francese, inglese con nuova impaginazione, realizzazione links, duplicazione pagine statiche, duplicazione Data Base</t>
  </si>
  <si>
    <t>Clio S.r.l.</t>
  </si>
  <si>
    <t>Noleggio videoproiettore per giorno 10.07.06</t>
  </si>
  <si>
    <t>GIA.MA Service</t>
  </si>
  <si>
    <t>Lampade al neon circolari, lineari 140, mobile bagno in laminato, drive pen 512 Mb Kingston USB 2.0, Drive Pen Kingston 1 Gb USB 2.0</t>
  </si>
  <si>
    <t>Fax</t>
  </si>
  <si>
    <t>Spese postali</t>
  </si>
  <si>
    <t>Cassa</t>
  </si>
  <si>
    <t>Spese condominiali 1°-5°bimestre 2006</t>
  </si>
  <si>
    <t>Condominio “Ollor 78”</t>
  </si>
  <si>
    <t>Assegno</t>
  </si>
  <si>
    <t>Tassa rifiuti solidi urbani</t>
  </si>
  <si>
    <t>Patrizio Pierri</t>
  </si>
  <si>
    <t>Spese gas e metano</t>
  </si>
  <si>
    <t>Enel Gas</t>
  </si>
  <si>
    <t>Bollettino C/C</t>
  </si>
  <si>
    <t>Stil carta s.r.l.</t>
  </si>
  <si>
    <t>Gioffreda s.n.c.</t>
  </si>
  <si>
    <t>Cartucce stampanti</t>
  </si>
  <si>
    <t>Energy di Manzo D. &amp; C. s.a.s.</t>
  </si>
  <si>
    <t>Energia elettrica apr-mag 2006</t>
  </si>
  <si>
    <t>Enel</t>
  </si>
  <si>
    <t>Energia elettrica mag 2006</t>
  </si>
  <si>
    <t>Energia elettrica giu-lug 06</t>
  </si>
  <si>
    <t>Energia elettrica ago-set 06</t>
  </si>
  <si>
    <t>Energia elettrica ott-nov 06</t>
  </si>
  <si>
    <t>Spese telefoniche</t>
  </si>
  <si>
    <t>8s00024158</t>
  </si>
  <si>
    <t>7s00111329</t>
  </si>
  <si>
    <t>7s00085075</t>
  </si>
  <si>
    <t>8s01023766</t>
  </si>
  <si>
    <t>8s00816619</t>
  </si>
  <si>
    <t>7s00059704</t>
  </si>
  <si>
    <t>8s00633278</t>
  </si>
  <si>
    <t>7s00038311</t>
  </si>
  <si>
    <t>8s00442465</t>
  </si>
  <si>
    <t>Eutelia</t>
  </si>
  <si>
    <t>Spese di affitto ott-nov-dic 2006</t>
  </si>
  <si>
    <t>750151 301636237</t>
  </si>
  <si>
    <t>75015130 1636238</t>
  </si>
  <si>
    <t>750151 301636239</t>
  </si>
  <si>
    <t>75015130 1636231</t>
  </si>
  <si>
    <t>TOT SAL 4</t>
  </si>
  <si>
    <t>SAL 4</t>
  </si>
  <si>
    <t>inizio</t>
  </si>
  <si>
    <t>fine</t>
  </si>
  <si>
    <t>CONTRIBUTO</t>
  </si>
  <si>
    <t>PREVISTO</t>
  </si>
  <si>
    <t>RESIDUO</t>
  </si>
  <si>
    <t>AMMESSO</t>
  </si>
  <si>
    <t>NOLO LEASING AMM</t>
  </si>
  <si>
    <t>IVA Ammessa</t>
  </si>
  <si>
    <t>IVA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</si>
  <si>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</si>
  <si>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</si>
  <si>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</si>
  <si>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</si>
  <si>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</si>
  <si>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</si>
  <si>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</si>
  <si>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</si>
  <si>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</si>
  <si>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</si>
  <si>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NOTE</t>
  </si>
  <si>
    <t>DATE</t>
  </si>
  <si>
    <t>ISTRUTTORI</t>
  </si>
  <si>
    <t>FIRME</t>
  </si>
  <si>
    <t xml:space="preserve"> PUGLIADOC - Codice 45 </t>
  </si>
  <si>
    <t>progetto di mesi 15 + 9(variazione cronoprogramma) + 6 (proroga) = 30 mesi</t>
  </si>
  <si>
    <t>Ammissibili solo le drive pen alla voce spese generali; Manca dimostrazione pagamento</t>
  </si>
  <si>
    <t>P</t>
  </si>
  <si>
    <t>Imposte e tasse  non ammissibili</t>
  </si>
  <si>
    <t>Non essendo indicata la % di competenza progetto si continua al 70% - Manca dimostrazione di pagamento</t>
  </si>
  <si>
    <r>
      <t>Manca dimostrazione pagamento.</t>
    </r>
    <r>
      <rPr>
        <b/>
        <sz val="8"/>
        <rFont val="Arial"/>
        <family val="2"/>
      </rPr>
      <t xml:space="preserve"> Contanti</t>
    </r>
  </si>
  <si>
    <t>Dai curriculum presentati si evince che i consulenti hanno maturato il livello della fascia III per cui si ammettono a 180euro/g</t>
  </si>
  <si>
    <t>Michele Divella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</si>
</sst>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[$-410]dddd\ d\ mmmm\ yyyy"/>
    <numFmt numFmtId="175" formatCode="dd/mm/yy;@"/>
    <numFmt numFmtId="176" formatCode="&quot;€&quot;\ #,##0.00"/>
  </numFmts>
  <fonts count="3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24" borderId="12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wrapText="1"/>
    </xf>
    <xf numFmtId="4" fontId="1" fillId="24" borderId="12" xfId="0" applyNumberFormat="1" applyFon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8" fillId="0" borderId="14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1" fillId="24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4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1" fillId="24" borderId="20" xfId="0" applyNumberFormat="1" applyFont="1" applyFill="1" applyBorder="1" applyAlignment="1">
      <alignment horizontal="center"/>
    </xf>
    <xf numFmtId="4" fontId="1" fillId="24" borderId="2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1" fillId="24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/>
      <protection/>
    </xf>
    <xf numFmtId="4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1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25" borderId="0" xfId="0" applyFont="1" applyFill="1" applyBorder="1" applyAlignment="1">
      <alignment/>
    </xf>
    <xf numFmtId="4" fontId="3" fillId="25" borderId="10" xfId="0" applyNumberFormat="1" applyFont="1" applyFill="1" applyBorder="1" applyAlignment="1" applyProtection="1">
      <alignment horizontal="right"/>
      <protection/>
    </xf>
    <xf numFmtId="4" fontId="4" fillId="25" borderId="12" xfId="0" applyNumberFormat="1" applyFont="1" applyFill="1" applyBorder="1" applyAlignment="1" applyProtection="1">
      <alignment horizontal="right"/>
      <protection/>
    </xf>
    <xf numFmtId="4" fontId="6" fillId="25" borderId="12" xfId="0" applyNumberFormat="1" applyFont="1" applyFill="1" applyBorder="1" applyAlignment="1" applyProtection="1">
      <alignment horizontal="right"/>
      <protection/>
    </xf>
    <xf numFmtId="0" fontId="7" fillId="25" borderId="11" xfId="0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4" fontId="3" fillId="25" borderId="11" xfId="0" applyNumberFormat="1" applyFont="1" applyFill="1" applyBorder="1" applyAlignment="1" applyProtection="1">
      <alignment horizontal="right"/>
      <protection/>
    </xf>
    <xf numFmtId="4" fontId="4" fillId="25" borderId="11" xfId="0" applyNumberFormat="1" applyFont="1" applyFill="1" applyBorder="1" applyAlignment="1" applyProtection="1">
      <alignment horizontal="right"/>
      <protection/>
    </xf>
    <xf numFmtId="4" fontId="6" fillId="25" borderId="11" xfId="0" applyNumberFormat="1" applyFont="1" applyFill="1" applyBorder="1" applyAlignment="1" applyProtection="1">
      <alignment horizontal="right"/>
      <protection/>
    </xf>
    <xf numFmtId="0" fontId="2" fillId="25" borderId="12" xfId="0" applyFont="1" applyFill="1" applyBorder="1" applyAlignment="1">
      <alignment/>
    </xf>
    <xf numFmtId="4" fontId="3" fillId="25" borderId="18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8" fillId="25" borderId="11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/>
    </xf>
    <xf numFmtId="4" fontId="3" fillId="25" borderId="0" xfId="0" applyNumberFormat="1" applyFont="1" applyFill="1" applyBorder="1" applyAlignment="1">
      <alignment/>
    </xf>
    <xf numFmtId="4" fontId="6" fillId="25" borderId="0" xfId="0" applyNumberFormat="1" applyFont="1" applyFill="1" applyBorder="1" applyAlignment="1">
      <alignment/>
    </xf>
    <xf numFmtId="4" fontId="4" fillId="25" borderId="13" xfId="0" applyNumberFormat="1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4" fontId="8" fillId="0" borderId="0" xfId="0" applyNumberFormat="1" applyFont="1" applyBorder="1" applyAlignment="1">
      <alignment wrapText="1"/>
    </xf>
    <xf numFmtId="0" fontId="3" fillId="25" borderId="0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25" borderId="11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175" fontId="2" fillId="0" borderId="11" xfId="0" applyNumberFormat="1" applyFont="1" applyBorder="1" applyAlignment="1">
      <alignment wrapText="1"/>
    </xf>
    <xf numFmtId="4" fontId="2" fillId="25" borderId="11" xfId="0" applyNumberFormat="1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4" fontId="11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14" fontId="2" fillId="0" borderId="11" xfId="0" applyNumberFormat="1" applyFont="1" applyBorder="1" applyAlignment="1">
      <alignment vertical="justify" wrapText="1"/>
    </xf>
    <xf numFmtId="4" fontId="2" fillId="0" borderId="11" xfId="0" applyNumberFormat="1" applyFont="1" applyBorder="1" applyAlignment="1">
      <alignment/>
    </xf>
    <xf numFmtId="4" fontId="2" fillId="25" borderId="11" xfId="0" applyNumberFormat="1" applyFont="1" applyFill="1" applyBorder="1" applyAlignment="1">
      <alignment/>
    </xf>
    <xf numFmtId="0" fontId="2" fillId="0" borderId="15" xfId="0" applyNumberFormat="1" applyFont="1" applyBorder="1" applyAlignment="1">
      <alignment vertical="justify" wrapText="1"/>
    </xf>
    <xf numFmtId="0" fontId="2" fillId="0" borderId="15" xfId="0" applyFont="1" applyBorder="1" applyAlignment="1">
      <alignment horizontal="left" wrapText="1"/>
    </xf>
    <xf numFmtId="1" fontId="2" fillId="0" borderId="11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25" borderId="11" xfId="0" applyNumberFormat="1" applyFont="1" applyFill="1" applyBorder="1" applyAlignment="1">
      <alignment horizontal="right" wrapText="1"/>
    </xf>
    <xf numFmtId="10" fontId="8" fillId="0" borderId="0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1" fillId="25" borderId="12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/>
      <protection/>
    </xf>
    <xf numFmtId="4" fontId="3" fillId="2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" fontId="3" fillId="24" borderId="13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left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24" borderId="12" xfId="0" applyFont="1" applyFill="1" applyBorder="1" applyAlignment="1">
      <alignment horizontal="center"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4" fontId="15" fillId="0" borderId="24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10" fontId="16" fillId="0" borderId="16" xfId="0" applyNumberFormat="1" applyFont="1" applyFill="1" applyBorder="1" applyAlignment="1">
      <alignment/>
    </xf>
    <xf numFmtId="9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10" fontId="16" fillId="0" borderId="19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24" xfId="0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17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22" fontId="15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9.140625" style="196" customWidth="1"/>
    <col min="2" max="2" width="9.7109375" style="196" customWidth="1"/>
    <col min="3" max="3" width="9.421875" style="196" customWidth="1"/>
    <col min="4" max="4" width="11.140625" style="196" customWidth="1"/>
    <col min="5" max="5" width="10.8515625" style="196" customWidth="1"/>
    <col min="6" max="6" width="10.57421875" style="196" customWidth="1"/>
    <col min="7" max="7" width="10.8515625" style="196" customWidth="1"/>
    <col min="8" max="8" width="8.421875" style="196" customWidth="1"/>
    <col min="9" max="9" width="11.28125" style="196" customWidth="1"/>
    <col min="10" max="10" width="10.140625" style="196" customWidth="1"/>
    <col min="11" max="11" width="10.00390625" style="196" customWidth="1"/>
    <col min="12" max="16384" width="9.140625" style="196" customWidth="1"/>
  </cols>
  <sheetData>
    <row r="2" spans="1:11" ht="12.75">
      <c r="A2" s="195" t="s">
        <v>318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6" spans="1:10" ht="12.75">
      <c r="A6" s="197" t="s">
        <v>0</v>
      </c>
      <c r="B6" s="198"/>
      <c r="C6" s="198"/>
      <c r="D6" s="199" t="s">
        <v>33</v>
      </c>
      <c r="E6" s="200"/>
      <c r="H6" s="196" t="s">
        <v>295</v>
      </c>
      <c r="J6" s="201">
        <v>38169</v>
      </c>
    </row>
    <row r="7" spans="1:10" ht="12.75">
      <c r="A7" s="202" t="s">
        <v>54</v>
      </c>
      <c r="B7" s="203"/>
      <c r="C7" s="203"/>
      <c r="D7" s="204">
        <f>+Complessivo!G2</f>
        <v>499707</v>
      </c>
      <c r="E7" s="205">
        <f>+Complessivo!H2</f>
        <v>0.9964380246824639</v>
      </c>
      <c r="H7" s="196" t="s">
        <v>296</v>
      </c>
      <c r="J7" s="201">
        <v>39082</v>
      </c>
    </row>
    <row r="8" spans="1:10" ht="21.75" customHeight="1">
      <c r="A8" s="202" t="s">
        <v>55</v>
      </c>
      <c r="B8" s="203"/>
      <c r="C8" s="203"/>
      <c r="D8" s="204">
        <f>+Complessivo!G3</f>
        <v>324159.55</v>
      </c>
      <c r="E8" s="205">
        <f>+Complessivo!H3</f>
        <v>0.9984360676709974</v>
      </c>
      <c r="F8" s="206"/>
      <c r="H8" s="207" t="s">
        <v>319</v>
      </c>
      <c r="I8" s="207"/>
      <c r="J8" s="207"/>
    </row>
    <row r="9" spans="1:5" ht="12.75">
      <c r="A9" s="202" t="s">
        <v>56</v>
      </c>
      <c r="B9" s="203"/>
      <c r="C9" s="203"/>
      <c r="D9" s="204">
        <f>+Complessivo!G4</f>
        <v>58539.91</v>
      </c>
      <c r="E9" s="205">
        <f>+Complessivo!H4</f>
        <v>0</v>
      </c>
    </row>
    <row r="10" spans="1:10" ht="12.75">
      <c r="A10" s="208" t="s">
        <v>57</v>
      </c>
      <c r="B10" s="209"/>
      <c r="C10" s="209"/>
      <c r="D10" s="210">
        <f>+Complessivo!G5</f>
        <v>382699.45999999996</v>
      </c>
      <c r="E10" s="211">
        <f>+Complessivo!H5</f>
        <v>0.8457095455530563</v>
      </c>
      <c r="H10" s="212" t="s">
        <v>297</v>
      </c>
      <c r="J10" s="206">
        <v>0.65</v>
      </c>
    </row>
    <row r="12" spans="4:6" ht="12.75">
      <c r="D12" s="213" t="s">
        <v>298</v>
      </c>
      <c r="E12" s="213" t="s">
        <v>299</v>
      </c>
      <c r="F12" s="213" t="s">
        <v>300</v>
      </c>
    </row>
    <row r="13" spans="1:6" ht="12.75">
      <c r="A13" s="214" t="s">
        <v>6</v>
      </c>
      <c r="B13" s="198"/>
      <c r="C13" s="198"/>
      <c r="D13" s="215">
        <v>88154.42</v>
      </c>
      <c r="E13" s="216">
        <f>+Complessivo!M14</f>
        <v>-7160.724999999995</v>
      </c>
      <c r="F13" s="204">
        <f>+D13-E13</f>
        <v>95315.14499999999</v>
      </c>
    </row>
    <row r="14" spans="1:6" ht="12.75">
      <c r="A14" s="202" t="s">
        <v>7</v>
      </c>
      <c r="B14" s="203"/>
      <c r="C14" s="203"/>
      <c r="D14" s="204">
        <v>110315</v>
      </c>
      <c r="E14" s="217">
        <f>+Complessivo!M30</f>
        <v>25875</v>
      </c>
      <c r="F14" s="204">
        <f aca="true" t="shared" si="0" ref="F14:F19">+D14-E14</f>
        <v>84440</v>
      </c>
    </row>
    <row r="15" spans="1:6" ht="12.75">
      <c r="A15" s="202" t="s">
        <v>1</v>
      </c>
      <c r="B15" s="203"/>
      <c r="C15" s="203"/>
      <c r="D15" s="204">
        <v>13000</v>
      </c>
      <c r="E15" s="217">
        <f>+Complessivo!M62</f>
        <v>0</v>
      </c>
      <c r="F15" s="204">
        <f t="shared" si="0"/>
        <v>13000</v>
      </c>
    </row>
    <row r="16" spans="1:6" ht="12.75">
      <c r="A16" s="202" t="s">
        <v>8</v>
      </c>
      <c r="B16" s="203"/>
      <c r="C16" s="203"/>
      <c r="D16" s="204">
        <v>191010</v>
      </c>
      <c r="E16" s="217">
        <f>+Complessivo!M74</f>
        <v>0</v>
      </c>
      <c r="F16" s="204">
        <f t="shared" si="0"/>
        <v>191010</v>
      </c>
    </row>
    <row r="17" spans="1:6" ht="12.75">
      <c r="A17" s="202" t="s">
        <v>301</v>
      </c>
      <c r="B17" s="203"/>
      <c r="C17" s="203"/>
      <c r="D17" s="204">
        <v>21000</v>
      </c>
      <c r="E17" s="217">
        <f>+Complessivo!M101</f>
        <v>0</v>
      </c>
      <c r="F17" s="204">
        <f t="shared" si="0"/>
        <v>21000</v>
      </c>
    </row>
    <row r="18" spans="1:6" ht="12.75">
      <c r="A18" s="202" t="s">
        <v>9</v>
      </c>
      <c r="B18" s="203"/>
      <c r="C18" s="203"/>
      <c r="D18" s="204">
        <v>55091.25</v>
      </c>
      <c r="E18" s="217">
        <f>+Complessivo!M117</f>
        <v>1912.5</v>
      </c>
      <c r="F18" s="204">
        <f t="shared" si="0"/>
        <v>53178.75</v>
      </c>
    </row>
    <row r="19" spans="1:6" ht="12.75">
      <c r="A19" s="208" t="s">
        <v>10</v>
      </c>
      <c r="B19" s="209"/>
      <c r="C19" s="209"/>
      <c r="D19" s="210">
        <v>20136.33</v>
      </c>
      <c r="E19" s="218">
        <f>+Complessivo!M138</f>
        <v>-19846.830999999995</v>
      </c>
      <c r="F19" s="204">
        <f t="shared" si="0"/>
        <v>39983.16099999999</v>
      </c>
    </row>
    <row r="20" spans="4:6" ht="12.75">
      <c r="D20" s="219">
        <f>SUM(D13:D19)</f>
        <v>498707</v>
      </c>
      <c r="E20" s="219">
        <f>SUM(E13:E19)</f>
        <v>779.9440000000104</v>
      </c>
      <c r="F20" s="219">
        <f>SUM(F13:F19)</f>
        <v>497927.056</v>
      </c>
    </row>
    <row r="22" spans="4:11" ht="21">
      <c r="D22" s="242" t="s">
        <v>21</v>
      </c>
      <c r="E22" s="242" t="s">
        <v>302</v>
      </c>
      <c r="F22" s="242" t="s">
        <v>64</v>
      </c>
      <c r="G22" s="242" t="s">
        <v>22</v>
      </c>
      <c r="H22" s="242" t="s">
        <v>303</v>
      </c>
      <c r="I22" s="242" t="s">
        <v>66</v>
      </c>
      <c r="J22" s="242" t="s">
        <v>304</v>
      </c>
      <c r="K22" s="242" t="s">
        <v>305</v>
      </c>
    </row>
    <row r="23" spans="1:11" ht="12.75">
      <c r="A23" s="196" t="s">
        <v>306</v>
      </c>
      <c r="D23" s="219">
        <f>+Complessivo!M2</f>
        <v>497927.056</v>
      </c>
      <c r="E23" s="219">
        <f>+Complessivo!N2</f>
        <v>0</v>
      </c>
      <c r="F23" s="219">
        <f>+Complessivo!O2</f>
        <v>497927.056</v>
      </c>
      <c r="G23" s="219">
        <f>+Complessivo!P2</f>
        <v>323652.58640000003</v>
      </c>
      <c r="H23" s="219">
        <f>+Complessivo!Q2</f>
        <v>0</v>
      </c>
      <c r="I23" s="219">
        <f>+Complessivo!R2</f>
        <v>323652.58640000003</v>
      </c>
      <c r="J23" s="219">
        <f>+Complessivo!S2</f>
        <v>97247.87</v>
      </c>
      <c r="K23" s="219">
        <f>+Complessivo!T2</f>
        <v>226404.7164</v>
      </c>
    </row>
    <row r="24" spans="1:12" ht="12.75">
      <c r="A24" s="220" t="s">
        <v>53</v>
      </c>
      <c r="B24" s="220"/>
      <c r="D24" s="219">
        <f>+Complessivo!M3</f>
        <v>33839.76</v>
      </c>
      <c r="E24" s="219">
        <f>+Complessivo!N3</f>
        <v>0</v>
      </c>
      <c r="F24" s="219">
        <f>+Complessivo!O3</f>
        <v>33839.76</v>
      </c>
      <c r="G24" s="219">
        <f>+Complessivo!P3</f>
        <v>21995.844</v>
      </c>
      <c r="H24" s="219">
        <f>+Complessivo!Q3</f>
        <v>0</v>
      </c>
      <c r="I24" s="219">
        <f>+Complessivo!R3</f>
        <v>21995.844</v>
      </c>
      <c r="J24" s="219">
        <f>+Complessivo!S3</f>
        <v>8248.4415</v>
      </c>
      <c r="K24" s="219">
        <f>+Complessivo!T3</f>
        <v>13747.4025</v>
      </c>
      <c r="L24" s="220"/>
    </row>
    <row r="25" spans="1:12" ht="12.75">
      <c r="A25" s="220" t="s">
        <v>67</v>
      </c>
      <c r="B25" s="219"/>
      <c r="D25" s="219">
        <f>+Complessivo!M4</f>
        <v>175237.57</v>
      </c>
      <c r="E25" s="219">
        <f>+Complessivo!N4</f>
        <v>0</v>
      </c>
      <c r="F25" s="219">
        <f>+Complessivo!O4</f>
        <v>175237.57</v>
      </c>
      <c r="G25" s="219">
        <f>+Complessivo!P4</f>
        <v>113904.42050000001</v>
      </c>
      <c r="H25" s="219">
        <f>+Complessivo!Q4</f>
        <v>0</v>
      </c>
      <c r="I25" s="219">
        <f>+Complessivo!R4</f>
        <v>113904.42050000001</v>
      </c>
      <c r="J25" s="219">
        <f>+Complessivo!S4</f>
        <v>42714.1576875</v>
      </c>
      <c r="K25" s="219">
        <f>+Complessivo!T4</f>
        <v>71190.2628125</v>
      </c>
      <c r="L25" s="220"/>
    </row>
    <row r="26" spans="1:12" ht="12.75">
      <c r="A26" s="220" t="s">
        <v>160</v>
      </c>
      <c r="B26" s="219"/>
      <c r="D26" s="219">
        <f>+Complessivo!M5</f>
        <v>169203.38199999998</v>
      </c>
      <c r="E26" s="219">
        <f>+Complessivo!N5</f>
        <v>0</v>
      </c>
      <c r="F26" s="219">
        <f>+Complessivo!O5</f>
        <v>169203.38199999998</v>
      </c>
      <c r="G26" s="219">
        <f>+Complessivo!P5</f>
        <v>109982.1983</v>
      </c>
      <c r="H26" s="219">
        <f>+Complessivo!Q5</f>
        <v>0</v>
      </c>
      <c r="I26" s="219">
        <f>+Complessivo!R5</f>
        <v>109982.1983</v>
      </c>
      <c r="J26" s="219">
        <f>+Complessivo!S5</f>
        <v>41243.3243625</v>
      </c>
      <c r="K26" s="219">
        <f>+Complessivo!T5</f>
        <v>68738.8739375</v>
      </c>
      <c r="L26" s="220"/>
    </row>
    <row r="27" spans="1:12" ht="12.75">
      <c r="A27" s="220" t="s">
        <v>228</v>
      </c>
      <c r="B27" s="219"/>
      <c r="D27" s="219">
        <f>+Complessivo!M6</f>
        <v>119646.344</v>
      </c>
      <c r="E27" s="219">
        <f>+Complessivo!N6</f>
        <v>0</v>
      </c>
      <c r="F27" s="219">
        <f>+Complessivo!O6</f>
        <v>119646.344</v>
      </c>
      <c r="G27" s="219">
        <f>+Complessivo!P6</f>
        <v>77770.12359999999</v>
      </c>
      <c r="H27" s="219">
        <f>+Complessivo!Q6</f>
        <v>0</v>
      </c>
      <c r="I27" s="219">
        <f>+Complessivo!R6</f>
        <v>77770.12359999999</v>
      </c>
      <c r="J27" s="219">
        <f>+Complessivo!S6</f>
        <v>5041.9464499999885</v>
      </c>
      <c r="K27" s="221">
        <f>+Complessivo!T6</f>
        <v>72728.17715</v>
      </c>
      <c r="L27" s="220"/>
    </row>
    <row r="28" spans="1:12" ht="12.75">
      <c r="A28" s="220"/>
      <c r="B28" s="219"/>
      <c r="D28" s="219"/>
      <c r="E28" s="219"/>
      <c r="F28" s="219"/>
      <c r="G28" s="219"/>
      <c r="H28" s="219"/>
      <c r="I28" s="219"/>
      <c r="J28" s="219"/>
      <c r="K28" s="219"/>
      <c r="L28" s="220"/>
    </row>
    <row r="29" spans="1:12" ht="12.75">
      <c r="A29" s="220"/>
      <c r="B29" s="219"/>
      <c r="D29" s="219"/>
      <c r="E29" s="219"/>
      <c r="F29" s="221"/>
      <c r="G29" s="219"/>
      <c r="H29" s="219"/>
      <c r="I29" s="221"/>
      <c r="J29" s="219"/>
      <c r="K29" s="221"/>
      <c r="L29" s="220"/>
    </row>
    <row r="30" ht="12.75">
      <c r="E30" s="222"/>
    </row>
    <row r="31" ht="12.75">
      <c r="E31" s="222"/>
    </row>
    <row r="32" spans="1:11" ht="38.25">
      <c r="A32" s="223" t="s">
        <v>307</v>
      </c>
      <c r="B32" s="224"/>
      <c r="C32" s="224"/>
      <c r="D32" s="224"/>
      <c r="E32" s="224"/>
      <c r="F32" s="224"/>
      <c r="G32" s="224"/>
      <c r="H32" s="225"/>
      <c r="I32" s="226" t="s">
        <v>308</v>
      </c>
      <c r="J32" s="226" t="s">
        <v>309</v>
      </c>
      <c r="K32" s="227" t="s">
        <v>310</v>
      </c>
    </row>
    <row r="33" spans="1:11" ht="12.75">
      <c r="A33" s="203"/>
      <c r="B33" s="203"/>
      <c r="C33" s="203"/>
      <c r="D33" s="203"/>
      <c r="E33" s="203"/>
      <c r="F33" s="203"/>
      <c r="G33" s="203"/>
      <c r="H33" s="203"/>
      <c r="I33" s="228"/>
      <c r="J33" s="229"/>
      <c r="K33" s="203"/>
    </row>
    <row r="34" spans="1:11" ht="12.75">
      <c r="A34" s="203"/>
      <c r="B34" s="203"/>
      <c r="C34" s="203"/>
      <c r="D34" s="203"/>
      <c r="E34" s="203"/>
      <c r="F34" s="203"/>
      <c r="G34" s="203"/>
      <c r="H34" s="203"/>
      <c r="I34" s="228"/>
      <c r="J34" s="230"/>
      <c r="K34" s="203"/>
    </row>
    <row r="35" spans="1:11" ht="12.75">
      <c r="A35" s="203"/>
      <c r="B35" s="203"/>
      <c r="C35" s="203"/>
      <c r="D35" s="203"/>
      <c r="E35" s="203"/>
      <c r="F35" s="203"/>
      <c r="G35" s="203"/>
      <c r="H35" s="203"/>
      <c r="I35" s="228"/>
      <c r="J35" s="230"/>
      <c r="K35" s="203"/>
    </row>
    <row r="36" ht="12.75">
      <c r="E36" s="222"/>
    </row>
    <row r="37" spans="1:11" ht="12.75">
      <c r="A37" s="231" t="s">
        <v>311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40" spans="1:11" ht="23.25" customHeight="1">
      <c r="A40" s="232" t="s">
        <v>312</v>
      </c>
      <c r="B40" s="232"/>
      <c r="C40" s="232"/>
      <c r="D40" s="232"/>
      <c r="E40" s="232"/>
      <c r="F40" s="232"/>
      <c r="G40" s="233"/>
      <c r="H40" s="233"/>
      <c r="I40" s="233"/>
      <c r="J40" s="233"/>
      <c r="K40" s="233"/>
    </row>
    <row r="41" spans="1:11" ht="25.5" customHeight="1">
      <c r="A41" s="232" t="s">
        <v>313</v>
      </c>
      <c r="B41" s="232"/>
      <c r="C41" s="232"/>
      <c r="D41" s="232"/>
      <c r="E41" s="232"/>
      <c r="F41" s="232"/>
      <c r="G41" s="233"/>
      <c r="H41" s="233"/>
      <c r="I41" s="233"/>
      <c r="J41" s="233"/>
      <c r="K41" s="233"/>
    </row>
    <row r="42" spans="1:11" ht="23.25" customHeight="1">
      <c r="A42" s="234"/>
      <c r="B42" s="235"/>
      <c r="C42" s="235"/>
      <c r="D42" s="235"/>
      <c r="E42" s="235"/>
      <c r="F42" s="236"/>
      <c r="G42" s="237"/>
      <c r="H42" s="238"/>
      <c r="I42" s="238"/>
      <c r="J42" s="238"/>
      <c r="K42" s="239"/>
    </row>
    <row r="43" ht="26.25" customHeight="1">
      <c r="A43" s="196" t="s">
        <v>314</v>
      </c>
    </row>
    <row r="44" spans="1:11" ht="12.7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</row>
    <row r="45" spans="1:11" ht="24.75" customHeight="1">
      <c r="A45" s="240"/>
      <c r="B45" s="209"/>
      <c r="C45" s="209"/>
      <c r="D45" s="209"/>
      <c r="E45" s="209"/>
      <c r="F45" s="209"/>
      <c r="G45" s="209"/>
      <c r="H45" s="209"/>
      <c r="I45" s="209"/>
      <c r="J45" s="209"/>
      <c r="K45" s="209"/>
    </row>
    <row r="46" spans="1:11" ht="24.75" customHeight="1">
      <c r="A46" s="240"/>
      <c r="B46" s="209"/>
      <c r="C46" s="209"/>
      <c r="D46" s="209"/>
      <c r="E46" s="209"/>
      <c r="F46" s="209"/>
      <c r="G46" s="209"/>
      <c r="H46" s="209"/>
      <c r="I46" s="209"/>
      <c r="J46" s="209"/>
      <c r="K46" s="209"/>
    </row>
    <row r="47" spans="1:11" ht="24.75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1" ht="24.7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</row>
    <row r="49" spans="1:11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3" spans="1:9" ht="12.75">
      <c r="A53" s="233" t="s">
        <v>315</v>
      </c>
      <c r="B53" s="233"/>
      <c r="C53" s="233"/>
      <c r="D53" s="233" t="s">
        <v>316</v>
      </c>
      <c r="E53" s="233"/>
      <c r="F53" s="233"/>
      <c r="G53" s="233" t="s">
        <v>317</v>
      </c>
      <c r="H53" s="233"/>
      <c r="I53" s="233"/>
    </row>
    <row r="54" spans="1:9" ht="23.25" customHeight="1">
      <c r="A54" s="241">
        <f ca="1">NOW()</f>
        <v>39405.5026625</v>
      </c>
      <c r="B54" s="233"/>
      <c r="C54" s="233"/>
      <c r="D54" s="233" t="s">
        <v>326</v>
      </c>
      <c r="E54" s="233"/>
      <c r="F54" s="233"/>
      <c r="G54" s="233"/>
      <c r="H54" s="233"/>
      <c r="I54" s="233"/>
    </row>
    <row r="55" spans="1:9" ht="23.25" customHeight="1">
      <c r="A55" s="233"/>
      <c r="B55" s="233"/>
      <c r="C55" s="233"/>
      <c r="D55" s="233"/>
      <c r="E55" s="233"/>
      <c r="F55" s="233"/>
      <c r="G55" s="233"/>
      <c r="H55" s="233"/>
      <c r="I55" s="233"/>
    </row>
    <row r="56" spans="1:9" ht="23.25" customHeight="1">
      <c r="A56" s="233"/>
      <c r="B56" s="233"/>
      <c r="C56" s="233"/>
      <c r="D56" s="233"/>
      <c r="E56" s="233"/>
      <c r="F56" s="233"/>
      <c r="G56" s="233"/>
      <c r="H56" s="233"/>
      <c r="I56" s="233"/>
    </row>
  </sheetData>
  <sheetProtection/>
  <mergeCells count="21">
    <mergeCell ref="A55:C55"/>
    <mergeCell ref="D55:F55"/>
    <mergeCell ref="G55:I55"/>
    <mergeCell ref="A56:C56"/>
    <mergeCell ref="D56:F56"/>
    <mergeCell ref="G56:I56"/>
    <mergeCell ref="A53:C53"/>
    <mergeCell ref="D53:F53"/>
    <mergeCell ref="G53:I53"/>
    <mergeCell ref="A54:C54"/>
    <mergeCell ref="D54:F54"/>
    <mergeCell ref="G54:I54"/>
    <mergeCell ref="A2:K2"/>
    <mergeCell ref="A32:H32"/>
    <mergeCell ref="J33:J35"/>
    <mergeCell ref="A37:K37"/>
    <mergeCell ref="H8:J8"/>
    <mergeCell ref="A40:F40"/>
    <mergeCell ref="G40:K40"/>
    <mergeCell ref="A41:F41"/>
    <mergeCell ref="G41:K41"/>
  </mergeCells>
  <printOptions/>
  <pageMargins left="0.37" right="0.25" top="1" bottom="1" header="0.5" footer="0.5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6"/>
  <sheetViews>
    <sheetView showGridLines="0" showZeros="0" zoomScale="90" zoomScaleNormal="90" zoomScalePageLayoutView="0"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7" sqref="M97"/>
    </sheetView>
  </sheetViews>
  <sheetFormatPr defaultColWidth="9.140625" defaultRowHeight="12.75"/>
  <cols>
    <col min="1" max="1" width="3.421875" style="1" customWidth="1"/>
    <col min="2" max="2" width="4.28125" style="59" customWidth="1"/>
    <col min="3" max="3" width="9.421875" style="2" customWidth="1"/>
    <col min="4" max="4" width="24.7109375" style="2" customWidth="1"/>
    <col min="5" max="5" width="16.7109375" style="2" customWidth="1"/>
    <col min="6" max="6" width="10.140625" style="2" customWidth="1"/>
    <col min="7" max="7" width="10.421875" style="2" customWidth="1"/>
    <col min="8" max="8" width="10.28125" style="2" customWidth="1"/>
    <col min="9" max="9" width="9.421875" style="2" customWidth="1"/>
    <col min="10" max="10" width="12.140625" style="2" bestFit="1" customWidth="1"/>
    <col min="11" max="11" width="10.140625" style="2" customWidth="1"/>
    <col min="12" max="12" width="11.421875" style="83" customWidth="1"/>
    <col min="13" max="13" width="11.57421875" style="2" customWidth="1"/>
    <col min="14" max="14" width="11.140625" style="2" customWidth="1"/>
    <col min="15" max="15" width="11.57421875" style="83" customWidth="1"/>
    <col min="16" max="16" width="11.8515625" style="2" customWidth="1"/>
    <col min="17" max="17" width="11.140625" style="2" customWidth="1"/>
    <col min="18" max="18" width="11.8515625" style="83" customWidth="1"/>
    <col min="19" max="19" width="10.57421875" style="2" customWidth="1"/>
    <col min="20" max="20" width="11.421875" style="22" customWidth="1"/>
    <col min="21" max="21" width="14.140625" style="2" customWidth="1"/>
    <col min="22" max="23" width="9.140625" style="2" customWidth="1"/>
    <col min="24" max="24" width="28.57421875" style="2" customWidth="1"/>
    <col min="25" max="25" width="14.57421875" style="2" customWidth="1"/>
    <col min="26" max="16384" width="9.140625" style="2" customWidth="1"/>
  </cols>
  <sheetData>
    <row r="1" spans="1:20" s="1" customFormat="1" ht="11.25">
      <c r="A1" s="179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6" ht="12.75">
      <c r="A2" s="73"/>
      <c r="B2" s="67"/>
      <c r="C2" s="68" t="s">
        <v>0</v>
      </c>
      <c r="D2" s="64" t="s">
        <v>33</v>
      </c>
      <c r="E2" s="65" t="s">
        <v>54</v>
      </c>
      <c r="F2" s="65"/>
      <c r="G2" s="69">
        <f>+M9+M25+M57+M69+M96+M112+21136.33</f>
        <v>499707</v>
      </c>
      <c r="H2" s="106">
        <f>+O2/G2</f>
        <v>0.9964380246824639</v>
      </c>
      <c r="I2" s="74" t="s">
        <v>34</v>
      </c>
      <c r="J2" s="75">
        <v>38169</v>
      </c>
      <c r="K2" s="76">
        <f>G4</f>
        <v>58539.91</v>
      </c>
      <c r="L2" s="103" t="s">
        <v>30</v>
      </c>
      <c r="M2" s="104">
        <f aca="true" t="shared" si="0" ref="M2:T2">SUM(M3:M7)</f>
        <v>497927.056</v>
      </c>
      <c r="N2" s="104"/>
      <c r="O2" s="105">
        <f t="shared" si="0"/>
        <v>497927.056</v>
      </c>
      <c r="P2" s="104">
        <f t="shared" si="0"/>
        <v>323652.58640000003</v>
      </c>
      <c r="Q2" s="104"/>
      <c r="R2" s="105">
        <f t="shared" si="0"/>
        <v>323652.58640000003</v>
      </c>
      <c r="S2" s="104">
        <f t="shared" si="0"/>
        <v>97247.87</v>
      </c>
      <c r="T2" s="104">
        <f t="shared" si="0"/>
        <v>226404.7164</v>
      </c>
      <c r="U2" s="2">
        <f>+G3*30%</f>
        <v>97247.86499999999</v>
      </c>
      <c r="X2" t="s">
        <v>219</v>
      </c>
      <c r="Y2" s="141">
        <v>496846.05600000004</v>
      </c>
      <c r="Z2" t="s">
        <v>221</v>
      </c>
    </row>
    <row r="3" spans="1:26" s="23" customFormat="1" ht="12.75">
      <c r="A3" s="52"/>
      <c r="B3" s="67"/>
      <c r="C3" s="30" t="s">
        <v>53</v>
      </c>
      <c r="D3" s="31"/>
      <c r="E3" s="71" t="s">
        <v>55</v>
      </c>
      <c r="F3" s="33"/>
      <c r="G3" s="70">
        <v>324159.55</v>
      </c>
      <c r="H3" s="106">
        <f>+P2/G3</f>
        <v>0.9984360676709974</v>
      </c>
      <c r="J3" s="70" t="s">
        <v>58</v>
      </c>
      <c r="K3" s="57">
        <f>K10+K26+K58+K70+K97+K113+K134</f>
        <v>0</v>
      </c>
      <c r="L3" s="77" t="s">
        <v>31</v>
      </c>
      <c r="M3" s="57">
        <f>M10+M26+M58+M70+M97+M113+M134</f>
        <v>33839.76</v>
      </c>
      <c r="N3" s="57">
        <f>N10+N26+N58+N70+N97+N113+N134</f>
        <v>0</v>
      </c>
      <c r="O3" s="92">
        <f>O10+O26+O58+O70+O97+O113+O134</f>
        <v>33839.76</v>
      </c>
      <c r="P3" s="57">
        <f>P10+P26+P58+P70+P97+P113+P134</f>
        <v>21995.844</v>
      </c>
      <c r="Q3" s="57">
        <f>Q10+Q26+Q58+Q70+Q97+Q113+Q134</f>
        <v>0</v>
      </c>
      <c r="R3" s="92">
        <f>R10+R26+R58+R70+R97+R113+R134</f>
        <v>21995.844</v>
      </c>
      <c r="S3" s="57">
        <f>S10+S26+S58+S70+S97+S113+S134</f>
        <v>8248.4415</v>
      </c>
      <c r="T3" s="57">
        <f>T10+T26+T58+T70+T97+T113+T134</f>
        <v>13747.4025</v>
      </c>
      <c r="U3" s="102">
        <v>13747.4</v>
      </c>
      <c r="X3" t="s">
        <v>220</v>
      </c>
      <c r="Y3" s="141">
        <f>+Y2*0.65</f>
        <v>322949.93640000006</v>
      </c>
      <c r="Z3" t="s">
        <v>222</v>
      </c>
    </row>
    <row r="4" spans="1:26" s="23" customFormat="1" ht="12.75">
      <c r="A4" s="52"/>
      <c r="B4" s="67"/>
      <c r="C4" s="30" t="s">
        <v>67</v>
      </c>
      <c r="D4" s="31"/>
      <c r="E4" s="71" t="s">
        <v>56</v>
      </c>
      <c r="F4" s="33"/>
      <c r="G4" s="70">
        <v>58539.91</v>
      </c>
      <c r="H4" s="106">
        <f>+Q2/G4</f>
        <v>0</v>
      </c>
      <c r="J4" s="71" t="s">
        <v>59</v>
      </c>
      <c r="K4" s="72">
        <f>K2-K3</f>
        <v>58539.91</v>
      </c>
      <c r="L4" s="77" t="s">
        <v>32</v>
      </c>
      <c r="M4" s="57">
        <f>M11+M27+M59+M71+M98+M114+M135</f>
        <v>175237.57</v>
      </c>
      <c r="N4" s="57">
        <f>N11+N27+N59+N71+N98+N114+N135</f>
        <v>0</v>
      </c>
      <c r="O4" s="92">
        <f>O11+O27+O59+O71+O98+O114+O135</f>
        <v>175237.57</v>
      </c>
      <c r="P4" s="57">
        <f>P11+P27+P59+P71+P98+P114+P135</f>
        <v>113904.42050000001</v>
      </c>
      <c r="Q4" s="57">
        <f>Q11+Q27+Q59+Q71+Q98+Q114+Q135</f>
        <v>0</v>
      </c>
      <c r="R4" s="92">
        <f>R11+R27+R59+R71+R98+R114+R135</f>
        <v>113904.42050000001</v>
      </c>
      <c r="S4" s="57">
        <f>S11+S27+S59+S71+S98+S114+S135</f>
        <v>42714.1576875</v>
      </c>
      <c r="T4" s="57">
        <f>T11+T27+T59+T71+T98+T114+T135</f>
        <v>71190.2628125</v>
      </c>
      <c r="U4" s="102">
        <v>71190.26</v>
      </c>
      <c r="V4" s="72">
        <f>SUM(U3:U4)</f>
        <v>84937.65999999999</v>
      </c>
      <c r="X4"/>
      <c r="Y4" s="141"/>
      <c r="Z4"/>
    </row>
    <row r="5" spans="1:26" s="23" customFormat="1" ht="12.75">
      <c r="A5" s="52"/>
      <c r="B5" s="67"/>
      <c r="C5" s="30" t="s">
        <v>160</v>
      </c>
      <c r="D5" s="31"/>
      <c r="E5" s="71" t="s">
        <v>57</v>
      </c>
      <c r="F5" s="33"/>
      <c r="G5" s="70">
        <f>SUM(G3:G4)</f>
        <v>382699.45999999996</v>
      </c>
      <c r="H5" s="106">
        <f>+R2/G5</f>
        <v>0.8457095455530563</v>
      </c>
      <c r="L5" s="77" t="s">
        <v>159</v>
      </c>
      <c r="M5" s="57">
        <f>M12+M28+M60+M72+M99+M115+M136</f>
        <v>169203.38199999998</v>
      </c>
      <c r="N5" s="57">
        <f>N12+N28+N60+N72+N99+N115+N136</f>
        <v>0</v>
      </c>
      <c r="O5" s="92">
        <f>O12+O28+O60+O72+O99+O115+O136</f>
        <v>169203.38199999998</v>
      </c>
      <c r="P5" s="57">
        <f>P12+P28+P60+P72+P99+P115+P136</f>
        <v>109982.1983</v>
      </c>
      <c r="Q5" s="57">
        <f>Q12+Q28+Q60+Q72+Q99+Q115+Q136</f>
        <v>0</v>
      </c>
      <c r="R5" s="92">
        <f>R12+R28+R60+R72+R99+R115+R136</f>
        <v>109982.1983</v>
      </c>
      <c r="S5" s="57">
        <f>S12+S28+S60+S72+S99+S115+S136</f>
        <v>41243.3243625</v>
      </c>
      <c r="T5" s="57">
        <f>T12+T28+T60+T72+T99+T115+T136</f>
        <v>68738.8739375</v>
      </c>
      <c r="U5" s="102">
        <f>SUM(U2:U4)+T5</f>
        <v>250924.39893749997</v>
      </c>
      <c r="V5" s="23">
        <v>97247.87</v>
      </c>
      <c r="X5" t="s">
        <v>223</v>
      </c>
      <c r="Y5" s="141">
        <v>250924.39893749997</v>
      </c>
      <c r="Z5" t="s">
        <v>225</v>
      </c>
    </row>
    <row r="6" spans="1:26" s="23" customFormat="1" ht="12.75">
      <c r="A6" s="52"/>
      <c r="B6" s="67"/>
      <c r="C6" s="30" t="s">
        <v>228</v>
      </c>
      <c r="D6" s="31"/>
      <c r="E6" s="32"/>
      <c r="F6" s="33"/>
      <c r="G6" s="70"/>
      <c r="H6" s="34"/>
      <c r="L6" s="77" t="s">
        <v>293</v>
      </c>
      <c r="M6" s="57">
        <f>M13+M29+M61+M73+M100+M116+M137</f>
        <v>119646.344</v>
      </c>
      <c r="N6" s="57">
        <f>N13+N29+N61+N73+N100+N116+N137</f>
        <v>0</v>
      </c>
      <c r="O6" s="92">
        <f>O13+O29+O61+O73+O100+O116+O137</f>
        <v>119646.344</v>
      </c>
      <c r="P6" s="57">
        <f>P13+P29+P61+P73+P100+P116+P137</f>
        <v>77770.12359999999</v>
      </c>
      <c r="Q6" s="57">
        <f>Q13+Q29+Q61+Q73+Q100+Q116+Q137</f>
        <v>0</v>
      </c>
      <c r="R6" s="92">
        <f>R13+R29+R61+R73+R100+R116+R137</f>
        <v>77770.12359999999</v>
      </c>
      <c r="S6" s="57">
        <f>97247.87-S5-S4-S3</f>
        <v>5041.9464499999885</v>
      </c>
      <c r="T6" s="5">
        <f>R6-S6</f>
        <v>72728.17715</v>
      </c>
      <c r="U6" s="134">
        <f>+U5/R2</f>
        <v>0.7752893364101969</v>
      </c>
      <c r="V6" s="72">
        <f>SUM(V4:V5)</f>
        <v>182185.52999999997</v>
      </c>
      <c r="X6" t="s">
        <v>224</v>
      </c>
      <c r="Y6" s="141">
        <f>+Y3*80%</f>
        <v>258359.94912000006</v>
      </c>
      <c r="Z6" t="s">
        <v>226</v>
      </c>
    </row>
    <row r="7" spans="1:26" s="23" customFormat="1" ht="12.75">
      <c r="A7" s="52"/>
      <c r="B7" s="67"/>
      <c r="D7" s="31"/>
      <c r="E7" s="32"/>
      <c r="F7" s="33"/>
      <c r="G7" s="33"/>
      <c r="H7" s="34"/>
      <c r="L7" s="77"/>
      <c r="M7" s="57"/>
      <c r="N7" s="57"/>
      <c r="O7" s="92"/>
      <c r="P7" s="57"/>
      <c r="Q7" s="57"/>
      <c r="R7" s="92"/>
      <c r="S7" s="57"/>
      <c r="T7" s="57"/>
      <c r="U7" s="102">
        <f>+R2*0.8</f>
        <v>258922.06912000003</v>
      </c>
      <c r="X7"/>
      <c r="Y7" s="142">
        <f>+Y6-Y5</f>
        <v>7435.550182500097</v>
      </c>
      <c r="Z7" t="s">
        <v>227</v>
      </c>
    </row>
    <row r="8" spans="1:21" ht="11.25">
      <c r="A8" s="35"/>
      <c r="B8" s="58"/>
      <c r="C8" s="166" t="s">
        <v>6</v>
      </c>
      <c r="D8" s="166"/>
      <c r="E8" s="166"/>
      <c r="F8" s="166"/>
      <c r="G8" s="166"/>
      <c r="H8" s="166"/>
      <c r="I8" s="166"/>
      <c r="J8" s="166"/>
      <c r="K8" s="166"/>
      <c r="L8" s="168"/>
      <c r="M8" s="136" t="s">
        <v>212</v>
      </c>
      <c r="N8" s="136" t="s">
        <v>63</v>
      </c>
      <c r="O8" s="137" t="s">
        <v>213</v>
      </c>
      <c r="P8" s="136" t="s">
        <v>214</v>
      </c>
      <c r="Q8" s="136" t="s">
        <v>215</v>
      </c>
      <c r="R8" s="137" t="s">
        <v>216</v>
      </c>
      <c r="S8" s="26" t="s">
        <v>24</v>
      </c>
      <c r="T8" s="27" t="s">
        <v>25</v>
      </c>
      <c r="U8" s="140">
        <f>U7-U5</f>
        <v>7997.670182500064</v>
      </c>
    </row>
    <row r="9" spans="1:21" s="1" customFormat="1" ht="11.25">
      <c r="A9" s="159"/>
      <c r="B9" s="160"/>
      <c r="C9" s="49"/>
      <c r="D9" s="37"/>
      <c r="E9" s="37"/>
      <c r="F9" s="37"/>
      <c r="G9" s="37"/>
      <c r="H9" s="37"/>
      <c r="I9" s="37"/>
      <c r="J9" s="37"/>
      <c r="K9" s="50"/>
      <c r="L9" s="78" t="s">
        <v>12</v>
      </c>
      <c r="M9" s="3">
        <v>88154.42</v>
      </c>
      <c r="N9" s="3"/>
      <c r="O9" s="93"/>
      <c r="P9" s="3">
        <f>M9*0.65</f>
        <v>57300.373</v>
      </c>
      <c r="Q9" s="76"/>
      <c r="R9" s="97"/>
      <c r="U9" s="21"/>
    </row>
    <row r="10" spans="1:21" s="1" customFormat="1" ht="11.25">
      <c r="A10" s="159"/>
      <c r="B10" s="160"/>
      <c r="C10" s="39"/>
      <c r="D10" s="38"/>
      <c r="E10" s="38"/>
      <c r="F10" s="38"/>
      <c r="G10" s="38"/>
      <c r="H10" s="38"/>
      <c r="I10" s="38"/>
      <c r="J10" s="38"/>
      <c r="K10" s="4">
        <f>SUM(K16)</f>
        <v>0</v>
      </c>
      <c r="L10" s="79" t="s">
        <v>28</v>
      </c>
      <c r="M10" s="4">
        <f>SUM(M16)</f>
        <v>21330.03</v>
      </c>
      <c r="N10" s="4">
        <f>SUM(N16)</f>
        <v>0</v>
      </c>
      <c r="O10" s="94">
        <f>+N10+M10</f>
        <v>21330.03</v>
      </c>
      <c r="P10" s="4">
        <f>SUM(P16)</f>
        <v>13864.5195</v>
      </c>
      <c r="Q10" s="4"/>
      <c r="R10" s="94">
        <f>+Q10+P10</f>
        <v>13864.5195</v>
      </c>
      <c r="S10" s="5">
        <f>R10*0.375</f>
        <v>5199.1948125</v>
      </c>
      <c r="T10" s="5">
        <f>R10-S10</f>
        <v>8665.3246875</v>
      </c>
      <c r="U10" s="25"/>
    </row>
    <row r="11" spans="1:21" s="1" customFormat="1" ht="11.25">
      <c r="A11" s="159"/>
      <c r="B11" s="160"/>
      <c r="C11" s="39"/>
      <c r="D11" s="38"/>
      <c r="E11" s="38"/>
      <c r="F11" s="38"/>
      <c r="G11" s="38"/>
      <c r="H11" s="38"/>
      <c r="I11" s="38"/>
      <c r="J11" s="38"/>
      <c r="K11" s="40"/>
      <c r="L11" s="79" t="s">
        <v>29</v>
      </c>
      <c r="M11" s="4">
        <f>+M17</f>
        <v>27612.57</v>
      </c>
      <c r="N11" s="4">
        <f>+N17</f>
        <v>0</v>
      </c>
      <c r="O11" s="94">
        <f>+N11+M11</f>
        <v>27612.57</v>
      </c>
      <c r="P11" s="4">
        <f>+P17</f>
        <v>17948.1705</v>
      </c>
      <c r="Q11" s="4"/>
      <c r="R11" s="94">
        <f>+Q11+P11</f>
        <v>17948.1705</v>
      </c>
      <c r="S11" s="5">
        <f>R11*0.375</f>
        <v>6730.5639375</v>
      </c>
      <c r="T11" s="5">
        <f>R11-S11</f>
        <v>11217.606562500001</v>
      </c>
      <c r="U11" s="25"/>
    </row>
    <row r="12" spans="1:21" s="1" customFormat="1" ht="11.25">
      <c r="A12" s="159"/>
      <c r="B12" s="160"/>
      <c r="C12" s="39"/>
      <c r="D12" s="38"/>
      <c r="E12" s="38"/>
      <c r="F12" s="38"/>
      <c r="G12" s="38"/>
      <c r="H12" s="38"/>
      <c r="I12" s="38"/>
      <c r="J12" s="38"/>
      <c r="K12" s="40"/>
      <c r="L12" s="79" t="s">
        <v>157</v>
      </c>
      <c r="M12" s="4">
        <f>SUM(M18:M19)</f>
        <v>6741.3449999999975</v>
      </c>
      <c r="N12" s="4">
        <f>+N18</f>
        <v>0</v>
      </c>
      <c r="O12" s="94">
        <f>+N12+M12</f>
        <v>6741.3449999999975</v>
      </c>
      <c r="P12" s="4">
        <f>SUM(P18:P19)</f>
        <v>4381.874249999999</v>
      </c>
      <c r="Q12" s="4">
        <f>+Q18</f>
        <v>0</v>
      </c>
      <c r="R12" s="94">
        <f>+Q12+P12</f>
        <v>4381.874249999999</v>
      </c>
      <c r="S12" s="5">
        <f>R12*0.375</f>
        <v>1643.2028437499996</v>
      </c>
      <c r="T12" s="5">
        <f>R12-S12</f>
        <v>2738.6714062499996</v>
      </c>
      <c r="U12" s="25"/>
    </row>
    <row r="13" spans="1:21" s="1" customFormat="1" ht="11.25">
      <c r="A13" s="159"/>
      <c r="B13" s="160"/>
      <c r="C13" s="39"/>
      <c r="D13" s="38"/>
      <c r="E13" s="38"/>
      <c r="F13" s="38"/>
      <c r="G13" s="38"/>
      <c r="H13" s="38"/>
      <c r="I13" s="38"/>
      <c r="J13" s="38"/>
      <c r="K13" s="40"/>
      <c r="L13" s="79" t="s">
        <v>294</v>
      </c>
      <c r="M13" s="4">
        <f>SUM(M20:M21)</f>
        <v>39631.2</v>
      </c>
      <c r="N13" s="4">
        <f>SUM(N20:N21)</f>
        <v>0</v>
      </c>
      <c r="O13" s="94">
        <f>+N13+M13</f>
        <v>39631.2</v>
      </c>
      <c r="P13" s="4">
        <f>SUM(P20:P21)</f>
        <v>25760.28</v>
      </c>
      <c r="Q13" s="4">
        <f>SUM(Q20:Q21)</f>
        <v>0</v>
      </c>
      <c r="R13" s="94">
        <f>+Q13+P13</f>
        <v>25760.28</v>
      </c>
      <c r="S13" s="5">
        <f>R13*0.375</f>
        <v>9660.105</v>
      </c>
      <c r="T13" s="5">
        <f>R13-S13</f>
        <v>16100.175</v>
      </c>
      <c r="U13" s="25"/>
    </row>
    <row r="14" spans="1:21" s="1" customFormat="1" ht="11.25">
      <c r="A14" s="161"/>
      <c r="B14" s="162"/>
      <c r="C14" s="41"/>
      <c r="D14" s="42"/>
      <c r="E14" s="42"/>
      <c r="F14" s="42"/>
      <c r="G14" s="42"/>
      <c r="H14" s="42"/>
      <c r="I14" s="42"/>
      <c r="J14" s="42"/>
      <c r="K14" s="43"/>
      <c r="L14" s="80" t="s">
        <v>13</v>
      </c>
      <c r="M14" s="6">
        <f>M9-M10-M11-M12-M13</f>
        <v>-7160.724999999995</v>
      </c>
      <c r="N14" s="6"/>
      <c r="O14" s="95"/>
      <c r="P14" s="6"/>
      <c r="Q14" s="90"/>
      <c r="R14" s="98"/>
      <c r="S14" s="29"/>
      <c r="T14" s="29"/>
      <c r="U14" s="21"/>
    </row>
    <row r="15" spans="1:21" ht="22.5">
      <c r="A15" s="7" t="s">
        <v>14</v>
      </c>
      <c r="B15" s="7" t="s">
        <v>11</v>
      </c>
      <c r="C15" s="28" t="s">
        <v>23</v>
      </c>
      <c r="D15" s="28" t="s">
        <v>20</v>
      </c>
      <c r="E15" s="36" t="s">
        <v>2</v>
      </c>
      <c r="F15" s="28" t="s">
        <v>19</v>
      </c>
      <c r="G15" s="28" t="s">
        <v>18</v>
      </c>
      <c r="H15" s="36" t="s">
        <v>17</v>
      </c>
      <c r="I15" s="36" t="s">
        <v>16</v>
      </c>
      <c r="J15" s="28" t="s">
        <v>3</v>
      </c>
      <c r="K15" s="28" t="s">
        <v>4</v>
      </c>
      <c r="L15" s="81" t="s">
        <v>5</v>
      </c>
      <c r="M15" s="7" t="s">
        <v>21</v>
      </c>
      <c r="N15" s="7" t="s">
        <v>63</v>
      </c>
      <c r="O15" s="81" t="s">
        <v>64</v>
      </c>
      <c r="P15" s="7" t="s">
        <v>22</v>
      </c>
      <c r="Q15" s="7" t="s">
        <v>65</v>
      </c>
      <c r="R15" s="81" t="s">
        <v>66</v>
      </c>
      <c r="S15" s="147" t="s">
        <v>27</v>
      </c>
      <c r="T15" s="147"/>
      <c r="U15" s="22"/>
    </row>
    <row r="16" spans="1:20" ht="45">
      <c r="A16" s="53" t="s">
        <v>15</v>
      </c>
      <c r="B16" s="8"/>
      <c r="C16" s="9" t="s">
        <v>51</v>
      </c>
      <c r="D16" s="14" t="s">
        <v>35</v>
      </c>
      <c r="E16" s="9"/>
      <c r="F16" s="9"/>
      <c r="G16" s="10"/>
      <c r="H16" s="11"/>
      <c r="I16" s="11"/>
      <c r="J16" s="12">
        <v>21330.03</v>
      </c>
      <c r="K16" s="12">
        <v>0</v>
      </c>
      <c r="L16" s="82">
        <f>SUM(J16:K16)</f>
        <v>21330.03</v>
      </c>
      <c r="M16" s="12">
        <f>L16</f>
        <v>21330.03</v>
      </c>
      <c r="N16" s="12"/>
      <c r="O16" s="82">
        <f aca="true" t="shared" si="1" ref="O16:O22">+N16+M16</f>
        <v>21330.03</v>
      </c>
      <c r="P16" s="12">
        <f aca="true" t="shared" si="2" ref="P16:P22">M16*0.65</f>
        <v>13864.5195</v>
      </c>
      <c r="Q16" s="12"/>
      <c r="R16" s="82">
        <f aca="true" t="shared" si="3" ref="R16:R22">+Q16+P16</f>
        <v>13864.5195</v>
      </c>
      <c r="S16" s="155"/>
      <c r="T16" s="155"/>
    </row>
    <row r="17" spans="1:20" ht="18.75" customHeight="1">
      <c r="A17" s="53" t="s">
        <v>68</v>
      </c>
      <c r="B17" s="8"/>
      <c r="C17" s="172" t="s">
        <v>154</v>
      </c>
      <c r="D17" s="173"/>
      <c r="E17" s="173"/>
      <c r="F17" s="173"/>
      <c r="G17" s="173"/>
      <c r="H17" s="173"/>
      <c r="I17" s="174"/>
      <c r="J17" s="12">
        <v>27612.57</v>
      </c>
      <c r="K17" s="12"/>
      <c r="L17" s="82">
        <f>+K17+J17</f>
        <v>27612.57</v>
      </c>
      <c r="M17" s="12">
        <f>+J17</f>
        <v>27612.57</v>
      </c>
      <c r="N17" s="12"/>
      <c r="O17" s="82">
        <f t="shared" si="1"/>
        <v>27612.57</v>
      </c>
      <c r="P17" s="12">
        <f t="shared" si="2"/>
        <v>17948.1705</v>
      </c>
      <c r="Q17" s="12"/>
      <c r="R17" s="82">
        <f t="shared" si="3"/>
        <v>17948.1705</v>
      </c>
      <c r="S17" s="167"/>
      <c r="T17" s="155"/>
    </row>
    <row r="18" spans="1:21" ht="48" customHeight="1">
      <c r="A18" s="53" t="s">
        <v>155</v>
      </c>
      <c r="B18" s="8"/>
      <c r="C18" s="9" t="s">
        <v>51</v>
      </c>
      <c r="D18" s="14" t="s">
        <v>69</v>
      </c>
      <c r="E18" s="9"/>
      <c r="F18" s="9"/>
      <c r="G18" s="10"/>
      <c r="H18" s="11"/>
      <c r="I18" s="11"/>
      <c r="J18" s="12"/>
      <c r="K18" s="12"/>
      <c r="L18" s="82">
        <f>+K18+J18</f>
        <v>0</v>
      </c>
      <c r="M18" s="12">
        <f>(897-90-90-99)*13.7+(135.5+106.5+129+138.5+104)*13.93-M17</f>
        <v>-10599.915</v>
      </c>
      <c r="N18" s="12"/>
      <c r="O18" s="82">
        <f t="shared" si="1"/>
        <v>-10599.915</v>
      </c>
      <c r="P18" s="12">
        <f t="shared" si="2"/>
        <v>-6889.944750000001</v>
      </c>
      <c r="Q18" s="12"/>
      <c r="R18" s="82">
        <f t="shared" si="3"/>
        <v>-6889.944750000001</v>
      </c>
      <c r="S18" s="155" t="s">
        <v>156</v>
      </c>
      <c r="T18" s="155"/>
      <c r="U18" s="22"/>
    </row>
    <row r="19" spans="1:21" ht="22.5">
      <c r="A19" s="53" t="s">
        <v>155</v>
      </c>
      <c r="B19" s="8"/>
      <c r="C19" s="9" t="s">
        <v>51</v>
      </c>
      <c r="D19" s="14" t="s">
        <v>163</v>
      </c>
      <c r="E19" s="9"/>
      <c r="F19" s="9"/>
      <c r="G19" s="10"/>
      <c r="H19" s="11"/>
      <c r="I19" s="11"/>
      <c r="J19" s="12">
        <f>10.28*515.5+12.44*968</f>
        <v>17341.26</v>
      </c>
      <c r="K19" s="12"/>
      <c r="L19" s="82">
        <f>+K19+J19</f>
        <v>17341.26</v>
      </c>
      <c r="M19" s="12">
        <v>17341.26</v>
      </c>
      <c r="N19" s="12"/>
      <c r="O19" s="82">
        <f t="shared" si="1"/>
        <v>17341.26</v>
      </c>
      <c r="P19" s="12">
        <f t="shared" si="2"/>
        <v>11271.819</v>
      </c>
      <c r="Q19" s="12"/>
      <c r="R19" s="82">
        <f t="shared" si="3"/>
        <v>11271.819</v>
      </c>
      <c r="S19" s="169"/>
      <c r="T19" s="169"/>
      <c r="U19" s="22"/>
    </row>
    <row r="20" spans="1:21" ht="11.25">
      <c r="A20" s="53" t="s">
        <v>229</v>
      </c>
      <c r="B20" s="8"/>
      <c r="C20" s="9" t="s">
        <v>51</v>
      </c>
      <c r="D20" s="14" t="s">
        <v>230</v>
      </c>
      <c r="E20" s="9"/>
      <c r="F20" s="9"/>
      <c r="G20" s="10"/>
      <c r="H20" s="11"/>
      <c r="I20" s="11"/>
      <c r="J20" s="12">
        <v>29731.51</v>
      </c>
      <c r="K20" s="12"/>
      <c r="L20" s="82">
        <f>+K20+J20</f>
        <v>29731.51</v>
      </c>
      <c r="M20" s="12">
        <v>29731.51</v>
      </c>
      <c r="N20" s="12"/>
      <c r="O20" s="82">
        <f t="shared" si="1"/>
        <v>29731.51</v>
      </c>
      <c r="P20" s="12">
        <f t="shared" si="2"/>
        <v>19325.481499999998</v>
      </c>
      <c r="Q20" s="12"/>
      <c r="R20" s="82">
        <f t="shared" si="3"/>
        <v>19325.481499999998</v>
      </c>
      <c r="S20" s="169"/>
      <c r="T20" s="169"/>
      <c r="U20" s="22"/>
    </row>
    <row r="21" spans="1:21" ht="22.5">
      <c r="A21" s="53" t="s">
        <v>229</v>
      </c>
      <c r="B21" s="8"/>
      <c r="C21" s="9" t="s">
        <v>51</v>
      </c>
      <c r="D21" s="14" t="s">
        <v>163</v>
      </c>
      <c r="E21" s="9"/>
      <c r="F21" s="9"/>
      <c r="G21" s="10"/>
      <c r="H21" s="11"/>
      <c r="I21" s="11"/>
      <c r="J21" s="12">
        <v>9899.69</v>
      </c>
      <c r="K21" s="12"/>
      <c r="L21" s="82">
        <f>+K21+J21</f>
        <v>9899.69</v>
      </c>
      <c r="M21" s="12">
        <v>9899.69</v>
      </c>
      <c r="N21" s="12"/>
      <c r="O21" s="82">
        <f t="shared" si="1"/>
        <v>9899.69</v>
      </c>
      <c r="P21" s="12">
        <f t="shared" si="2"/>
        <v>6434.798500000001</v>
      </c>
      <c r="Q21" s="12"/>
      <c r="R21" s="82">
        <f t="shared" si="3"/>
        <v>6434.798500000001</v>
      </c>
      <c r="S21" s="169"/>
      <c r="T21" s="169"/>
      <c r="U21" s="22"/>
    </row>
    <row r="22" spans="1:21" ht="11.25">
      <c r="A22" s="54"/>
      <c r="B22" s="8"/>
      <c r="C22" s="9"/>
      <c r="D22" s="9"/>
      <c r="E22" s="9"/>
      <c r="F22" s="9"/>
      <c r="G22" s="10"/>
      <c r="H22" s="11"/>
      <c r="I22" s="11"/>
      <c r="J22" s="12"/>
      <c r="K22" s="12"/>
      <c r="L22" s="82"/>
      <c r="M22" s="12"/>
      <c r="N22" s="12"/>
      <c r="O22" s="82">
        <f t="shared" si="1"/>
        <v>0</v>
      </c>
      <c r="P22" s="12">
        <f t="shared" si="2"/>
        <v>0</v>
      </c>
      <c r="Q22" s="12"/>
      <c r="R22" s="82">
        <f t="shared" si="3"/>
        <v>0</v>
      </c>
      <c r="S22" s="169"/>
      <c r="T22" s="169"/>
      <c r="U22" s="22"/>
    </row>
    <row r="23" ht="11.25">
      <c r="U23" s="22"/>
    </row>
    <row r="24" spans="1:21" ht="11.25">
      <c r="A24" s="55"/>
      <c r="B24" s="20"/>
      <c r="C24" s="175" t="s">
        <v>7</v>
      </c>
      <c r="D24" s="175"/>
      <c r="E24" s="175"/>
      <c r="F24" s="175"/>
      <c r="G24" s="175"/>
      <c r="H24" s="175"/>
      <c r="I24" s="175"/>
      <c r="J24" s="175"/>
      <c r="K24" s="175"/>
      <c r="L24" s="84"/>
      <c r="M24" s="136" t="s">
        <v>212</v>
      </c>
      <c r="N24" s="136" t="s">
        <v>63</v>
      </c>
      <c r="O24" s="137" t="s">
        <v>213</v>
      </c>
      <c r="P24" s="136" t="s">
        <v>214</v>
      </c>
      <c r="Q24" s="136" t="s">
        <v>215</v>
      </c>
      <c r="R24" s="137" t="s">
        <v>216</v>
      </c>
      <c r="S24" s="26" t="s">
        <v>24</v>
      </c>
      <c r="T24" s="27" t="s">
        <v>25</v>
      </c>
      <c r="U24" s="22"/>
    </row>
    <row r="25" spans="1:22" ht="11.25">
      <c r="A25" s="170"/>
      <c r="B25" s="171"/>
      <c r="C25" s="182"/>
      <c r="D25" s="183"/>
      <c r="E25" s="183"/>
      <c r="F25" s="183"/>
      <c r="G25" s="183"/>
      <c r="H25" s="183"/>
      <c r="I25" s="183"/>
      <c r="J25" s="183"/>
      <c r="K25" s="184"/>
      <c r="L25" s="85" t="s">
        <v>12</v>
      </c>
      <c r="M25" s="3">
        <v>110315</v>
      </c>
      <c r="N25" s="3"/>
      <c r="O25" s="93"/>
      <c r="P25" s="3"/>
      <c r="Q25" s="76"/>
      <c r="R25" s="97"/>
      <c r="S25" s="46"/>
      <c r="T25" s="46"/>
      <c r="U25" s="22"/>
      <c r="V25" s="22"/>
    </row>
    <row r="26" spans="1:22" ht="11.25">
      <c r="A26" s="159"/>
      <c r="B26" s="160"/>
      <c r="C26" s="39"/>
      <c r="D26" s="38"/>
      <c r="E26" s="38"/>
      <c r="F26" s="38"/>
      <c r="G26" s="38"/>
      <c r="H26" s="38"/>
      <c r="I26" s="38"/>
      <c r="J26" s="38"/>
      <c r="K26" s="4">
        <v>0</v>
      </c>
      <c r="L26" s="86" t="s">
        <v>28</v>
      </c>
      <c r="M26" s="4">
        <f>SUM(M32:M36)</f>
        <v>9900</v>
      </c>
      <c r="N26" s="4">
        <f>SUM(N32:N36)</f>
        <v>0</v>
      </c>
      <c r="O26" s="94">
        <f>+N26+M26</f>
        <v>9900</v>
      </c>
      <c r="P26" s="4">
        <f>SUM(P32:P36)</f>
        <v>6435</v>
      </c>
      <c r="Q26" s="4">
        <f>SUM(Q32:Q36)</f>
        <v>0</v>
      </c>
      <c r="R26" s="99">
        <f>+Q26+P26</f>
        <v>6435</v>
      </c>
      <c r="S26" s="5">
        <f>R26*0.375</f>
        <v>2413.125</v>
      </c>
      <c r="T26" s="5">
        <f>R26-S26</f>
        <v>4021.875</v>
      </c>
      <c r="U26" s="22"/>
      <c r="V26" s="22"/>
    </row>
    <row r="27" spans="1:22" ht="11.25">
      <c r="A27" s="159"/>
      <c r="B27" s="160"/>
      <c r="C27" s="39"/>
      <c r="D27" s="38"/>
      <c r="E27" s="38"/>
      <c r="F27" s="62"/>
      <c r="G27" s="63"/>
      <c r="H27" s="38"/>
      <c r="I27" s="38"/>
      <c r="J27" s="38"/>
      <c r="K27" s="40"/>
      <c r="L27" s="86" t="s">
        <v>29</v>
      </c>
      <c r="M27" s="4">
        <f>+M37</f>
        <v>35440</v>
      </c>
      <c r="N27" s="4">
        <f>+N37</f>
        <v>0</v>
      </c>
      <c r="O27" s="94">
        <f>+N27+M27</f>
        <v>35440</v>
      </c>
      <c r="P27" s="4">
        <f>+P37</f>
        <v>23036</v>
      </c>
      <c r="Q27" s="4">
        <f>SUM(Q38:Q45)</f>
        <v>0</v>
      </c>
      <c r="R27" s="94">
        <f>+Q27+P27</f>
        <v>23036</v>
      </c>
      <c r="S27" s="5">
        <f>R27*0.375</f>
        <v>8638.5</v>
      </c>
      <c r="T27" s="5">
        <f>R27-S27</f>
        <v>14397.5</v>
      </c>
      <c r="U27" s="22"/>
      <c r="V27" s="22"/>
    </row>
    <row r="28" spans="1:22" ht="11.25">
      <c r="A28" s="159"/>
      <c r="B28" s="160"/>
      <c r="C28" s="39"/>
      <c r="D28" s="38"/>
      <c r="E28" s="38"/>
      <c r="F28" s="38"/>
      <c r="G28" s="38"/>
      <c r="H28" s="38"/>
      <c r="I28" s="38"/>
      <c r="J28" s="38"/>
      <c r="K28" s="40"/>
      <c r="L28" s="86" t="s">
        <v>157</v>
      </c>
      <c r="M28" s="4">
        <f>SUM(M46:M49)</f>
        <v>14900</v>
      </c>
      <c r="N28" s="4">
        <f>SUM(N46:N49)</f>
        <v>0</v>
      </c>
      <c r="O28" s="94">
        <f>+N28+M28</f>
        <v>14900</v>
      </c>
      <c r="P28" s="4">
        <f>SUM(P46:P49)</f>
        <v>9685</v>
      </c>
      <c r="Q28" s="4">
        <f>SUM(Q46:Q49)</f>
        <v>0</v>
      </c>
      <c r="R28" s="94">
        <f>+Q28+P28</f>
        <v>9685</v>
      </c>
      <c r="S28" s="5">
        <f>R28*0.375</f>
        <v>3631.875</v>
      </c>
      <c r="T28" s="5">
        <f>R28-S28</f>
        <v>6053.125</v>
      </c>
      <c r="U28" s="22"/>
      <c r="V28" s="22"/>
    </row>
    <row r="29" spans="1:22" ht="11.25">
      <c r="A29" s="159"/>
      <c r="B29" s="160"/>
      <c r="C29" s="39"/>
      <c r="D29" s="38"/>
      <c r="E29" s="38"/>
      <c r="F29" s="38"/>
      <c r="G29" s="38"/>
      <c r="H29" s="38"/>
      <c r="I29" s="38"/>
      <c r="J29" s="38"/>
      <c r="K29" s="40"/>
      <c r="L29" s="86" t="s">
        <v>294</v>
      </c>
      <c r="M29" s="4">
        <f>SUM(M50:M53)</f>
        <v>24200</v>
      </c>
      <c r="N29" s="4">
        <f>SUM(N50:N53)</f>
        <v>0</v>
      </c>
      <c r="O29" s="94">
        <f>+N29+M29</f>
        <v>24200</v>
      </c>
      <c r="P29" s="4">
        <f>SUM(P50:P53)</f>
        <v>15730</v>
      </c>
      <c r="Q29" s="4">
        <f>SUM(Q50:Q53)</f>
        <v>0</v>
      </c>
      <c r="R29" s="94">
        <f>+Q29+P29</f>
        <v>15730</v>
      </c>
      <c r="S29" s="5">
        <f>R29*0.375</f>
        <v>5898.75</v>
      </c>
      <c r="T29" s="5">
        <f>R29-S29</f>
        <v>9831.25</v>
      </c>
      <c r="U29" s="22"/>
      <c r="V29" s="22"/>
    </row>
    <row r="30" spans="1:22" ht="11.25">
      <c r="A30" s="161"/>
      <c r="B30" s="162"/>
      <c r="C30" s="176"/>
      <c r="D30" s="177"/>
      <c r="E30" s="177"/>
      <c r="F30" s="177"/>
      <c r="G30" s="177"/>
      <c r="H30" s="177"/>
      <c r="I30" s="177"/>
      <c r="J30" s="177"/>
      <c r="K30" s="178"/>
      <c r="L30" s="87" t="s">
        <v>13</v>
      </c>
      <c r="M30" s="6">
        <f>M25-M26-M27-M28-M29</f>
        <v>25875</v>
      </c>
      <c r="N30" s="6"/>
      <c r="O30" s="95"/>
      <c r="P30" s="6"/>
      <c r="Q30" s="90"/>
      <c r="R30" s="98"/>
      <c r="S30" s="29"/>
      <c r="T30" s="1"/>
      <c r="U30" s="22"/>
      <c r="V30" s="22"/>
    </row>
    <row r="31" spans="1:21" ht="22.5">
      <c r="A31" s="7" t="s">
        <v>14</v>
      </c>
      <c r="B31" s="7" t="s">
        <v>11</v>
      </c>
      <c r="C31" s="28" t="s">
        <v>23</v>
      </c>
      <c r="D31" s="28" t="s">
        <v>20</v>
      </c>
      <c r="E31" s="36" t="s">
        <v>2</v>
      </c>
      <c r="F31" s="28" t="s">
        <v>19</v>
      </c>
      <c r="G31" s="28" t="s">
        <v>18</v>
      </c>
      <c r="H31" s="36" t="s">
        <v>17</v>
      </c>
      <c r="I31" s="36" t="s">
        <v>16</v>
      </c>
      <c r="J31" s="28" t="s">
        <v>3</v>
      </c>
      <c r="K31" s="28" t="s">
        <v>4</v>
      </c>
      <c r="L31" s="81" t="s">
        <v>5</v>
      </c>
      <c r="M31" s="7" t="s">
        <v>21</v>
      </c>
      <c r="N31" s="7" t="s">
        <v>63</v>
      </c>
      <c r="O31" s="81" t="s">
        <v>64</v>
      </c>
      <c r="P31" s="7" t="s">
        <v>22</v>
      </c>
      <c r="Q31" s="7" t="s">
        <v>65</v>
      </c>
      <c r="R31" s="81" t="s">
        <v>66</v>
      </c>
      <c r="S31" s="147" t="s">
        <v>27</v>
      </c>
      <c r="T31" s="147"/>
      <c r="U31" s="22"/>
    </row>
    <row r="32" spans="1:20" ht="22.5">
      <c r="A32" s="53" t="s">
        <v>15</v>
      </c>
      <c r="B32" s="8"/>
      <c r="C32" s="9" t="s">
        <v>51</v>
      </c>
      <c r="D32" s="14" t="s">
        <v>60</v>
      </c>
      <c r="E32" s="9" t="s">
        <v>39</v>
      </c>
      <c r="F32" s="14">
        <v>5</v>
      </c>
      <c r="G32" s="10">
        <v>38258</v>
      </c>
      <c r="H32" s="15">
        <v>38350</v>
      </c>
      <c r="I32" s="15" t="s">
        <v>40</v>
      </c>
      <c r="J32" s="12">
        <v>3500</v>
      </c>
      <c r="K32" s="12">
        <f>+J32*0.2</f>
        <v>700</v>
      </c>
      <c r="L32" s="82">
        <f>SUM(J32:K32)</f>
        <v>4200</v>
      </c>
      <c r="M32" s="24">
        <f>14*180</f>
        <v>2520</v>
      </c>
      <c r="N32" s="24"/>
      <c r="O32" s="82">
        <f aca="true" t="shared" si="4" ref="O32:O37">+N32+M32</f>
        <v>2520</v>
      </c>
      <c r="P32" s="12">
        <f aca="true" t="shared" si="5" ref="P32:P37">M32*0.65</f>
        <v>1638</v>
      </c>
      <c r="Q32" s="12"/>
      <c r="R32" s="82">
        <f aca="true" t="shared" si="6" ref="R32:R37">+Q32+P32</f>
        <v>1638</v>
      </c>
      <c r="S32" s="187" t="s">
        <v>325</v>
      </c>
      <c r="T32" s="188"/>
    </row>
    <row r="33" spans="1:20" ht="22.5">
      <c r="A33" s="53" t="s">
        <v>15</v>
      </c>
      <c r="B33" s="8"/>
      <c r="C33" s="9" t="s">
        <v>51</v>
      </c>
      <c r="D33" s="14" t="s">
        <v>36</v>
      </c>
      <c r="E33" s="9" t="s">
        <v>39</v>
      </c>
      <c r="F33" s="14">
        <v>6</v>
      </c>
      <c r="G33" s="10">
        <v>38275</v>
      </c>
      <c r="H33" s="15">
        <v>38350</v>
      </c>
      <c r="I33" s="15" t="s">
        <v>40</v>
      </c>
      <c r="J33" s="12">
        <v>1750</v>
      </c>
      <c r="K33" s="12">
        <f>+J33*0.2</f>
        <v>350</v>
      </c>
      <c r="L33" s="82">
        <f>SUM(J33:K33)</f>
        <v>2100</v>
      </c>
      <c r="M33" s="24">
        <f>7*180</f>
        <v>1260</v>
      </c>
      <c r="N33" s="24"/>
      <c r="O33" s="82">
        <f t="shared" si="4"/>
        <v>1260</v>
      </c>
      <c r="P33" s="12">
        <f t="shared" si="5"/>
        <v>819</v>
      </c>
      <c r="Q33" s="12"/>
      <c r="R33" s="82">
        <f t="shared" si="6"/>
        <v>819</v>
      </c>
      <c r="S33" s="189"/>
      <c r="T33" s="190"/>
    </row>
    <row r="34" spans="1:20" ht="22.5">
      <c r="A34" s="53" t="s">
        <v>15</v>
      </c>
      <c r="B34" s="8"/>
      <c r="C34" s="9" t="s">
        <v>51</v>
      </c>
      <c r="D34" s="14" t="s">
        <v>37</v>
      </c>
      <c r="E34" s="9" t="s">
        <v>39</v>
      </c>
      <c r="F34" s="14">
        <v>7</v>
      </c>
      <c r="G34" s="10">
        <v>38289</v>
      </c>
      <c r="H34" s="15">
        <v>38351</v>
      </c>
      <c r="I34" s="15" t="s">
        <v>40</v>
      </c>
      <c r="J34" s="12">
        <v>2100</v>
      </c>
      <c r="K34" s="12">
        <f>+J34*0.2</f>
        <v>420</v>
      </c>
      <c r="L34" s="82">
        <f>SUM(J34:K34)</f>
        <v>2520</v>
      </c>
      <c r="M34" s="24">
        <f>9*180</f>
        <v>1620</v>
      </c>
      <c r="N34" s="24"/>
      <c r="O34" s="82">
        <f t="shared" si="4"/>
        <v>1620</v>
      </c>
      <c r="P34" s="12">
        <f t="shared" si="5"/>
        <v>1053</v>
      </c>
      <c r="Q34" s="12"/>
      <c r="R34" s="82">
        <f t="shared" si="6"/>
        <v>1053</v>
      </c>
      <c r="S34" s="189"/>
      <c r="T34" s="190"/>
    </row>
    <row r="35" spans="1:24" ht="21" customHeight="1">
      <c r="A35" s="53" t="s">
        <v>15</v>
      </c>
      <c r="B35" s="8"/>
      <c r="C35" s="9" t="s">
        <v>51</v>
      </c>
      <c r="D35" s="14" t="s">
        <v>38</v>
      </c>
      <c r="E35" s="14" t="s">
        <v>42</v>
      </c>
      <c r="F35" s="14">
        <v>43</v>
      </c>
      <c r="G35" s="10">
        <v>38334</v>
      </c>
      <c r="H35" s="11">
        <v>38336</v>
      </c>
      <c r="I35" s="15" t="s">
        <v>40</v>
      </c>
      <c r="J35" s="12">
        <v>3000</v>
      </c>
      <c r="K35" s="12">
        <f>+J35*0.2</f>
        <v>600</v>
      </c>
      <c r="L35" s="82">
        <f>SUM(J35:K35)</f>
        <v>3600</v>
      </c>
      <c r="M35" s="24">
        <f>12*180</f>
        <v>2160</v>
      </c>
      <c r="N35" s="24"/>
      <c r="O35" s="82">
        <f t="shared" si="4"/>
        <v>2160</v>
      </c>
      <c r="P35" s="12">
        <f t="shared" si="5"/>
        <v>1404</v>
      </c>
      <c r="Q35" s="12"/>
      <c r="R35" s="82">
        <f t="shared" si="6"/>
        <v>1404</v>
      </c>
      <c r="S35" s="191"/>
      <c r="T35" s="192"/>
      <c r="X35" s="2">
        <f>W34/10080</f>
        <v>0</v>
      </c>
    </row>
    <row r="36" spans="1:20" s="22" customFormat="1" ht="12.75" customHeight="1">
      <c r="A36" s="53" t="s">
        <v>15</v>
      </c>
      <c r="B36" s="60"/>
      <c r="C36" s="9" t="s">
        <v>51</v>
      </c>
      <c r="D36" s="14" t="s">
        <v>61</v>
      </c>
      <c r="E36" s="14" t="s">
        <v>41</v>
      </c>
      <c r="F36" s="66">
        <v>1</v>
      </c>
      <c r="G36" s="15">
        <v>38322</v>
      </c>
      <c r="H36" s="15">
        <v>38334</v>
      </c>
      <c r="I36" s="15" t="s">
        <v>40</v>
      </c>
      <c r="J36" s="61">
        <v>3250</v>
      </c>
      <c r="K36" s="12">
        <f>+J36*0.2</f>
        <v>650</v>
      </c>
      <c r="L36" s="82">
        <f>SUM(J36:K36)</f>
        <v>3900</v>
      </c>
      <c r="M36" s="24">
        <f>13*180</f>
        <v>2340</v>
      </c>
      <c r="N36" s="24"/>
      <c r="O36" s="82">
        <f t="shared" si="4"/>
        <v>2340</v>
      </c>
      <c r="P36" s="12">
        <f t="shared" si="5"/>
        <v>1521</v>
      </c>
      <c r="Q36" s="12"/>
      <c r="R36" s="82">
        <f t="shared" si="6"/>
        <v>1521</v>
      </c>
      <c r="S36" s="193"/>
      <c r="T36" s="194"/>
    </row>
    <row r="37" spans="1:20" ht="21" customHeight="1">
      <c r="A37" s="53" t="s">
        <v>68</v>
      </c>
      <c r="B37" s="8"/>
      <c r="C37" s="172" t="s">
        <v>154</v>
      </c>
      <c r="D37" s="173"/>
      <c r="E37" s="173"/>
      <c r="F37" s="173"/>
      <c r="G37" s="173"/>
      <c r="H37" s="173"/>
      <c r="I37" s="174"/>
      <c r="J37" s="12">
        <v>35440</v>
      </c>
      <c r="K37" s="12"/>
      <c r="L37" s="82">
        <f>+K37+J37</f>
        <v>35440</v>
      </c>
      <c r="M37" s="12">
        <f>+J37</f>
        <v>35440</v>
      </c>
      <c r="N37" s="12"/>
      <c r="O37" s="82">
        <f t="shared" si="4"/>
        <v>35440</v>
      </c>
      <c r="P37" s="12">
        <f t="shared" si="5"/>
        <v>23036</v>
      </c>
      <c r="Q37" s="12"/>
      <c r="R37" s="82">
        <f t="shared" si="6"/>
        <v>23036</v>
      </c>
      <c r="S37" s="167"/>
      <c r="T37" s="155"/>
    </row>
    <row r="38" spans="1:20" s="22" customFormat="1" ht="57.75" customHeight="1">
      <c r="A38" s="53" t="s">
        <v>68</v>
      </c>
      <c r="B38" s="60"/>
      <c r="C38" s="9" t="s">
        <v>51</v>
      </c>
      <c r="D38" s="14" t="s">
        <v>73</v>
      </c>
      <c r="E38" s="14" t="s">
        <v>74</v>
      </c>
      <c r="F38" s="14">
        <v>17</v>
      </c>
      <c r="G38" s="108">
        <v>38474</v>
      </c>
      <c r="H38" s="108">
        <v>38483</v>
      </c>
      <c r="I38" s="15" t="s">
        <v>72</v>
      </c>
      <c r="J38" s="61">
        <v>6800</v>
      </c>
      <c r="K38" s="61">
        <f aca="true" t="shared" si="7" ref="K38:K45">J38*20/100</f>
        <v>1360</v>
      </c>
      <c r="L38" s="109">
        <f aca="true" t="shared" si="8" ref="L38:L45">SUM(J38:K38)</f>
        <v>8160</v>
      </c>
      <c r="M38" s="24">
        <v>6800</v>
      </c>
      <c r="N38" s="24"/>
      <c r="O38" s="82">
        <f aca="true" t="shared" si="9" ref="O38:O47">+N38+M38</f>
        <v>6800</v>
      </c>
      <c r="P38" s="12">
        <f aca="true" t="shared" si="10" ref="P38:P45">M38*0.65</f>
        <v>4420</v>
      </c>
      <c r="Q38" s="12"/>
      <c r="R38" s="82">
        <f aca="true" t="shared" si="11" ref="R38:R46">+Q38+P38</f>
        <v>4420</v>
      </c>
      <c r="S38" s="144"/>
      <c r="T38" s="145"/>
    </row>
    <row r="39" spans="1:20" s="22" customFormat="1" ht="32.25" customHeight="1">
      <c r="A39" s="53" t="s">
        <v>68</v>
      </c>
      <c r="B39" s="60"/>
      <c r="C39" s="9" t="s">
        <v>51</v>
      </c>
      <c r="D39" s="14" t="s">
        <v>75</v>
      </c>
      <c r="E39" s="14" t="s">
        <v>76</v>
      </c>
      <c r="F39" s="14">
        <v>4</v>
      </c>
      <c r="G39" s="108">
        <v>38410</v>
      </c>
      <c r="H39" s="108">
        <v>38433</v>
      </c>
      <c r="I39" s="15" t="s">
        <v>72</v>
      </c>
      <c r="J39" s="61">
        <v>2500</v>
      </c>
      <c r="K39" s="61">
        <f t="shared" si="7"/>
        <v>500</v>
      </c>
      <c r="L39" s="109">
        <f t="shared" si="8"/>
        <v>3000</v>
      </c>
      <c r="M39" s="24">
        <v>2500</v>
      </c>
      <c r="N39" s="24"/>
      <c r="O39" s="82">
        <f t="shared" si="9"/>
        <v>2500</v>
      </c>
      <c r="P39" s="12">
        <f t="shared" si="10"/>
        <v>1625</v>
      </c>
      <c r="Q39" s="12"/>
      <c r="R39" s="82">
        <f t="shared" si="11"/>
        <v>1625</v>
      </c>
      <c r="S39" s="144"/>
      <c r="T39" s="145"/>
    </row>
    <row r="40" spans="1:20" s="22" customFormat="1" ht="35.25" customHeight="1">
      <c r="A40" s="53" t="s">
        <v>68</v>
      </c>
      <c r="B40" s="60"/>
      <c r="C40" s="9" t="s">
        <v>51</v>
      </c>
      <c r="D40" s="14" t="s">
        <v>77</v>
      </c>
      <c r="E40" s="14" t="s">
        <v>76</v>
      </c>
      <c r="F40" s="14">
        <v>3</v>
      </c>
      <c r="G40" s="108">
        <v>38397</v>
      </c>
      <c r="H40" s="108">
        <v>38433</v>
      </c>
      <c r="I40" s="15" t="s">
        <v>72</v>
      </c>
      <c r="J40" s="61">
        <v>5500</v>
      </c>
      <c r="K40" s="61">
        <f t="shared" si="7"/>
        <v>1100</v>
      </c>
      <c r="L40" s="109">
        <f t="shared" si="8"/>
        <v>6600</v>
      </c>
      <c r="M40" s="24">
        <f>30*180</f>
        <v>5400</v>
      </c>
      <c r="N40" s="24"/>
      <c r="O40" s="82">
        <f t="shared" si="9"/>
        <v>5400</v>
      </c>
      <c r="P40" s="12">
        <f t="shared" si="10"/>
        <v>3510</v>
      </c>
      <c r="Q40" s="12"/>
      <c r="R40" s="82">
        <f t="shared" si="11"/>
        <v>3510</v>
      </c>
      <c r="S40" s="144"/>
      <c r="T40" s="145"/>
    </row>
    <row r="41" spans="1:20" s="22" customFormat="1" ht="22.5">
      <c r="A41" s="53" t="s">
        <v>68</v>
      </c>
      <c r="B41" s="60"/>
      <c r="C41" s="9" t="s">
        <v>51</v>
      </c>
      <c r="D41" s="14" t="s">
        <v>78</v>
      </c>
      <c r="E41" s="14" t="s">
        <v>79</v>
      </c>
      <c r="F41" s="14">
        <v>7</v>
      </c>
      <c r="G41" s="108">
        <v>38416</v>
      </c>
      <c r="H41" s="108">
        <v>38418</v>
      </c>
      <c r="I41" s="15" t="s">
        <v>80</v>
      </c>
      <c r="J41" s="61">
        <v>4700</v>
      </c>
      <c r="K41" s="61">
        <f t="shared" si="7"/>
        <v>940</v>
      </c>
      <c r="L41" s="109">
        <f t="shared" si="8"/>
        <v>5640</v>
      </c>
      <c r="M41" s="24">
        <v>4700</v>
      </c>
      <c r="N41" s="24"/>
      <c r="O41" s="82">
        <f t="shared" si="9"/>
        <v>4700</v>
      </c>
      <c r="P41" s="12">
        <f t="shared" si="10"/>
        <v>3055</v>
      </c>
      <c r="Q41" s="12"/>
      <c r="R41" s="82">
        <f t="shared" si="11"/>
        <v>3055</v>
      </c>
      <c r="S41" s="110"/>
      <c r="T41" s="111"/>
    </row>
    <row r="42" spans="1:20" s="22" customFormat="1" ht="34.5" customHeight="1">
      <c r="A42" s="53" t="s">
        <v>68</v>
      </c>
      <c r="B42" s="60"/>
      <c r="C42" s="9" t="s">
        <v>51</v>
      </c>
      <c r="D42" s="14" t="s">
        <v>81</v>
      </c>
      <c r="E42" s="14" t="s">
        <v>76</v>
      </c>
      <c r="F42" s="14">
        <v>6</v>
      </c>
      <c r="G42" s="108">
        <v>38565</v>
      </c>
      <c r="H42" s="108">
        <v>38653</v>
      </c>
      <c r="I42" s="15" t="s">
        <v>72</v>
      </c>
      <c r="J42" s="61">
        <v>5400</v>
      </c>
      <c r="K42" s="61">
        <f t="shared" si="7"/>
        <v>1080</v>
      </c>
      <c r="L42" s="109">
        <f t="shared" si="8"/>
        <v>6480</v>
      </c>
      <c r="M42" s="24">
        <f>30*180</f>
        <v>5400</v>
      </c>
      <c r="N42" s="24"/>
      <c r="O42" s="82">
        <f t="shared" si="9"/>
        <v>5400</v>
      </c>
      <c r="P42" s="12">
        <f t="shared" si="10"/>
        <v>3510</v>
      </c>
      <c r="Q42" s="12"/>
      <c r="R42" s="82">
        <f t="shared" si="11"/>
        <v>3510</v>
      </c>
      <c r="S42" s="144"/>
      <c r="T42" s="145"/>
    </row>
    <row r="43" spans="1:20" s="22" customFormat="1" ht="25.5" customHeight="1">
      <c r="A43" s="53" t="s">
        <v>68</v>
      </c>
      <c r="B43" s="60"/>
      <c r="C43" s="9" t="s">
        <v>51</v>
      </c>
      <c r="D43" s="14" t="s">
        <v>82</v>
      </c>
      <c r="E43" s="14" t="s">
        <v>76</v>
      </c>
      <c r="F43" s="14">
        <v>5</v>
      </c>
      <c r="G43" s="108">
        <v>38534</v>
      </c>
      <c r="H43" s="108">
        <v>38646</v>
      </c>
      <c r="I43" s="15" t="s">
        <v>72</v>
      </c>
      <c r="J43" s="61">
        <v>2340</v>
      </c>
      <c r="K43" s="61">
        <f t="shared" si="7"/>
        <v>468</v>
      </c>
      <c r="L43" s="109">
        <f t="shared" si="8"/>
        <v>2808</v>
      </c>
      <c r="M43" s="24">
        <f>13*180</f>
        <v>2340</v>
      </c>
      <c r="N43" s="24"/>
      <c r="O43" s="82">
        <f t="shared" si="9"/>
        <v>2340</v>
      </c>
      <c r="P43" s="12">
        <f t="shared" si="10"/>
        <v>1521</v>
      </c>
      <c r="Q43" s="12"/>
      <c r="R43" s="82">
        <f t="shared" si="11"/>
        <v>1521</v>
      </c>
      <c r="S43" s="144"/>
      <c r="T43" s="145"/>
    </row>
    <row r="44" spans="1:20" s="22" customFormat="1" ht="26.25" customHeight="1">
      <c r="A44" s="53" t="s">
        <v>68</v>
      </c>
      <c r="B44" s="60"/>
      <c r="C44" s="9" t="s">
        <v>51</v>
      </c>
      <c r="D44" s="14" t="s">
        <v>83</v>
      </c>
      <c r="E44" s="14" t="s">
        <v>74</v>
      </c>
      <c r="F44" s="14">
        <v>38</v>
      </c>
      <c r="G44" s="108">
        <v>38595</v>
      </c>
      <c r="H44" s="108">
        <v>38646</v>
      </c>
      <c r="I44" s="15" t="s">
        <v>72</v>
      </c>
      <c r="J44" s="61">
        <v>3800</v>
      </c>
      <c r="K44" s="61">
        <f t="shared" si="7"/>
        <v>760</v>
      </c>
      <c r="L44" s="109">
        <f t="shared" si="8"/>
        <v>4560</v>
      </c>
      <c r="M44" s="24">
        <v>3800</v>
      </c>
      <c r="N44" s="24"/>
      <c r="O44" s="82">
        <f t="shared" si="9"/>
        <v>3800</v>
      </c>
      <c r="P44" s="12">
        <f t="shared" si="10"/>
        <v>2470</v>
      </c>
      <c r="Q44" s="12"/>
      <c r="R44" s="82">
        <f t="shared" si="11"/>
        <v>2470</v>
      </c>
      <c r="S44" s="146"/>
      <c r="T44" s="156"/>
    </row>
    <row r="45" spans="1:20" s="22" customFormat="1" ht="28.5" customHeight="1">
      <c r="A45" s="53" t="s">
        <v>68</v>
      </c>
      <c r="B45" s="60"/>
      <c r="C45" s="9" t="s">
        <v>51</v>
      </c>
      <c r="D45" s="14" t="s">
        <v>84</v>
      </c>
      <c r="E45" s="14" t="s">
        <v>74</v>
      </c>
      <c r="F45" s="14">
        <v>38</v>
      </c>
      <c r="G45" s="108">
        <v>38595</v>
      </c>
      <c r="H45" s="108">
        <v>38646</v>
      </c>
      <c r="I45" s="15" t="s">
        <v>72</v>
      </c>
      <c r="J45" s="61">
        <v>1400</v>
      </c>
      <c r="K45" s="61">
        <f t="shared" si="7"/>
        <v>280</v>
      </c>
      <c r="L45" s="109">
        <f t="shared" si="8"/>
        <v>1680</v>
      </c>
      <c r="M45" s="24">
        <v>1400</v>
      </c>
      <c r="N45" s="24"/>
      <c r="O45" s="82">
        <f t="shared" si="9"/>
        <v>1400</v>
      </c>
      <c r="P45" s="12">
        <f t="shared" si="10"/>
        <v>910</v>
      </c>
      <c r="Q45" s="12"/>
      <c r="R45" s="82">
        <f t="shared" si="11"/>
        <v>910</v>
      </c>
      <c r="S45" s="157"/>
      <c r="T45" s="158"/>
    </row>
    <row r="46" spans="1:20" s="22" customFormat="1" ht="21" customHeight="1">
      <c r="A46" s="53" t="s">
        <v>155</v>
      </c>
      <c r="B46" s="60"/>
      <c r="C46" s="172" t="s">
        <v>158</v>
      </c>
      <c r="D46" s="173"/>
      <c r="E46" s="173"/>
      <c r="F46" s="173"/>
      <c r="G46" s="173"/>
      <c r="H46" s="173"/>
      <c r="I46" s="174"/>
      <c r="J46" s="61"/>
      <c r="K46" s="61"/>
      <c r="L46" s="109"/>
      <c r="M46" s="61">
        <f>SUM(M38:M45)-M37</f>
        <v>-3100</v>
      </c>
      <c r="N46" s="61">
        <f>SUM(N38:N45)-N37</f>
        <v>0</v>
      </c>
      <c r="O46" s="82">
        <f t="shared" si="9"/>
        <v>-3100</v>
      </c>
      <c r="P46" s="61">
        <f>SUM(P38:P45)-P37</f>
        <v>-2015</v>
      </c>
      <c r="Q46" s="61"/>
      <c r="R46" s="82">
        <f t="shared" si="11"/>
        <v>-2015</v>
      </c>
      <c r="S46" s="127"/>
      <c r="T46" s="128"/>
    </row>
    <row r="47" spans="1:20" s="22" customFormat="1" ht="21" customHeight="1">
      <c r="A47" s="53" t="s">
        <v>155</v>
      </c>
      <c r="B47" s="60"/>
      <c r="C47" s="9" t="s">
        <v>51</v>
      </c>
      <c r="D47" s="129" t="s">
        <v>164</v>
      </c>
      <c r="E47" s="130" t="s">
        <v>39</v>
      </c>
      <c r="F47" s="130">
        <v>1</v>
      </c>
      <c r="G47" s="130">
        <v>38720</v>
      </c>
      <c r="H47" s="130">
        <v>38804</v>
      </c>
      <c r="I47" s="130" t="s">
        <v>86</v>
      </c>
      <c r="J47" s="12">
        <v>7380</v>
      </c>
      <c r="K47" s="12">
        <f>J47*20/100</f>
        <v>1476</v>
      </c>
      <c r="L47" s="82">
        <f>SUM(J47:K47)</f>
        <v>8856</v>
      </c>
      <c r="M47" s="61">
        <f>41*180</f>
        <v>7380</v>
      </c>
      <c r="N47" s="61"/>
      <c r="O47" s="82">
        <f t="shared" si="9"/>
        <v>7380</v>
      </c>
      <c r="P47" s="12">
        <f aca="true" t="shared" si="12" ref="P47:P53">M47*0.65</f>
        <v>4797</v>
      </c>
      <c r="Q47" s="12"/>
      <c r="R47" s="82">
        <f aca="true" t="shared" si="13" ref="R47:R53">+Q47+P47</f>
        <v>4797</v>
      </c>
      <c r="S47" s="127"/>
      <c r="T47" s="128"/>
    </row>
    <row r="48" spans="1:20" s="22" customFormat="1" ht="24" customHeight="1">
      <c r="A48" s="53" t="s">
        <v>155</v>
      </c>
      <c r="B48" s="60"/>
      <c r="C48" s="9" t="s">
        <v>51</v>
      </c>
      <c r="D48" s="107" t="s">
        <v>164</v>
      </c>
      <c r="E48" s="130" t="s">
        <v>39</v>
      </c>
      <c r="F48" s="130">
        <v>2</v>
      </c>
      <c r="G48" s="130">
        <v>38747</v>
      </c>
      <c r="H48" s="130">
        <v>38805</v>
      </c>
      <c r="I48" s="130" t="s">
        <v>86</v>
      </c>
      <c r="J48" s="12">
        <v>3960</v>
      </c>
      <c r="K48" s="12">
        <f>J48*20/100</f>
        <v>792</v>
      </c>
      <c r="L48" s="82">
        <f>SUM(J48:K48)</f>
        <v>4752</v>
      </c>
      <c r="M48" s="61">
        <f>22*180</f>
        <v>3960</v>
      </c>
      <c r="N48" s="61"/>
      <c r="O48" s="82">
        <f aca="true" t="shared" si="14" ref="O48:O53">+N48+M48</f>
        <v>3960</v>
      </c>
      <c r="P48" s="12">
        <f t="shared" si="12"/>
        <v>2574</v>
      </c>
      <c r="Q48" s="12"/>
      <c r="R48" s="82">
        <f t="shared" si="13"/>
        <v>2574</v>
      </c>
      <c r="S48" s="127"/>
      <c r="T48" s="128"/>
    </row>
    <row r="49" spans="1:20" ht="23.25" customHeight="1">
      <c r="A49" s="53" t="s">
        <v>155</v>
      </c>
      <c r="B49" s="8"/>
      <c r="C49" s="9" t="s">
        <v>51</v>
      </c>
      <c r="D49" s="107" t="s">
        <v>164</v>
      </c>
      <c r="E49" s="130" t="s">
        <v>39</v>
      </c>
      <c r="F49" s="130">
        <v>3</v>
      </c>
      <c r="G49" s="130">
        <v>38775</v>
      </c>
      <c r="H49" s="130">
        <v>38806</v>
      </c>
      <c r="I49" s="130" t="s">
        <v>86</v>
      </c>
      <c r="J49" s="12">
        <v>6660</v>
      </c>
      <c r="K49" s="12">
        <f>J49*20/100</f>
        <v>1332</v>
      </c>
      <c r="L49" s="82">
        <f>SUM(J49:K49)</f>
        <v>7992</v>
      </c>
      <c r="M49" s="24">
        <f>37*180</f>
        <v>6660</v>
      </c>
      <c r="N49" s="24"/>
      <c r="O49" s="82">
        <f t="shared" si="14"/>
        <v>6660</v>
      </c>
      <c r="P49" s="12">
        <f t="shared" si="12"/>
        <v>4329</v>
      </c>
      <c r="Q49" s="12"/>
      <c r="R49" s="82">
        <f t="shared" si="13"/>
        <v>4329</v>
      </c>
      <c r="S49" s="155"/>
      <c r="T49" s="155"/>
    </row>
    <row r="50" spans="1:20" ht="23.25" customHeight="1">
      <c r="A50" s="53" t="s">
        <v>229</v>
      </c>
      <c r="B50" s="8"/>
      <c r="C50" s="9" t="s">
        <v>51</v>
      </c>
      <c r="D50" s="107" t="s">
        <v>231</v>
      </c>
      <c r="E50" s="130" t="s">
        <v>232</v>
      </c>
      <c r="F50" s="130" t="s">
        <v>183</v>
      </c>
      <c r="G50" s="130">
        <v>38953</v>
      </c>
      <c r="H50" s="130">
        <v>38954</v>
      </c>
      <c r="I50" s="130" t="s">
        <v>233</v>
      </c>
      <c r="J50" s="12">
        <v>480</v>
      </c>
      <c r="K50" s="12">
        <v>120</v>
      </c>
      <c r="L50" s="82">
        <v>600</v>
      </c>
      <c r="M50" s="24">
        <v>480</v>
      </c>
      <c r="N50" s="24"/>
      <c r="O50" s="82">
        <f t="shared" si="14"/>
        <v>480</v>
      </c>
      <c r="P50" s="12">
        <f t="shared" si="12"/>
        <v>312</v>
      </c>
      <c r="Q50" s="12"/>
      <c r="R50" s="82">
        <f t="shared" si="13"/>
        <v>312</v>
      </c>
      <c r="S50" s="155"/>
      <c r="T50" s="155"/>
    </row>
    <row r="51" spans="1:20" ht="23.25" customHeight="1">
      <c r="A51" s="53" t="s">
        <v>229</v>
      </c>
      <c r="B51" s="8"/>
      <c r="C51" s="9" t="s">
        <v>51</v>
      </c>
      <c r="D51" s="107" t="s">
        <v>234</v>
      </c>
      <c r="E51" s="130" t="s">
        <v>76</v>
      </c>
      <c r="F51" s="130">
        <v>6</v>
      </c>
      <c r="G51" s="130">
        <v>38898</v>
      </c>
      <c r="H51" s="130"/>
      <c r="I51" s="130" t="s">
        <v>233</v>
      </c>
      <c r="J51" s="12">
        <v>21600</v>
      </c>
      <c r="K51" s="12">
        <v>4320</v>
      </c>
      <c r="L51" s="82">
        <v>25920</v>
      </c>
      <c r="M51" s="24">
        <f>120*180</f>
        <v>21600</v>
      </c>
      <c r="N51" s="24"/>
      <c r="O51" s="82">
        <f t="shared" si="14"/>
        <v>21600</v>
      </c>
      <c r="P51" s="12">
        <f t="shared" si="12"/>
        <v>14040</v>
      </c>
      <c r="Q51" s="12"/>
      <c r="R51" s="82">
        <f t="shared" si="13"/>
        <v>14040</v>
      </c>
      <c r="S51" s="155"/>
      <c r="T51" s="155"/>
    </row>
    <row r="52" spans="1:20" ht="23.25" customHeight="1">
      <c r="A52" s="53" t="s">
        <v>229</v>
      </c>
      <c r="B52" s="8"/>
      <c r="C52" s="9" t="s">
        <v>51</v>
      </c>
      <c r="D52" s="107" t="s">
        <v>248</v>
      </c>
      <c r="E52" s="130" t="s">
        <v>249</v>
      </c>
      <c r="F52" s="130">
        <v>343</v>
      </c>
      <c r="G52" s="130">
        <v>38822</v>
      </c>
      <c r="H52" s="130"/>
      <c r="I52" s="130"/>
      <c r="J52" s="12">
        <v>140</v>
      </c>
      <c r="K52" s="12">
        <v>28</v>
      </c>
      <c r="L52" s="82">
        <v>168</v>
      </c>
      <c r="M52" s="24">
        <v>140</v>
      </c>
      <c r="N52" s="24"/>
      <c r="O52" s="82">
        <f t="shared" si="14"/>
        <v>140</v>
      </c>
      <c r="P52" s="12">
        <f t="shared" si="12"/>
        <v>91</v>
      </c>
      <c r="Q52" s="12"/>
      <c r="R52" s="82">
        <f t="shared" si="13"/>
        <v>91</v>
      </c>
      <c r="S52" s="155"/>
      <c r="T52" s="155"/>
    </row>
    <row r="53" spans="1:20" ht="23.25" customHeight="1">
      <c r="A53" s="53" t="s">
        <v>229</v>
      </c>
      <c r="B53" s="8"/>
      <c r="C53" s="9" t="s">
        <v>51</v>
      </c>
      <c r="D53" s="107" t="s">
        <v>250</v>
      </c>
      <c r="E53" s="130" t="s">
        <v>249</v>
      </c>
      <c r="F53" s="130">
        <v>1144</v>
      </c>
      <c r="G53" s="130">
        <v>39081</v>
      </c>
      <c r="H53" s="130"/>
      <c r="I53" s="130"/>
      <c r="J53" s="12">
        <v>1996</v>
      </c>
      <c r="K53" s="12">
        <v>399.2</v>
      </c>
      <c r="L53" s="82">
        <v>2395.2</v>
      </c>
      <c r="M53" s="12">
        <f>11*180</f>
        <v>1980</v>
      </c>
      <c r="N53" s="24"/>
      <c r="O53" s="82">
        <f t="shared" si="14"/>
        <v>1980</v>
      </c>
      <c r="P53" s="12">
        <f t="shared" si="12"/>
        <v>1287</v>
      </c>
      <c r="Q53" s="12"/>
      <c r="R53" s="82">
        <f t="shared" si="13"/>
        <v>1287</v>
      </c>
      <c r="S53" s="155"/>
      <c r="T53" s="155"/>
    </row>
    <row r="54" spans="1:20" ht="14.25" customHeight="1">
      <c r="A54" s="53"/>
      <c r="B54" s="8"/>
      <c r="C54" s="9"/>
      <c r="D54" s="107"/>
      <c r="E54" s="130"/>
      <c r="F54" s="130"/>
      <c r="G54" s="130"/>
      <c r="H54" s="130"/>
      <c r="I54" s="130"/>
      <c r="J54" s="12"/>
      <c r="K54" s="12"/>
      <c r="L54" s="82"/>
      <c r="M54" s="24"/>
      <c r="N54" s="24"/>
      <c r="O54" s="82"/>
      <c r="P54" s="12"/>
      <c r="Q54" s="12"/>
      <c r="R54" s="82"/>
      <c r="S54" s="155"/>
      <c r="T54" s="155"/>
    </row>
    <row r="55" ht="11.25">
      <c r="U55" s="22"/>
    </row>
    <row r="56" spans="1:21" ht="11.25">
      <c r="A56" s="35"/>
      <c r="B56" s="58"/>
      <c r="C56" s="166" t="s">
        <v>1</v>
      </c>
      <c r="D56" s="166"/>
      <c r="E56" s="166"/>
      <c r="F56" s="166"/>
      <c r="G56" s="166"/>
      <c r="H56" s="166"/>
      <c r="I56" s="166"/>
      <c r="J56" s="166"/>
      <c r="K56" s="166"/>
      <c r="L56" s="84"/>
      <c r="M56" s="136" t="s">
        <v>212</v>
      </c>
      <c r="N56" s="136" t="s">
        <v>63</v>
      </c>
      <c r="O56" s="137" t="s">
        <v>213</v>
      </c>
      <c r="P56" s="136" t="s">
        <v>214</v>
      </c>
      <c r="Q56" s="136" t="s">
        <v>215</v>
      </c>
      <c r="R56" s="137" t="s">
        <v>216</v>
      </c>
      <c r="S56" s="26" t="s">
        <v>24</v>
      </c>
      <c r="T56" s="27" t="s">
        <v>25</v>
      </c>
      <c r="U56" s="22"/>
    </row>
    <row r="57" spans="1:22" ht="11.25">
      <c r="A57" s="159"/>
      <c r="B57" s="160"/>
      <c r="C57" s="163"/>
      <c r="D57" s="164"/>
      <c r="E57" s="164"/>
      <c r="F57" s="164"/>
      <c r="G57" s="164"/>
      <c r="H57" s="164"/>
      <c r="I57" s="164"/>
      <c r="J57" s="164"/>
      <c r="K57" s="165"/>
      <c r="L57" s="78" t="s">
        <v>12</v>
      </c>
      <c r="M57" s="3">
        <v>13000</v>
      </c>
      <c r="N57" s="3"/>
      <c r="O57" s="93"/>
      <c r="P57" s="3"/>
      <c r="Q57" s="76"/>
      <c r="R57" s="97"/>
      <c r="S57" s="46"/>
      <c r="T57" s="46"/>
      <c r="U57" s="22"/>
      <c r="V57" s="22"/>
    </row>
    <row r="58" spans="1:22" ht="11.25">
      <c r="A58" s="159"/>
      <c r="B58" s="160"/>
      <c r="C58" s="39"/>
      <c r="D58" s="38"/>
      <c r="E58" s="38"/>
      <c r="F58" s="38"/>
      <c r="G58" s="38"/>
      <c r="H58" s="38"/>
      <c r="I58" s="38"/>
      <c r="J58" s="38"/>
      <c r="K58" s="13"/>
      <c r="L58" s="79" t="s">
        <v>28</v>
      </c>
      <c r="M58" s="13"/>
      <c r="N58" s="13">
        <f>SUM(N64:N66)</f>
        <v>0</v>
      </c>
      <c r="O58" s="96">
        <f>+N58+M58</f>
        <v>0</v>
      </c>
      <c r="P58" s="13"/>
      <c r="Q58" s="13">
        <f>SUM(Q64:Q66)</f>
        <v>0</v>
      </c>
      <c r="R58" s="100">
        <f>+Q58+P58</f>
        <v>0</v>
      </c>
      <c r="S58" s="5">
        <f>R58*0.375</f>
        <v>0</v>
      </c>
      <c r="T58" s="5">
        <f>R58-S58</f>
        <v>0</v>
      </c>
      <c r="U58" s="22"/>
      <c r="V58" s="22"/>
    </row>
    <row r="59" spans="1:22" ht="11.25">
      <c r="A59" s="159"/>
      <c r="B59" s="160"/>
      <c r="C59" s="39"/>
      <c r="D59" s="38"/>
      <c r="E59" s="38"/>
      <c r="F59" s="38"/>
      <c r="G59" s="38"/>
      <c r="H59" s="38"/>
      <c r="I59" s="38"/>
      <c r="J59" s="38"/>
      <c r="K59" s="40"/>
      <c r="L59" s="86" t="s">
        <v>29</v>
      </c>
      <c r="M59" s="4">
        <f>SUM(M64:M65)</f>
        <v>13000</v>
      </c>
      <c r="N59" s="4">
        <f>SUM(N64:N65)</f>
        <v>0</v>
      </c>
      <c r="O59" s="94">
        <f>+N59+M59</f>
        <v>13000</v>
      </c>
      <c r="P59" s="4">
        <f>SUM(P64:P65)</f>
        <v>8450</v>
      </c>
      <c r="Q59" s="4">
        <f>SUM(Q64:Q65)</f>
        <v>0</v>
      </c>
      <c r="R59" s="94">
        <f>+Q59+P59</f>
        <v>8450</v>
      </c>
      <c r="S59" s="5">
        <f>R59*0.375</f>
        <v>3168.75</v>
      </c>
      <c r="T59" s="5">
        <f>R59-S59</f>
        <v>5281.25</v>
      </c>
      <c r="U59" s="22"/>
      <c r="V59" s="22"/>
    </row>
    <row r="60" spans="1:22" ht="11.25">
      <c r="A60" s="159"/>
      <c r="B60" s="160"/>
      <c r="C60" s="39"/>
      <c r="D60" s="38"/>
      <c r="E60" s="38"/>
      <c r="F60" s="38"/>
      <c r="G60" s="38"/>
      <c r="H60" s="38"/>
      <c r="I60" s="38"/>
      <c r="J60" s="38"/>
      <c r="K60" s="40"/>
      <c r="L60" s="86" t="s">
        <v>157</v>
      </c>
      <c r="M60" s="4"/>
      <c r="N60" s="4"/>
      <c r="O60" s="94"/>
      <c r="P60" s="4"/>
      <c r="Q60" s="4">
        <f>SUM(Q65:Q66)</f>
        <v>0</v>
      </c>
      <c r="R60" s="94">
        <f>+Q60+P60</f>
        <v>0</v>
      </c>
      <c r="S60" s="5">
        <f>R60*0.375</f>
        <v>0</v>
      </c>
      <c r="T60" s="5">
        <f>R60-S60</f>
        <v>0</v>
      </c>
      <c r="U60" s="22"/>
      <c r="V60" s="22"/>
    </row>
    <row r="61" spans="1:22" ht="11.25">
      <c r="A61" s="159"/>
      <c r="B61" s="160"/>
      <c r="C61" s="39"/>
      <c r="D61" s="38"/>
      <c r="E61" s="38"/>
      <c r="F61" s="38"/>
      <c r="G61" s="38"/>
      <c r="H61" s="38"/>
      <c r="I61" s="38"/>
      <c r="J61" s="38"/>
      <c r="K61" s="40"/>
      <c r="L61" s="86" t="s">
        <v>294</v>
      </c>
      <c r="M61" s="4"/>
      <c r="N61" s="4"/>
      <c r="O61" s="94"/>
      <c r="P61" s="4">
        <f>SUM(P66:P67)</f>
        <v>0</v>
      </c>
      <c r="Q61" s="4">
        <f>SUM(Q66:Q67)</f>
        <v>0</v>
      </c>
      <c r="R61" s="94">
        <f>+Q61+P61</f>
        <v>0</v>
      </c>
      <c r="S61" s="5">
        <f>R61*0.375</f>
        <v>0</v>
      </c>
      <c r="T61" s="5">
        <f>R61-S61</f>
        <v>0</v>
      </c>
      <c r="U61" s="22"/>
      <c r="V61" s="22"/>
    </row>
    <row r="62" spans="1:22" ht="11.25">
      <c r="A62" s="161"/>
      <c r="B62" s="162"/>
      <c r="C62" s="176"/>
      <c r="D62" s="177"/>
      <c r="E62" s="177"/>
      <c r="F62" s="177"/>
      <c r="G62" s="177"/>
      <c r="H62" s="177"/>
      <c r="I62" s="177"/>
      <c r="J62" s="177"/>
      <c r="K62" s="178"/>
      <c r="L62" s="80" t="s">
        <v>13</v>
      </c>
      <c r="M62" s="6">
        <f>M57-M58-M59-M60-M61</f>
        <v>0</v>
      </c>
      <c r="N62" s="6"/>
      <c r="O62" s="95"/>
      <c r="P62" s="6"/>
      <c r="Q62" s="47"/>
      <c r="R62" s="101"/>
      <c r="S62" s="47"/>
      <c r="T62" s="1"/>
      <c r="U62" s="22"/>
      <c r="V62" s="22"/>
    </row>
    <row r="63" spans="1:21" ht="22.5">
      <c r="A63" s="7" t="s">
        <v>14</v>
      </c>
      <c r="B63" s="7" t="s">
        <v>11</v>
      </c>
      <c r="C63" s="28" t="s">
        <v>23</v>
      </c>
      <c r="D63" s="28" t="s">
        <v>20</v>
      </c>
      <c r="E63" s="36" t="s">
        <v>2</v>
      </c>
      <c r="F63" s="28" t="s">
        <v>19</v>
      </c>
      <c r="G63" s="28" t="s">
        <v>18</v>
      </c>
      <c r="H63" s="36" t="s">
        <v>17</v>
      </c>
      <c r="I63" s="36" t="s">
        <v>16</v>
      </c>
      <c r="J63" s="28" t="s">
        <v>3</v>
      </c>
      <c r="K63" s="28" t="s">
        <v>4</v>
      </c>
      <c r="L63" s="81" t="s">
        <v>5</v>
      </c>
      <c r="M63" s="7" t="s">
        <v>21</v>
      </c>
      <c r="N63" s="7" t="s">
        <v>63</v>
      </c>
      <c r="O63" s="81" t="s">
        <v>64</v>
      </c>
      <c r="P63" s="7" t="s">
        <v>22</v>
      </c>
      <c r="Q63" s="7" t="s">
        <v>65</v>
      </c>
      <c r="R63" s="81" t="s">
        <v>66</v>
      </c>
      <c r="S63" s="147" t="s">
        <v>27</v>
      </c>
      <c r="T63" s="147"/>
      <c r="U63" s="22"/>
    </row>
    <row r="64" spans="1:20" ht="33.75" customHeight="1">
      <c r="A64" s="53" t="s">
        <v>68</v>
      </c>
      <c r="B64" s="60"/>
      <c r="C64" s="9" t="s">
        <v>51</v>
      </c>
      <c r="D64" s="112" t="s">
        <v>85</v>
      </c>
      <c r="E64" s="113" t="s">
        <v>74</v>
      </c>
      <c r="F64" s="114">
        <v>27</v>
      </c>
      <c r="G64" s="115">
        <v>38523</v>
      </c>
      <c r="H64" s="116">
        <v>38533</v>
      </c>
      <c r="I64" s="113" t="s">
        <v>86</v>
      </c>
      <c r="J64" s="12">
        <v>9500</v>
      </c>
      <c r="K64" s="12">
        <f>J64*20/100</f>
        <v>1900</v>
      </c>
      <c r="L64" s="82">
        <f>SUM(J64:K64)</f>
        <v>11400</v>
      </c>
      <c r="M64" s="12">
        <v>9500</v>
      </c>
      <c r="N64" s="12"/>
      <c r="O64" s="82">
        <f>+N64+M64</f>
        <v>9500</v>
      </c>
      <c r="P64" s="12">
        <f>M64*0.65</f>
        <v>6175</v>
      </c>
      <c r="Q64" s="12"/>
      <c r="R64" s="82">
        <f>+Q64+P64</f>
        <v>6175</v>
      </c>
      <c r="S64" s="146"/>
      <c r="T64" s="156"/>
    </row>
    <row r="65" spans="1:20" ht="33.75">
      <c r="A65" s="53" t="s">
        <v>68</v>
      </c>
      <c r="B65" s="60"/>
      <c r="C65" s="9" t="s">
        <v>51</v>
      </c>
      <c r="D65" s="117" t="s">
        <v>87</v>
      </c>
      <c r="E65" s="9" t="s">
        <v>74</v>
      </c>
      <c r="F65" s="9">
        <v>38</v>
      </c>
      <c r="G65" s="10">
        <v>38595</v>
      </c>
      <c r="H65" s="11">
        <v>38646</v>
      </c>
      <c r="I65" s="113" t="s">
        <v>86</v>
      </c>
      <c r="J65" s="12">
        <v>3500</v>
      </c>
      <c r="K65" s="12">
        <f>J65*20/100</f>
        <v>700</v>
      </c>
      <c r="L65" s="82">
        <f>SUM(J65:K65)</f>
        <v>4200</v>
      </c>
      <c r="M65" s="12">
        <v>3500</v>
      </c>
      <c r="N65" s="12"/>
      <c r="O65" s="82">
        <f>+N65+M65</f>
        <v>3500</v>
      </c>
      <c r="P65" s="12">
        <f>M65*0.65</f>
        <v>2275</v>
      </c>
      <c r="Q65" s="12"/>
      <c r="R65" s="82">
        <f>+Q65+P65</f>
        <v>2275</v>
      </c>
      <c r="S65" s="157"/>
      <c r="T65" s="158"/>
    </row>
    <row r="66" spans="1:21" ht="11.25">
      <c r="A66" s="56"/>
      <c r="B66" s="8"/>
      <c r="C66" s="9"/>
      <c r="D66" s="9"/>
      <c r="E66" s="9"/>
      <c r="F66" s="9"/>
      <c r="G66" s="10"/>
      <c r="H66" s="11"/>
      <c r="I66" s="11"/>
      <c r="J66" s="12"/>
      <c r="K66" s="12"/>
      <c r="L66" s="82"/>
      <c r="M66" s="12"/>
      <c r="N66" s="12"/>
      <c r="O66" s="82"/>
      <c r="P66" s="12"/>
      <c r="Q66" s="12"/>
      <c r="R66" s="82"/>
      <c r="S66" s="155"/>
      <c r="T66" s="155"/>
      <c r="U66" s="22"/>
    </row>
    <row r="67" ht="11.25">
      <c r="U67" s="22"/>
    </row>
    <row r="68" spans="1:21" ht="11.25">
      <c r="A68" s="35"/>
      <c r="B68" s="58"/>
      <c r="C68" s="166" t="s">
        <v>8</v>
      </c>
      <c r="D68" s="166"/>
      <c r="E68" s="166"/>
      <c r="F68" s="166"/>
      <c r="G68" s="166"/>
      <c r="H68" s="166"/>
      <c r="I68" s="166"/>
      <c r="J68" s="166"/>
      <c r="K68" s="166"/>
      <c r="L68" s="88"/>
      <c r="M68" s="136" t="s">
        <v>212</v>
      </c>
      <c r="N68" s="136" t="s">
        <v>63</v>
      </c>
      <c r="O68" s="137" t="s">
        <v>213</v>
      </c>
      <c r="P68" s="136" t="s">
        <v>214</v>
      </c>
      <c r="Q68" s="136" t="s">
        <v>215</v>
      </c>
      <c r="R68" s="137" t="s">
        <v>216</v>
      </c>
      <c r="S68" s="26" t="s">
        <v>24</v>
      </c>
      <c r="T68" s="27" t="s">
        <v>25</v>
      </c>
      <c r="U68" s="22"/>
    </row>
    <row r="69" spans="1:22" ht="11.25">
      <c r="A69" s="159"/>
      <c r="B69" s="160"/>
      <c r="C69" s="163"/>
      <c r="D69" s="164"/>
      <c r="E69" s="164"/>
      <c r="F69" s="164"/>
      <c r="G69" s="164"/>
      <c r="H69" s="164"/>
      <c r="I69" s="164"/>
      <c r="J69" s="164"/>
      <c r="K69" s="165"/>
      <c r="L69" s="89" t="s">
        <v>12</v>
      </c>
      <c r="M69" s="3">
        <v>163510</v>
      </c>
      <c r="N69" s="3"/>
      <c r="O69" s="93"/>
      <c r="P69" s="3"/>
      <c r="Q69" s="76"/>
      <c r="R69" s="97"/>
      <c r="S69" s="46"/>
      <c r="T69" s="46"/>
      <c r="U69" s="22"/>
      <c r="V69" s="22"/>
    </row>
    <row r="70" spans="1:22" ht="11.25">
      <c r="A70" s="159"/>
      <c r="B70" s="160"/>
      <c r="C70" s="39"/>
      <c r="D70" s="38"/>
      <c r="E70" s="38"/>
      <c r="F70" s="38"/>
      <c r="G70" s="38"/>
      <c r="H70" s="38"/>
      <c r="I70" s="38"/>
      <c r="J70" s="38"/>
      <c r="K70" s="4"/>
      <c r="L70" s="79" t="s">
        <v>28</v>
      </c>
      <c r="M70" s="4"/>
      <c r="N70" s="4"/>
      <c r="O70" s="94"/>
      <c r="P70" s="4"/>
      <c r="Q70" s="91"/>
      <c r="R70" s="99"/>
      <c r="S70" s="5">
        <f>R70*0.375</f>
        <v>0</v>
      </c>
      <c r="T70" s="5">
        <f>R70-S70</f>
        <v>0</v>
      </c>
      <c r="U70" s="22"/>
      <c r="V70" s="22"/>
    </row>
    <row r="71" spans="1:22" ht="11.25">
      <c r="A71" s="159"/>
      <c r="B71" s="160"/>
      <c r="C71" s="39"/>
      <c r="D71" s="38"/>
      <c r="E71" s="38"/>
      <c r="F71" s="38"/>
      <c r="G71" s="38"/>
      <c r="H71" s="38"/>
      <c r="I71" s="38"/>
      <c r="J71" s="38"/>
      <c r="K71" s="40"/>
      <c r="L71" s="86" t="s">
        <v>29</v>
      </c>
      <c r="M71" s="4">
        <f>+M76</f>
        <v>58050</v>
      </c>
      <c r="N71" s="4">
        <f>SUM(N77:N82)</f>
        <v>0</v>
      </c>
      <c r="O71" s="94">
        <f>+N71+M71</f>
        <v>58050</v>
      </c>
      <c r="P71" s="4">
        <f>+P76</f>
        <v>37732.5</v>
      </c>
      <c r="Q71" s="4">
        <f>SUM(Q77:Q82)</f>
        <v>0</v>
      </c>
      <c r="R71" s="94">
        <f>+Q71+P71</f>
        <v>37732.5</v>
      </c>
      <c r="S71" s="5">
        <f>R71*0.375</f>
        <v>14149.6875</v>
      </c>
      <c r="T71" s="5">
        <f>R71-S71</f>
        <v>23582.8125</v>
      </c>
      <c r="U71" s="22"/>
      <c r="V71" s="22"/>
    </row>
    <row r="72" spans="1:22" ht="11.25">
      <c r="A72" s="159"/>
      <c r="B72" s="160"/>
      <c r="C72" s="39"/>
      <c r="D72" s="38"/>
      <c r="E72" s="38"/>
      <c r="F72" s="38"/>
      <c r="G72" s="38"/>
      <c r="H72" s="38"/>
      <c r="I72" s="38"/>
      <c r="J72" s="38"/>
      <c r="K72" s="40"/>
      <c r="L72" s="86" t="s">
        <v>157</v>
      </c>
      <c r="M72" s="4">
        <f>SUM(M83:M86)</f>
        <v>58250</v>
      </c>
      <c r="N72" s="4"/>
      <c r="O72" s="94">
        <f>+N72+M72</f>
        <v>58250</v>
      </c>
      <c r="P72" s="4">
        <f>SUM(P83:P86)</f>
        <v>37862.5</v>
      </c>
      <c r="Q72" s="4"/>
      <c r="R72" s="94">
        <f>+Q72+P72</f>
        <v>37862.5</v>
      </c>
      <c r="S72" s="5">
        <f>R72*0.375</f>
        <v>14198.4375</v>
      </c>
      <c r="T72" s="5">
        <f>R72-S72</f>
        <v>23664.0625</v>
      </c>
      <c r="U72" s="22"/>
      <c r="V72" s="22"/>
    </row>
    <row r="73" spans="1:22" ht="11.25">
      <c r="A73" s="159"/>
      <c r="B73" s="160"/>
      <c r="C73" s="39"/>
      <c r="D73" s="38"/>
      <c r="E73" s="38"/>
      <c r="F73" s="38"/>
      <c r="G73" s="38"/>
      <c r="H73" s="38"/>
      <c r="I73" s="38"/>
      <c r="J73" s="38"/>
      <c r="K73" s="40"/>
      <c r="L73" s="86" t="s">
        <v>294</v>
      </c>
      <c r="M73" s="4">
        <f>SUM(M87:M92)</f>
        <v>47210</v>
      </c>
      <c r="N73" s="4">
        <f>SUM(N87:N92)</f>
        <v>0</v>
      </c>
      <c r="O73" s="94">
        <f>+N73+M73</f>
        <v>47210</v>
      </c>
      <c r="P73" s="4">
        <f>SUM(P87:P92)</f>
        <v>30686.5</v>
      </c>
      <c r="Q73" s="4">
        <f>SUM(Q87:Q92)</f>
        <v>0</v>
      </c>
      <c r="R73" s="94">
        <f>+Q73+P73</f>
        <v>30686.5</v>
      </c>
      <c r="S73" s="5">
        <f>R73*0.375</f>
        <v>11507.4375</v>
      </c>
      <c r="T73" s="5">
        <f>R73-S73</f>
        <v>19179.0625</v>
      </c>
      <c r="U73" s="22"/>
      <c r="V73" s="22"/>
    </row>
    <row r="74" spans="1:22" ht="11.25">
      <c r="A74" s="161"/>
      <c r="B74" s="162"/>
      <c r="C74" s="176"/>
      <c r="D74" s="177"/>
      <c r="E74" s="177"/>
      <c r="F74" s="177"/>
      <c r="G74" s="177"/>
      <c r="H74" s="177"/>
      <c r="I74" s="177"/>
      <c r="J74" s="177"/>
      <c r="K74" s="178"/>
      <c r="L74" s="80" t="s">
        <v>13</v>
      </c>
      <c r="M74" s="6">
        <f>M69-M70-M71-M72-M73</f>
        <v>0</v>
      </c>
      <c r="N74" s="6"/>
      <c r="O74" s="95"/>
      <c r="P74" s="6"/>
      <c r="Q74" s="90"/>
      <c r="R74" s="98"/>
      <c r="S74" s="1"/>
      <c r="T74" s="1"/>
      <c r="U74" s="22"/>
      <c r="V74" s="22"/>
    </row>
    <row r="75" spans="1:21" ht="22.5">
      <c r="A75" s="7" t="s">
        <v>14</v>
      </c>
      <c r="B75" s="7" t="s">
        <v>11</v>
      </c>
      <c r="C75" s="28" t="s">
        <v>23</v>
      </c>
      <c r="D75" s="28" t="s">
        <v>20</v>
      </c>
      <c r="E75" s="36" t="s">
        <v>2</v>
      </c>
      <c r="F75" s="28" t="s">
        <v>19</v>
      </c>
      <c r="G75" s="28" t="s">
        <v>18</v>
      </c>
      <c r="H75" s="36" t="s">
        <v>17</v>
      </c>
      <c r="I75" s="36" t="s">
        <v>16</v>
      </c>
      <c r="J75" s="28" t="s">
        <v>3</v>
      </c>
      <c r="K75" s="28" t="s">
        <v>4</v>
      </c>
      <c r="L75" s="81" t="s">
        <v>5</v>
      </c>
      <c r="M75" s="7" t="s">
        <v>21</v>
      </c>
      <c r="N75" s="7" t="s">
        <v>63</v>
      </c>
      <c r="O75" s="81" t="s">
        <v>64</v>
      </c>
      <c r="P75" s="7" t="s">
        <v>22</v>
      </c>
      <c r="Q75" s="7" t="s">
        <v>65</v>
      </c>
      <c r="R75" s="81" t="s">
        <v>66</v>
      </c>
      <c r="S75" s="147" t="s">
        <v>27</v>
      </c>
      <c r="T75" s="147"/>
      <c r="U75" s="22"/>
    </row>
    <row r="76" spans="1:20" ht="21" customHeight="1">
      <c r="A76" s="53" t="s">
        <v>68</v>
      </c>
      <c r="B76" s="8"/>
      <c r="C76" s="172" t="s">
        <v>154</v>
      </c>
      <c r="D76" s="173"/>
      <c r="E76" s="173"/>
      <c r="F76" s="173"/>
      <c r="G76" s="173"/>
      <c r="H76" s="173"/>
      <c r="I76" s="174"/>
      <c r="J76" s="12">
        <v>58050</v>
      </c>
      <c r="K76" s="12"/>
      <c r="L76" s="82">
        <f>+K76+J76</f>
        <v>58050</v>
      </c>
      <c r="M76" s="12">
        <f>+J76</f>
        <v>58050</v>
      </c>
      <c r="N76" s="12"/>
      <c r="O76" s="82">
        <f>+N76+M76</f>
        <v>58050</v>
      </c>
      <c r="P76" s="12">
        <f aca="true" t="shared" si="15" ref="P76:P82">M76*0.65</f>
        <v>37732.5</v>
      </c>
      <c r="Q76" s="12"/>
      <c r="R76" s="82">
        <f>+Q76+P76</f>
        <v>37732.5</v>
      </c>
      <c r="S76" s="167"/>
      <c r="T76" s="155"/>
    </row>
    <row r="77" spans="1:21" ht="22.5">
      <c r="A77" s="53" t="s">
        <v>68</v>
      </c>
      <c r="B77" s="60"/>
      <c r="C77" s="9" t="s">
        <v>51</v>
      </c>
      <c r="D77" s="107" t="s">
        <v>88</v>
      </c>
      <c r="E77" s="14" t="s">
        <v>71</v>
      </c>
      <c r="F77" s="14">
        <v>6</v>
      </c>
      <c r="G77" s="15">
        <v>38418</v>
      </c>
      <c r="H77" s="15">
        <v>38440</v>
      </c>
      <c r="I77" s="15" t="s">
        <v>86</v>
      </c>
      <c r="J77" s="121">
        <v>2800</v>
      </c>
      <c r="K77" s="121">
        <f aca="true" t="shared" si="16" ref="K77:K82">J77*20/100</f>
        <v>560</v>
      </c>
      <c r="L77" s="122">
        <f aca="true" t="shared" si="17" ref="L77:L82">SUM(J77:K77)</f>
        <v>3360</v>
      </c>
      <c r="M77" s="12">
        <v>2800</v>
      </c>
      <c r="N77" s="12"/>
      <c r="O77" s="82">
        <f>+M77+N77</f>
        <v>2800</v>
      </c>
      <c r="P77" s="12">
        <f t="shared" si="15"/>
        <v>1820</v>
      </c>
      <c r="Q77" s="12"/>
      <c r="R77" s="82">
        <f>+Q77+P77</f>
        <v>1820</v>
      </c>
      <c r="S77" s="155"/>
      <c r="T77" s="155"/>
      <c r="U77" s="22"/>
    </row>
    <row r="78" spans="1:21" ht="33.75">
      <c r="A78" s="53" t="s">
        <v>68</v>
      </c>
      <c r="B78" s="60"/>
      <c r="C78" s="9" t="s">
        <v>51</v>
      </c>
      <c r="D78" s="118" t="s">
        <v>89</v>
      </c>
      <c r="E78" s="119" t="s">
        <v>90</v>
      </c>
      <c r="F78" s="119">
        <v>538</v>
      </c>
      <c r="G78" s="120">
        <v>38546</v>
      </c>
      <c r="H78" s="120">
        <v>38653</v>
      </c>
      <c r="I78" s="120" t="s">
        <v>86</v>
      </c>
      <c r="J78" s="61">
        <v>11500</v>
      </c>
      <c r="K78" s="121">
        <f t="shared" si="16"/>
        <v>2300</v>
      </c>
      <c r="L78" s="122">
        <f t="shared" si="17"/>
        <v>13800</v>
      </c>
      <c r="M78" s="61">
        <v>11500</v>
      </c>
      <c r="N78" s="12"/>
      <c r="O78" s="82">
        <f>+M78+N78</f>
        <v>11500</v>
      </c>
      <c r="P78" s="12">
        <f t="shared" si="15"/>
        <v>7475</v>
      </c>
      <c r="Q78" s="12"/>
      <c r="R78" s="82">
        <f>+Q78+P78</f>
        <v>7475</v>
      </c>
      <c r="S78" s="155"/>
      <c r="T78" s="155"/>
      <c r="U78" s="22"/>
    </row>
    <row r="79" spans="1:21" ht="22.5">
      <c r="A79" s="53" t="s">
        <v>68</v>
      </c>
      <c r="B79" s="60"/>
      <c r="C79" s="9" t="s">
        <v>51</v>
      </c>
      <c r="D79" s="14" t="s">
        <v>91</v>
      </c>
      <c r="E79" s="14" t="s">
        <v>90</v>
      </c>
      <c r="F79" s="14">
        <v>538</v>
      </c>
      <c r="G79" s="15">
        <v>38546</v>
      </c>
      <c r="H79" s="15">
        <v>38653</v>
      </c>
      <c r="I79" s="15" t="s">
        <v>86</v>
      </c>
      <c r="J79" s="121">
        <v>2700</v>
      </c>
      <c r="K79" s="121">
        <f t="shared" si="16"/>
        <v>540</v>
      </c>
      <c r="L79" s="122">
        <f t="shared" si="17"/>
        <v>3240</v>
      </c>
      <c r="M79" s="121">
        <v>2700</v>
      </c>
      <c r="N79" s="12"/>
      <c r="O79" s="82">
        <f>+M79+N79</f>
        <v>2700</v>
      </c>
      <c r="P79" s="12">
        <f t="shared" si="15"/>
        <v>1755</v>
      </c>
      <c r="Q79" s="12"/>
      <c r="R79" s="82">
        <f>+Q79+P79</f>
        <v>1755</v>
      </c>
      <c r="S79" s="155"/>
      <c r="T79" s="155"/>
      <c r="U79" s="22"/>
    </row>
    <row r="80" spans="1:21" ht="22.5">
      <c r="A80" s="53" t="s">
        <v>68</v>
      </c>
      <c r="B80" s="60"/>
      <c r="C80" s="9" t="s">
        <v>51</v>
      </c>
      <c r="D80" s="14" t="s">
        <v>92</v>
      </c>
      <c r="E80" s="14" t="s">
        <v>90</v>
      </c>
      <c r="F80" s="14">
        <v>530</v>
      </c>
      <c r="G80" s="15">
        <v>38545</v>
      </c>
      <c r="H80" s="15">
        <v>38646</v>
      </c>
      <c r="I80" s="15" t="s">
        <v>86</v>
      </c>
      <c r="J80" s="121">
        <f>6250+4750+5250+2300+3300+1850+4700+3850</f>
        <v>32250</v>
      </c>
      <c r="K80" s="121">
        <f t="shared" si="16"/>
        <v>6450</v>
      </c>
      <c r="L80" s="122">
        <f t="shared" si="17"/>
        <v>38700</v>
      </c>
      <c r="M80" s="12">
        <v>32250</v>
      </c>
      <c r="N80" s="12"/>
      <c r="O80" s="82">
        <f aca="true" t="shared" si="18" ref="O80:O86">+N80+M80</f>
        <v>32250</v>
      </c>
      <c r="P80" s="12">
        <f t="shared" si="15"/>
        <v>20962.5</v>
      </c>
      <c r="Q80" s="12"/>
      <c r="R80" s="82">
        <f aca="true" t="shared" si="19" ref="R80:R86">+Q80+P80</f>
        <v>20962.5</v>
      </c>
      <c r="S80" s="155"/>
      <c r="T80" s="155"/>
      <c r="U80" s="22"/>
    </row>
    <row r="81" spans="1:21" ht="33.75">
      <c r="A81" s="53" t="s">
        <v>68</v>
      </c>
      <c r="B81" s="60"/>
      <c r="C81" s="9" t="s">
        <v>51</v>
      </c>
      <c r="D81" s="107" t="s">
        <v>93</v>
      </c>
      <c r="E81" s="14" t="s">
        <v>74</v>
      </c>
      <c r="F81" s="14">
        <v>38</v>
      </c>
      <c r="G81" s="15">
        <v>38595</v>
      </c>
      <c r="H81" s="15">
        <v>38646</v>
      </c>
      <c r="I81" s="15" t="s">
        <v>86</v>
      </c>
      <c r="J81" s="121">
        <v>8100</v>
      </c>
      <c r="K81" s="121">
        <f t="shared" si="16"/>
        <v>1620</v>
      </c>
      <c r="L81" s="122">
        <f t="shared" si="17"/>
        <v>9720</v>
      </c>
      <c r="M81" s="12">
        <v>8100</v>
      </c>
      <c r="N81" s="12"/>
      <c r="O81" s="82">
        <f t="shared" si="18"/>
        <v>8100</v>
      </c>
      <c r="P81" s="12">
        <f t="shared" si="15"/>
        <v>5265</v>
      </c>
      <c r="Q81" s="12"/>
      <c r="R81" s="82">
        <f t="shared" si="19"/>
        <v>5265</v>
      </c>
      <c r="S81" s="155"/>
      <c r="T81" s="155"/>
      <c r="U81" s="22"/>
    </row>
    <row r="82" spans="1:21" ht="22.5">
      <c r="A82" s="53" t="s">
        <v>68</v>
      </c>
      <c r="B82" s="60"/>
      <c r="C82" s="9" t="s">
        <v>51</v>
      </c>
      <c r="D82" s="107" t="s">
        <v>94</v>
      </c>
      <c r="E82" s="14" t="s">
        <v>74</v>
      </c>
      <c r="F82" s="14">
        <v>17</v>
      </c>
      <c r="G82" s="15">
        <v>38474</v>
      </c>
      <c r="H82" s="15">
        <v>38483</v>
      </c>
      <c r="I82" s="15" t="s">
        <v>86</v>
      </c>
      <c r="J82" s="121">
        <v>700</v>
      </c>
      <c r="K82" s="121">
        <f t="shared" si="16"/>
        <v>140</v>
      </c>
      <c r="L82" s="122">
        <f t="shared" si="17"/>
        <v>840</v>
      </c>
      <c r="M82" s="12">
        <v>700</v>
      </c>
      <c r="N82" s="12"/>
      <c r="O82" s="82">
        <f t="shared" si="18"/>
        <v>700</v>
      </c>
      <c r="P82" s="12">
        <f t="shared" si="15"/>
        <v>455</v>
      </c>
      <c r="Q82" s="12"/>
      <c r="R82" s="82">
        <f t="shared" si="19"/>
        <v>455</v>
      </c>
      <c r="S82" s="155"/>
      <c r="T82" s="155"/>
      <c r="U82" s="22"/>
    </row>
    <row r="83" spans="1:20" s="22" customFormat="1" ht="21" customHeight="1">
      <c r="A83" s="53" t="s">
        <v>155</v>
      </c>
      <c r="B83" s="60"/>
      <c r="C83" s="172" t="s">
        <v>158</v>
      </c>
      <c r="D83" s="173"/>
      <c r="E83" s="173"/>
      <c r="F83" s="173"/>
      <c r="G83" s="173"/>
      <c r="H83" s="173"/>
      <c r="I83" s="174"/>
      <c r="J83" s="61">
        <f>SUM(J77:J82)-J76</f>
        <v>0</v>
      </c>
      <c r="K83" s="61"/>
      <c r="L83" s="109"/>
      <c r="M83" s="61">
        <f>SUM(M77:M82)-M76</f>
        <v>0</v>
      </c>
      <c r="N83" s="61"/>
      <c r="O83" s="82">
        <f t="shared" si="18"/>
        <v>0</v>
      </c>
      <c r="P83" s="61">
        <f>SUM(P77:P82)-P76</f>
        <v>0</v>
      </c>
      <c r="Q83" s="61">
        <f>SUM(Q74:Q82)-Q72</f>
        <v>0</v>
      </c>
      <c r="R83" s="82">
        <f t="shared" si="19"/>
        <v>0</v>
      </c>
      <c r="S83" s="127"/>
      <c r="T83" s="128"/>
    </row>
    <row r="84" spans="1:21" ht="22.5">
      <c r="A84" s="53" t="s">
        <v>155</v>
      </c>
      <c r="B84" s="8"/>
      <c r="C84" s="9" t="s">
        <v>51</v>
      </c>
      <c r="D84" s="107" t="s">
        <v>165</v>
      </c>
      <c r="E84" s="14" t="s">
        <v>166</v>
      </c>
      <c r="F84" s="14">
        <v>51</v>
      </c>
      <c r="G84" s="15">
        <v>38698</v>
      </c>
      <c r="H84" s="15" t="s">
        <v>171</v>
      </c>
      <c r="I84" s="15" t="s">
        <v>72</v>
      </c>
      <c r="J84" s="131">
        <v>19200</v>
      </c>
      <c r="K84" s="131">
        <f>J84*20/100</f>
        <v>3840</v>
      </c>
      <c r="L84" s="133">
        <f>SUM(J84:K84)</f>
        <v>23040</v>
      </c>
      <c r="M84" s="12">
        <v>19200</v>
      </c>
      <c r="N84" s="12"/>
      <c r="O84" s="82">
        <f t="shared" si="18"/>
        <v>19200</v>
      </c>
      <c r="P84" s="12">
        <f aca="true" t="shared" si="20" ref="P84:P92">M84*0.65</f>
        <v>12480</v>
      </c>
      <c r="Q84" s="12"/>
      <c r="R84" s="82">
        <f t="shared" si="19"/>
        <v>12480</v>
      </c>
      <c r="S84" s="155"/>
      <c r="T84" s="155"/>
      <c r="U84" s="22"/>
    </row>
    <row r="85" spans="1:21" ht="22.5">
      <c r="A85" s="53" t="s">
        <v>155</v>
      </c>
      <c r="B85" s="8"/>
      <c r="C85" s="9" t="s">
        <v>51</v>
      </c>
      <c r="D85" s="107" t="s">
        <v>167</v>
      </c>
      <c r="E85" s="14" t="s">
        <v>168</v>
      </c>
      <c r="F85" s="14">
        <v>770</v>
      </c>
      <c r="G85" s="15">
        <v>38663</v>
      </c>
      <c r="H85" s="15">
        <v>38719</v>
      </c>
      <c r="I85" s="15" t="s">
        <v>72</v>
      </c>
      <c r="J85" s="131">
        <v>47550</v>
      </c>
      <c r="K85" s="131">
        <f>J85*20/100</f>
        <v>9510</v>
      </c>
      <c r="L85" s="133">
        <f>SUM(J85:K85)</f>
        <v>57060</v>
      </c>
      <c r="M85" s="12">
        <f>47550-27500</f>
        <v>20050</v>
      </c>
      <c r="N85" s="12"/>
      <c r="O85" s="82">
        <f t="shared" si="18"/>
        <v>20050</v>
      </c>
      <c r="P85" s="12">
        <f t="shared" si="20"/>
        <v>13032.5</v>
      </c>
      <c r="Q85" s="12"/>
      <c r="R85" s="82">
        <f t="shared" si="19"/>
        <v>13032.5</v>
      </c>
      <c r="S85" s="155"/>
      <c r="T85" s="155"/>
      <c r="U85" s="22"/>
    </row>
    <row r="86" spans="1:21" ht="22.5">
      <c r="A86" s="53" t="s">
        <v>155</v>
      </c>
      <c r="B86" s="8"/>
      <c r="C86" s="9" t="s">
        <v>51</v>
      </c>
      <c r="D86" s="107" t="s">
        <v>169</v>
      </c>
      <c r="E86" s="14" t="s">
        <v>170</v>
      </c>
      <c r="F86" s="14">
        <v>14</v>
      </c>
      <c r="G86" s="15">
        <v>38803</v>
      </c>
      <c r="H86" s="15">
        <v>38805</v>
      </c>
      <c r="I86" s="15" t="s">
        <v>72</v>
      </c>
      <c r="J86" s="131">
        <v>19000</v>
      </c>
      <c r="K86" s="131">
        <f>J86*20/100</f>
        <v>3800</v>
      </c>
      <c r="L86" s="133">
        <f>SUM(J86:K86)</f>
        <v>22800</v>
      </c>
      <c r="M86" s="12">
        <v>19000</v>
      </c>
      <c r="N86" s="12"/>
      <c r="O86" s="82">
        <f t="shared" si="18"/>
        <v>19000</v>
      </c>
      <c r="P86" s="12">
        <f t="shared" si="20"/>
        <v>12350</v>
      </c>
      <c r="Q86" s="12"/>
      <c r="R86" s="82">
        <f t="shared" si="19"/>
        <v>12350</v>
      </c>
      <c r="S86" s="155"/>
      <c r="T86" s="155"/>
      <c r="U86" s="22"/>
    </row>
    <row r="87" spans="1:21" ht="33.75">
      <c r="A87" s="53" t="s">
        <v>229</v>
      </c>
      <c r="B87" s="8"/>
      <c r="C87" s="9" t="s">
        <v>51</v>
      </c>
      <c r="D87" s="107" t="s">
        <v>235</v>
      </c>
      <c r="E87" s="14" t="s">
        <v>236</v>
      </c>
      <c r="F87" s="14">
        <v>75</v>
      </c>
      <c r="G87" s="15">
        <v>38950</v>
      </c>
      <c r="H87" s="15">
        <v>38965</v>
      </c>
      <c r="I87" s="15" t="s">
        <v>233</v>
      </c>
      <c r="J87" s="131">
        <v>8100</v>
      </c>
      <c r="K87" s="131">
        <v>1620</v>
      </c>
      <c r="L87" s="133">
        <v>9720</v>
      </c>
      <c r="M87" s="12">
        <v>8100</v>
      </c>
      <c r="N87" s="12"/>
      <c r="O87" s="82">
        <f aca="true" t="shared" si="21" ref="O87:O92">+N87+M87</f>
        <v>8100</v>
      </c>
      <c r="P87" s="12">
        <f t="shared" si="20"/>
        <v>5265</v>
      </c>
      <c r="Q87" s="12"/>
      <c r="R87" s="82">
        <f aca="true" t="shared" si="22" ref="R87:R92">+Q87+P87</f>
        <v>5265</v>
      </c>
      <c r="S87" s="155"/>
      <c r="T87" s="155"/>
      <c r="U87" s="22"/>
    </row>
    <row r="88" spans="1:21" ht="45">
      <c r="A88" s="53" t="s">
        <v>229</v>
      </c>
      <c r="B88" s="8"/>
      <c r="C88" s="9" t="s">
        <v>51</v>
      </c>
      <c r="D88" s="107" t="s">
        <v>237</v>
      </c>
      <c r="E88" s="14" t="s">
        <v>238</v>
      </c>
      <c r="F88" s="14">
        <v>277</v>
      </c>
      <c r="G88" s="15">
        <v>38952</v>
      </c>
      <c r="H88" s="15">
        <v>38954</v>
      </c>
      <c r="I88" s="15" t="s">
        <v>233</v>
      </c>
      <c r="J88" s="131">
        <v>5000</v>
      </c>
      <c r="K88" s="131">
        <v>1000</v>
      </c>
      <c r="L88" s="133">
        <v>6000</v>
      </c>
      <c r="M88" s="131">
        <v>5000</v>
      </c>
      <c r="N88" s="12"/>
      <c r="O88" s="82">
        <f t="shared" si="21"/>
        <v>5000</v>
      </c>
      <c r="P88" s="12">
        <f t="shared" si="20"/>
        <v>3250</v>
      </c>
      <c r="Q88" s="12"/>
      <c r="R88" s="82">
        <f t="shared" si="22"/>
        <v>3250</v>
      </c>
      <c r="S88" s="155"/>
      <c r="T88" s="155"/>
      <c r="U88" s="22"/>
    </row>
    <row r="89" spans="1:21" ht="45">
      <c r="A89" s="53" t="s">
        <v>229</v>
      </c>
      <c r="B89" s="8"/>
      <c r="C89" s="9" t="s">
        <v>51</v>
      </c>
      <c r="D89" s="107" t="s">
        <v>239</v>
      </c>
      <c r="E89" s="14" t="s">
        <v>238</v>
      </c>
      <c r="F89" s="14">
        <v>276</v>
      </c>
      <c r="G89" s="15">
        <v>38951</v>
      </c>
      <c r="H89" s="15">
        <v>38952</v>
      </c>
      <c r="I89" s="15" t="s">
        <v>233</v>
      </c>
      <c r="J89" s="131">
        <v>7000</v>
      </c>
      <c r="K89" s="131">
        <v>1400</v>
      </c>
      <c r="L89" s="133">
        <v>8400</v>
      </c>
      <c r="M89" s="131">
        <v>7000</v>
      </c>
      <c r="N89" s="12"/>
      <c r="O89" s="82">
        <f t="shared" si="21"/>
        <v>7000</v>
      </c>
      <c r="P89" s="12">
        <f t="shared" si="20"/>
        <v>4550</v>
      </c>
      <c r="Q89" s="12"/>
      <c r="R89" s="82">
        <f t="shared" si="22"/>
        <v>4550</v>
      </c>
      <c r="S89" s="155"/>
      <c r="T89" s="155"/>
      <c r="U89" s="22"/>
    </row>
    <row r="90" spans="1:21" ht="45">
      <c r="A90" s="53" t="s">
        <v>229</v>
      </c>
      <c r="B90" s="8"/>
      <c r="C90" s="9" t="s">
        <v>51</v>
      </c>
      <c r="D90" s="107" t="s">
        <v>240</v>
      </c>
      <c r="E90" s="14" t="s">
        <v>241</v>
      </c>
      <c r="F90" s="14" t="s">
        <v>242</v>
      </c>
      <c r="G90" s="15">
        <v>38909</v>
      </c>
      <c r="H90" s="15">
        <v>38919</v>
      </c>
      <c r="I90" s="15" t="s">
        <v>233</v>
      </c>
      <c r="J90" s="131">
        <v>1250</v>
      </c>
      <c r="K90" s="131">
        <v>250</v>
      </c>
      <c r="L90" s="133">
        <v>1500</v>
      </c>
      <c r="M90" s="131">
        <v>1250</v>
      </c>
      <c r="N90" s="12"/>
      <c r="O90" s="82">
        <f t="shared" si="21"/>
        <v>1250</v>
      </c>
      <c r="P90" s="12">
        <f t="shared" si="20"/>
        <v>812.5</v>
      </c>
      <c r="Q90" s="12"/>
      <c r="R90" s="82">
        <f t="shared" si="22"/>
        <v>812.5</v>
      </c>
      <c r="S90" s="155"/>
      <c r="T90" s="155"/>
      <c r="U90" s="22"/>
    </row>
    <row r="91" spans="1:21" ht="22.5">
      <c r="A91" s="53" t="s">
        <v>229</v>
      </c>
      <c r="B91" s="8"/>
      <c r="C91" s="9" t="s">
        <v>51</v>
      </c>
      <c r="D91" s="107" t="s">
        <v>243</v>
      </c>
      <c r="E91" s="14" t="s">
        <v>41</v>
      </c>
      <c r="F91" s="14">
        <v>7</v>
      </c>
      <c r="G91" s="15">
        <v>38901</v>
      </c>
      <c r="H91" s="15">
        <v>38908</v>
      </c>
      <c r="I91" s="15" t="s">
        <v>233</v>
      </c>
      <c r="J91" s="131">
        <v>18360</v>
      </c>
      <c r="K91" s="131">
        <v>3672</v>
      </c>
      <c r="L91" s="133">
        <v>22032</v>
      </c>
      <c r="M91" s="131">
        <v>18360</v>
      </c>
      <c r="N91" s="12"/>
      <c r="O91" s="82">
        <f t="shared" si="21"/>
        <v>18360</v>
      </c>
      <c r="P91" s="12">
        <f t="shared" si="20"/>
        <v>11934</v>
      </c>
      <c r="Q91" s="12"/>
      <c r="R91" s="82">
        <f t="shared" si="22"/>
        <v>11934</v>
      </c>
      <c r="S91" s="155"/>
      <c r="T91" s="155"/>
      <c r="U91" s="22"/>
    </row>
    <row r="92" spans="1:21" ht="78.75">
      <c r="A92" s="53" t="s">
        <v>229</v>
      </c>
      <c r="B92" s="8"/>
      <c r="C92" s="9" t="s">
        <v>51</v>
      </c>
      <c r="D92" s="107" t="s">
        <v>251</v>
      </c>
      <c r="E92" s="14" t="s">
        <v>252</v>
      </c>
      <c r="F92" s="14">
        <v>861</v>
      </c>
      <c r="G92" s="15">
        <v>39056</v>
      </c>
      <c r="H92" s="15"/>
      <c r="I92" s="15"/>
      <c r="J92" s="131">
        <v>7500</v>
      </c>
      <c r="K92" s="131">
        <v>1500</v>
      </c>
      <c r="L92" s="133">
        <v>9000</v>
      </c>
      <c r="M92" s="131">
        <v>7500</v>
      </c>
      <c r="N92" s="12"/>
      <c r="O92" s="82">
        <f t="shared" si="21"/>
        <v>7500</v>
      </c>
      <c r="P92" s="12">
        <f t="shared" si="20"/>
        <v>4875</v>
      </c>
      <c r="Q92" s="12"/>
      <c r="R92" s="82">
        <f t="shared" si="22"/>
        <v>4875</v>
      </c>
      <c r="S92" s="155"/>
      <c r="T92" s="155"/>
      <c r="U92" s="22"/>
    </row>
    <row r="93" spans="1:21" ht="11.25">
      <c r="A93" s="56"/>
      <c r="B93" s="8"/>
      <c r="C93" s="9"/>
      <c r="D93" s="9"/>
      <c r="E93" s="9"/>
      <c r="F93" s="9"/>
      <c r="G93" s="10"/>
      <c r="H93" s="11"/>
      <c r="I93" s="11"/>
      <c r="J93" s="12"/>
      <c r="K93" s="12"/>
      <c r="L93" s="82"/>
      <c r="M93" s="12"/>
      <c r="N93" s="12"/>
      <c r="O93" s="82"/>
      <c r="P93" s="12"/>
      <c r="Q93" s="12"/>
      <c r="R93" s="82"/>
      <c r="S93" s="155"/>
      <c r="T93" s="155"/>
      <c r="U93" s="22"/>
    </row>
    <row r="94" ht="11.25">
      <c r="U94" s="22"/>
    </row>
    <row r="95" spans="1:21" ht="11.25">
      <c r="A95" s="35"/>
      <c r="B95" s="58"/>
      <c r="C95" s="166" t="s">
        <v>62</v>
      </c>
      <c r="D95" s="166"/>
      <c r="E95" s="166"/>
      <c r="F95" s="166"/>
      <c r="G95" s="166"/>
      <c r="H95" s="166"/>
      <c r="I95" s="166"/>
      <c r="J95" s="166"/>
      <c r="K95" s="166"/>
      <c r="L95" s="84"/>
      <c r="M95" s="136" t="s">
        <v>212</v>
      </c>
      <c r="N95" s="136" t="s">
        <v>63</v>
      </c>
      <c r="O95" s="137" t="s">
        <v>213</v>
      </c>
      <c r="P95" s="136" t="s">
        <v>214</v>
      </c>
      <c r="Q95" s="136" t="s">
        <v>215</v>
      </c>
      <c r="R95" s="137" t="s">
        <v>216</v>
      </c>
      <c r="S95" s="44" t="s">
        <v>24</v>
      </c>
      <c r="T95" s="45" t="s">
        <v>25</v>
      </c>
      <c r="U95" s="22"/>
    </row>
    <row r="96" spans="1:22" ht="11.25">
      <c r="A96" s="159"/>
      <c r="B96" s="160"/>
      <c r="C96" s="182"/>
      <c r="D96" s="183"/>
      <c r="E96" s="183"/>
      <c r="F96" s="183"/>
      <c r="G96" s="183"/>
      <c r="H96" s="183"/>
      <c r="I96" s="183"/>
      <c r="J96" s="183"/>
      <c r="K96" s="184"/>
      <c r="L96" s="89" t="s">
        <v>12</v>
      </c>
      <c r="M96" s="3">
        <v>48500</v>
      </c>
      <c r="N96" s="3"/>
      <c r="O96" s="93"/>
      <c r="P96" s="3"/>
      <c r="Q96" s="3"/>
      <c r="R96" s="93"/>
      <c r="S96" s="51"/>
      <c r="T96" s="51"/>
      <c r="U96" s="22"/>
      <c r="V96" s="22"/>
    </row>
    <row r="97" spans="1:22" ht="11.25">
      <c r="A97" s="159"/>
      <c r="B97" s="160"/>
      <c r="C97" s="39"/>
      <c r="D97" s="38"/>
      <c r="E97" s="38"/>
      <c r="F97" s="38"/>
      <c r="G97" s="38"/>
      <c r="H97" s="38"/>
      <c r="I97" s="38"/>
      <c r="J97" s="38"/>
      <c r="K97" s="4"/>
      <c r="L97" s="79" t="s">
        <v>28</v>
      </c>
      <c r="M97" s="4"/>
      <c r="N97" s="4"/>
      <c r="O97" s="94"/>
      <c r="P97" s="4"/>
      <c r="Q97" s="91"/>
      <c r="R97" s="99"/>
      <c r="S97" s="5">
        <f>R97*0.375</f>
        <v>0</v>
      </c>
      <c r="T97" s="5">
        <f>R97-S97</f>
        <v>0</v>
      </c>
      <c r="U97" s="22"/>
      <c r="V97" s="22"/>
    </row>
    <row r="98" spans="1:22" ht="11.25">
      <c r="A98" s="159"/>
      <c r="B98" s="160"/>
      <c r="C98" s="39"/>
      <c r="D98" s="38"/>
      <c r="E98" s="38"/>
      <c r="F98" s="38"/>
      <c r="G98" s="38"/>
      <c r="H98" s="38"/>
      <c r="I98" s="38"/>
      <c r="J98" s="38"/>
      <c r="K98" s="40"/>
      <c r="L98" s="79" t="s">
        <v>29</v>
      </c>
      <c r="M98" s="4">
        <f>+M103</f>
        <v>21000</v>
      </c>
      <c r="N98" s="4">
        <f>SUM(N104:N105)</f>
        <v>0</v>
      </c>
      <c r="O98" s="94">
        <f>+N98+M98</f>
        <v>21000</v>
      </c>
      <c r="P98" s="4">
        <f>+P103</f>
        <v>13650</v>
      </c>
      <c r="Q98" s="4">
        <f>SUM(Q104:Q105)</f>
        <v>0</v>
      </c>
      <c r="R98" s="94">
        <f>+Q98+P98</f>
        <v>13650</v>
      </c>
      <c r="S98" s="5">
        <f>R98*0.375</f>
        <v>5118.75</v>
      </c>
      <c r="T98" s="5">
        <f>R98-S98</f>
        <v>8531.25</v>
      </c>
      <c r="U98" s="22"/>
      <c r="V98" s="22"/>
    </row>
    <row r="99" spans="1:22" ht="11.25">
      <c r="A99" s="159"/>
      <c r="B99" s="160"/>
      <c r="C99" s="39"/>
      <c r="D99" s="38"/>
      <c r="E99" s="38"/>
      <c r="F99" s="38"/>
      <c r="G99" s="38"/>
      <c r="H99" s="38"/>
      <c r="I99" s="38"/>
      <c r="J99" s="38"/>
      <c r="K99" s="40"/>
      <c r="L99" s="79" t="s">
        <v>157</v>
      </c>
      <c r="M99" s="4">
        <f>SUM(M106:M107)</f>
        <v>27500</v>
      </c>
      <c r="N99" s="4"/>
      <c r="O99" s="94">
        <f>+N99+M99</f>
        <v>27500</v>
      </c>
      <c r="P99" s="4">
        <f>SUM(P106:P107)</f>
        <v>17875</v>
      </c>
      <c r="Q99" s="4"/>
      <c r="R99" s="94">
        <f>+Q99+P99</f>
        <v>17875</v>
      </c>
      <c r="S99" s="5">
        <f>R99*0.375</f>
        <v>6703.125</v>
      </c>
      <c r="T99" s="5">
        <f>R99-S99</f>
        <v>11171.875</v>
      </c>
      <c r="U99" s="22"/>
      <c r="V99" s="22"/>
    </row>
    <row r="100" spans="1:22" ht="11.25">
      <c r="A100" s="159"/>
      <c r="B100" s="160"/>
      <c r="C100" s="39"/>
      <c r="D100" s="38"/>
      <c r="E100" s="38"/>
      <c r="F100" s="38"/>
      <c r="G100" s="38"/>
      <c r="H100" s="38"/>
      <c r="I100" s="38"/>
      <c r="J100" s="38"/>
      <c r="K100" s="40"/>
      <c r="L100" s="79" t="s">
        <v>294</v>
      </c>
      <c r="M100" s="4">
        <f>SUM(M108)</f>
        <v>0</v>
      </c>
      <c r="N100" s="4"/>
      <c r="O100" s="94">
        <f>+N100+M100</f>
        <v>0</v>
      </c>
      <c r="P100" s="4">
        <f>SUM(P108)</f>
        <v>0</v>
      </c>
      <c r="Q100" s="4"/>
      <c r="R100" s="94">
        <f>+Q100+P100</f>
        <v>0</v>
      </c>
      <c r="S100" s="5">
        <f>R100*0.375</f>
        <v>0</v>
      </c>
      <c r="T100" s="5">
        <f>R100-S100</f>
        <v>0</v>
      </c>
      <c r="U100" s="22"/>
      <c r="V100" s="22"/>
    </row>
    <row r="101" spans="1:22" ht="11.25">
      <c r="A101" s="161"/>
      <c r="B101" s="162"/>
      <c r="C101" s="41"/>
      <c r="D101" s="42"/>
      <c r="E101" s="42"/>
      <c r="F101" s="42"/>
      <c r="G101" s="42"/>
      <c r="H101" s="42"/>
      <c r="I101" s="42"/>
      <c r="J101" s="42"/>
      <c r="K101" s="43"/>
      <c r="L101" s="80" t="s">
        <v>13</v>
      </c>
      <c r="M101" s="6">
        <f>M96-M97-M98-M99-M100</f>
        <v>0</v>
      </c>
      <c r="N101" s="6"/>
      <c r="O101" s="95"/>
      <c r="P101" s="6"/>
      <c r="Q101" s="47"/>
      <c r="R101" s="101"/>
      <c r="S101" s="1"/>
      <c r="T101" s="1"/>
      <c r="U101" s="22"/>
      <c r="V101" s="22"/>
    </row>
    <row r="102" spans="1:21" ht="22.5">
      <c r="A102" s="7" t="s">
        <v>14</v>
      </c>
      <c r="B102" s="7" t="s">
        <v>11</v>
      </c>
      <c r="C102" s="28" t="s">
        <v>23</v>
      </c>
      <c r="D102" s="28" t="s">
        <v>20</v>
      </c>
      <c r="E102" s="36" t="s">
        <v>2</v>
      </c>
      <c r="F102" s="28" t="s">
        <v>19</v>
      </c>
      <c r="G102" s="28" t="s">
        <v>18</v>
      </c>
      <c r="H102" s="36" t="s">
        <v>17</v>
      </c>
      <c r="I102" s="36" t="s">
        <v>16</v>
      </c>
      <c r="J102" s="28" t="s">
        <v>3</v>
      </c>
      <c r="K102" s="28" t="s">
        <v>4</v>
      </c>
      <c r="L102" s="81" t="s">
        <v>5</v>
      </c>
      <c r="M102" s="7" t="s">
        <v>21</v>
      </c>
      <c r="N102" s="7" t="s">
        <v>63</v>
      </c>
      <c r="O102" s="81" t="s">
        <v>64</v>
      </c>
      <c r="P102" s="7" t="s">
        <v>22</v>
      </c>
      <c r="Q102" s="7" t="s">
        <v>65</v>
      </c>
      <c r="R102" s="81" t="s">
        <v>66</v>
      </c>
      <c r="S102" s="147" t="s">
        <v>27</v>
      </c>
      <c r="T102" s="147"/>
      <c r="U102" s="22"/>
    </row>
    <row r="103" spans="1:20" ht="21" customHeight="1">
      <c r="A103" s="53" t="s">
        <v>68</v>
      </c>
      <c r="B103" s="8"/>
      <c r="C103" s="172" t="s">
        <v>154</v>
      </c>
      <c r="D103" s="173"/>
      <c r="E103" s="173"/>
      <c r="F103" s="173"/>
      <c r="G103" s="173"/>
      <c r="H103" s="173"/>
      <c r="I103" s="174"/>
      <c r="J103" s="12">
        <v>21000</v>
      </c>
      <c r="K103" s="12"/>
      <c r="L103" s="82">
        <f>+K103+J103</f>
        <v>21000</v>
      </c>
      <c r="M103" s="12">
        <f>+J103</f>
        <v>21000</v>
      </c>
      <c r="N103" s="12"/>
      <c r="O103" s="82">
        <f aca="true" t="shared" si="23" ref="O103:O108">+N103+M103</f>
        <v>21000</v>
      </c>
      <c r="P103" s="12">
        <f>M103*0.65</f>
        <v>13650</v>
      </c>
      <c r="Q103" s="12"/>
      <c r="R103" s="82">
        <f aca="true" t="shared" si="24" ref="R103:R108">+Q103+P103</f>
        <v>13650</v>
      </c>
      <c r="S103" s="167"/>
      <c r="T103" s="155"/>
    </row>
    <row r="104" spans="1:20" ht="23.25" customHeight="1">
      <c r="A104" s="53" t="s">
        <v>68</v>
      </c>
      <c r="B104" s="60"/>
      <c r="C104" s="9" t="s">
        <v>51</v>
      </c>
      <c r="D104" s="14" t="s">
        <v>95</v>
      </c>
      <c r="E104" s="14" t="s">
        <v>71</v>
      </c>
      <c r="F104" s="9">
        <v>5</v>
      </c>
      <c r="G104" s="10">
        <v>38418</v>
      </c>
      <c r="H104" s="11">
        <v>38457</v>
      </c>
      <c r="I104" s="15" t="s">
        <v>86</v>
      </c>
      <c r="J104" s="12">
        <v>5000</v>
      </c>
      <c r="K104" s="12">
        <f>(J104)*20/100</f>
        <v>1000</v>
      </c>
      <c r="L104" s="82">
        <f>SUM(J104:K104)</f>
        <v>6000</v>
      </c>
      <c r="M104" s="12">
        <v>5000</v>
      </c>
      <c r="N104" s="12"/>
      <c r="O104" s="82">
        <f t="shared" si="23"/>
        <v>5000</v>
      </c>
      <c r="P104" s="12">
        <f>M104*0.65</f>
        <v>3250</v>
      </c>
      <c r="Q104" s="12"/>
      <c r="R104" s="82">
        <f t="shared" si="24"/>
        <v>3250</v>
      </c>
      <c r="S104" s="155"/>
      <c r="T104" s="155"/>
    </row>
    <row r="105" spans="1:21" ht="23.25" customHeight="1">
      <c r="A105" s="53" t="s">
        <v>68</v>
      </c>
      <c r="B105" s="60"/>
      <c r="C105" s="9" t="s">
        <v>51</v>
      </c>
      <c r="D105" s="14" t="s">
        <v>96</v>
      </c>
      <c r="E105" s="14" t="s">
        <v>90</v>
      </c>
      <c r="F105" s="9">
        <v>538</v>
      </c>
      <c r="G105" s="10">
        <v>38546</v>
      </c>
      <c r="H105" s="11">
        <v>38653</v>
      </c>
      <c r="I105" s="15" t="s">
        <v>86</v>
      </c>
      <c r="J105" s="12">
        <v>16000</v>
      </c>
      <c r="K105" s="12">
        <f>(J105)*20/100</f>
        <v>3200</v>
      </c>
      <c r="L105" s="82">
        <f>SUM(J105:K105)</f>
        <v>19200</v>
      </c>
      <c r="M105" s="12">
        <v>16000</v>
      </c>
      <c r="N105" s="12"/>
      <c r="O105" s="82">
        <f t="shared" si="23"/>
        <v>16000</v>
      </c>
      <c r="P105" s="12">
        <f>M105*0.65</f>
        <v>10400</v>
      </c>
      <c r="Q105" s="12"/>
      <c r="R105" s="82">
        <f t="shared" si="24"/>
        <v>10400</v>
      </c>
      <c r="S105" s="155"/>
      <c r="T105" s="155"/>
      <c r="U105" s="22"/>
    </row>
    <row r="106" spans="1:20" s="22" customFormat="1" ht="21" customHeight="1">
      <c r="A106" s="53" t="s">
        <v>155</v>
      </c>
      <c r="B106" s="60"/>
      <c r="C106" s="172" t="s">
        <v>158</v>
      </c>
      <c r="D106" s="173"/>
      <c r="E106" s="173"/>
      <c r="F106" s="173"/>
      <c r="G106" s="173"/>
      <c r="H106" s="173"/>
      <c r="I106" s="174"/>
      <c r="J106" s="61">
        <f>SUM(J104:J105)-J103</f>
        <v>0</v>
      </c>
      <c r="K106" s="61"/>
      <c r="L106" s="109"/>
      <c r="M106" s="61">
        <f>SUM(M104:M105)-M103</f>
        <v>0</v>
      </c>
      <c r="N106" s="61"/>
      <c r="O106" s="82">
        <f t="shared" si="23"/>
        <v>0</v>
      </c>
      <c r="P106" s="61">
        <f>SUM(P104:P105)-P103</f>
        <v>0</v>
      </c>
      <c r="Q106" s="61"/>
      <c r="R106" s="82">
        <f t="shared" si="24"/>
        <v>0</v>
      </c>
      <c r="S106" s="127"/>
      <c r="T106" s="128"/>
    </row>
    <row r="107" spans="1:20" s="22" customFormat="1" ht="25.5" customHeight="1">
      <c r="A107" s="53" t="s">
        <v>155</v>
      </c>
      <c r="B107" s="60"/>
      <c r="C107" s="9" t="s">
        <v>51</v>
      </c>
      <c r="D107" s="14" t="s">
        <v>207</v>
      </c>
      <c r="E107" s="14" t="s">
        <v>90</v>
      </c>
      <c r="F107" s="9">
        <v>770</v>
      </c>
      <c r="G107" s="10">
        <v>38663</v>
      </c>
      <c r="H107" s="15">
        <v>38719</v>
      </c>
      <c r="I107" s="15" t="s">
        <v>72</v>
      </c>
      <c r="J107" s="131">
        <v>47550</v>
      </c>
      <c r="K107" s="131">
        <f>J107*20/100</f>
        <v>9510</v>
      </c>
      <c r="L107" s="133">
        <f>SUM(J107:K107)</f>
        <v>57060</v>
      </c>
      <c r="M107" s="61">
        <v>27500</v>
      </c>
      <c r="N107" s="61"/>
      <c r="O107" s="82">
        <f t="shared" si="23"/>
        <v>27500</v>
      </c>
      <c r="P107" s="12">
        <f>M107*0.65</f>
        <v>17875</v>
      </c>
      <c r="Q107" s="12"/>
      <c r="R107" s="82">
        <f t="shared" si="24"/>
        <v>17875</v>
      </c>
      <c r="S107" s="127"/>
      <c r="T107" s="128"/>
    </row>
    <row r="108" spans="1:20" s="22" customFormat="1" ht="26.25" customHeight="1">
      <c r="A108" s="53" t="s">
        <v>229</v>
      </c>
      <c r="B108" s="53" t="s">
        <v>321</v>
      </c>
      <c r="C108" s="9" t="s">
        <v>51</v>
      </c>
      <c r="D108" s="14" t="s">
        <v>253</v>
      </c>
      <c r="E108" s="14" t="s">
        <v>254</v>
      </c>
      <c r="F108" s="9">
        <v>70</v>
      </c>
      <c r="G108" s="10">
        <v>38908</v>
      </c>
      <c r="H108" s="15"/>
      <c r="I108" s="15"/>
      <c r="J108" s="131">
        <v>50</v>
      </c>
      <c r="K108" s="131">
        <v>10</v>
      </c>
      <c r="L108" s="133">
        <v>60</v>
      </c>
      <c r="M108" s="61"/>
      <c r="N108" s="61"/>
      <c r="O108" s="82">
        <f t="shared" si="23"/>
        <v>0</v>
      </c>
      <c r="P108" s="12">
        <f>M108*0.65</f>
        <v>0</v>
      </c>
      <c r="Q108" s="12"/>
      <c r="R108" s="82">
        <f t="shared" si="24"/>
        <v>0</v>
      </c>
      <c r="S108" s="144" t="s">
        <v>324</v>
      </c>
      <c r="T108" s="145"/>
    </row>
    <row r="109" spans="1:21" ht="11.25">
      <c r="A109" s="56"/>
      <c r="B109" s="8"/>
      <c r="C109" s="9"/>
      <c r="D109" s="9"/>
      <c r="E109" s="9"/>
      <c r="F109" s="9"/>
      <c r="G109" s="10"/>
      <c r="H109" s="11"/>
      <c r="I109" s="11"/>
      <c r="J109" s="12"/>
      <c r="K109" s="12"/>
      <c r="L109" s="82"/>
      <c r="M109" s="12"/>
      <c r="N109" s="12"/>
      <c r="O109" s="82"/>
      <c r="P109" s="12"/>
      <c r="Q109" s="12"/>
      <c r="R109" s="82"/>
      <c r="S109" s="155"/>
      <c r="T109" s="155"/>
      <c r="U109" s="22"/>
    </row>
    <row r="110" ht="11.25">
      <c r="U110" s="22"/>
    </row>
    <row r="111" spans="1:21" ht="11.25">
      <c r="A111" s="35"/>
      <c r="B111" s="58"/>
      <c r="C111" s="166" t="s">
        <v>9</v>
      </c>
      <c r="D111" s="166"/>
      <c r="E111" s="166"/>
      <c r="F111" s="166"/>
      <c r="G111" s="166"/>
      <c r="H111" s="166"/>
      <c r="I111" s="166"/>
      <c r="J111" s="166"/>
      <c r="K111" s="166"/>
      <c r="L111" s="84"/>
      <c r="M111" s="136" t="s">
        <v>212</v>
      </c>
      <c r="N111" s="136" t="s">
        <v>63</v>
      </c>
      <c r="O111" s="137" t="s">
        <v>213</v>
      </c>
      <c r="P111" s="136" t="s">
        <v>214</v>
      </c>
      <c r="Q111" s="136" t="s">
        <v>215</v>
      </c>
      <c r="R111" s="137" t="s">
        <v>216</v>
      </c>
      <c r="S111" s="48" t="s">
        <v>24</v>
      </c>
      <c r="T111" s="48" t="s">
        <v>25</v>
      </c>
      <c r="U111" s="22"/>
    </row>
    <row r="112" spans="1:22" ht="11.25">
      <c r="A112" s="159"/>
      <c r="B112" s="160"/>
      <c r="C112" s="182"/>
      <c r="D112" s="183"/>
      <c r="E112" s="183"/>
      <c r="F112" s="183"/>
      <c r="G112" s="183"/>
      <c r="H112" s="183"/>
      <c r="I112" s="183"/>
      <c r="J112" s="183"/>
      <c r="K112" s="184"/>
      <c r="L112" s="89" t="s">
        <v>12</v>
      </c>
      <c r="M112" s="3">
        <v>55091.25</v>
      </c>
      <c r="N112" s="3"/>
      <c r="O112" s="93"/>
      <c r="P112" s="3">
        <f>M112*0.65</f>
        <v>35809.3125</v>
      </c>
      <c r="Q112" s="76"/>
      <c r="R112" s="97"/>
      <c r="S112" s="46"/>
      <c r="T112" s="46"/>
      <c r="U112" s="22"/>
      <c r="V112" s="22"/>
    </row>
    <row r="113" spans="1:22" ht="11.25">
      <c r="A113" s="159"/>
      <c r="B113" s="160"/>
      <c r="C113" s="39"/>
      <c r="D113" s="38"/>
      <c r="E113" s="38"/>
      <c r="F113" s="38"/>
      <c r="G113" s="38"/>
      <c r="H113" s="38"/>
      <c r="I113" s="38"/>
      <c r="J113" s="38"/>
      <c r="K113" s="4"/>
      <c r="L113" s="79" t="s">
        <v>28</v>
      </c>
      <c r="M113" s="4"/>
      <c r="N113" s="4"/>
      <c r="O113" s="94"/>
      <c r="P113" s="4"/>
      <c r="Q113" s="91"/>
      <c r="R113" s="99"/>
      <c r="S113" s="5">
        <f>R113*0.375</f>
        <v>0</v>
      </c>
      <c r="T113" s="5">
        <f>R113-S113</f>
        <v>0</v>
      </c>
      <c r="U113" s="22"/>
      <c r="V113" s="22"/>
    </row>
    <row r="114" spans="1:22" ht="11.25">
      <c r="A114" s="159"/>
      <c r="B114" s="160"/>
      <c r="C114" s="39"/>
      <c r="D114" s="38"/>
      <c r="E114" s="38"/>
      <c r="F114" s="38"/>
      <c r="G114" s="38"/>
      <c r="H114" s="38"/>
      <c r="I114" s="38"/>
      <c r="J114" s="38"/>
      <c r="K114" s="40"/>
      <c r="L114" s="79" t="s">
        <v>29</v>
      </c>
      <c r="M114" s="4">
        <f>+M119</f>
        <v>20135</v>
      </c>
      <c r="N114" s="4">
        <f>SUM(N120:N121)</f>
        <v>0</v>
      </c>
      <c r="O114" s="94">
        <f>+N114+M114</f>
        <v>20135</v>
      </c>
      <c r="P114" s="4">
        <f>+P119</f>
        <v>13087.75</v>
      </c>
      <c r="Q114" s="4">
        <f>SUM(Q120:Q121)</f>
        <v>0</v>
      </c>
      <c r="R114" s="94">
        <f>+Q114+P114</f>
        <v>13087.75</v>
      </c>
      <c r="S114" s="5">
        <f>R114*0.375</f>
        <v>4907.90625</v>
      </c>
      <c r="T114" s="5">
        <f>R114-S114</f>
        <v>8179.84375</v>
      </c>
      <c r="U114" s="22"/>
      <c r="V114" s="22"/>
    </row>
    <row r="115" spans="1:22" ht="11.25">
      <c r="A115" s="159"/>
      <c r="B115" s="160"/>
      <c r="C115" s="39"/>
      <c r="D115" s="38"/>
      <c r="E115" s="38"/>
      <c r="F115" s="38"/>
      <c r="G115" s="38"/>
      <c r="H115" s="38"/>
      <c r="I115" s="38"/>
      <c r="J115" s="38"/>
      <c r="K115" s="40"/>
      <c r="L115" s="79" t="s">
        <v>157</v>
      </c>
      <c r="M115" s="4">
        <f>SUM(M122:M126)</f>
        <v>31706.25</v>
      </c>
      <c r="N115" s="4"/>
      <c r="O115" s="94">
        <f>+N115+M115</f>
        <v>31706.25</v>
      </c>
      <c r="P115" s="4">
        <f>SUM(P122:P126)</f>
        <v>20609.0625</v>
      </c>
      <c r="Q115" s="4"/>
      <c r="R115" s="94">
        <f>+Q115+P115</f>
        <v>20609.0625</v>
      </c>
      <c r="S115" s="5">
        <f>R115*0.375</f>
        <v>7728.3984375</v>
      </c>
      <c r="T115" s="5">
        <f>R115-S115</f>
        <v>12880.6640625</v>
      </c>
      <c r="U115" s="22"/>
      <c r="V115" s="22"/>
    </row>
    <row r="116" spans="1:22" ht="11.25">
      <c r="A116" s="159"/>
      <c r="B116" s="160"/>
      <c r="C116" s="39"/>
      <c r="D116" s="38"/>
      <c r="E116" s="38"/>
      <c r="F116" s="38"/>
      <c r="G116" s="38"/>
      <c r="H116" s="38"/>
      <c r="I116" s="38"/>
      <c r="J116" s="38"/>
      <c r="K116" s="40"/>
      <c r="L116" s="79" t="s">
        <v>294</v>
      </c>
      <c r="M116" s="4">
        <f>SUM(M127:M129)</f>
        <v>1337.5</v>
      </c>
      <c r="N116" s="4"/>
      <c r="O116" s="94">
        <f>+N116+M116</f>
        <v>1337.5</v>
      </c>
      <c r="P116" s="4">
        <f>SUM(P127:P129)</f>
        <v>869.375</v>
      </c>
      <c r="Q116" s="4"/>
      <c r="R116" s="94">
        <f>+Q116+P116</f>
        <v>869.375</v>
      </c>
      <c r="S116" s="5">
        <f>R116*0.375</f>
        <v>326.015625</v>
      </c>
      <c r="T116" s="5">
        <f>R116-S116</f>
        <v>543.359375</v>
      </c>
      <c r="U116" s="22"/>
      <c r="V116" s="22"/>
    </row>
    <row r="117" spans="1:22" ht="11.25">
      <c r="A117" s="161"/>
      <c r="B117" s="162"/>
      <c r="C117" s="176"/>
      <c r="D117" s="177"/>
      <c r="E117" s="177"/>
      <c r="F117" s="177"/>
      <c r="G117" s="177"/>
      <c r="H117" s="177"/>
      <c r="I117" s="177"/>
      <c r="J117" s="177"/>
      <c r="K117" s="178"/>
      <c r="L117" s="80" t="s">
        <v>13</v>
      </c>
      <c r="M117" s="6">
        <f>M112-M113-M114-M115-M116</f>
        <v>1912.5</v>
      </c>
      <c r="N117" s="6"/>
      <c r="O117" s="95"/>
      <c r="P117" s="6"/>
      <c r="Q117" s="90"/>
      <c r="R117" s="98"/>
      <c r="S117" s="1"/>
      <c r="T117" s="1"/>
      <c r="U117" s="22"/>
      <c r="V117" s="22"/>
    </row>
    <row r="118" spans="1:21" ht="22.5">
      <c r="A118" s="7" t="s">
        <v>14</v>
      </c>
      <c r="B118" s="7" t="s">
        <v>11</v>
      </c>
      <c r="C118" s="28" t="s">
        <v>23</v>
      </c>
      <c r="D118" s="28" t="s">
        <v>20</v>
      </c>
      <c r="E118" s="36" t="s">
        <v>2</v>
      </c>
      <c r="F118" s="28" t="s">
        <v>19</v>
      </c>
      <c r="G118" s="28" t="s">
        <v>18</v>
      </c>
      <c r="H118" s="36" t="s">
        <v>17</v>
      </c>
      <c r="I118" s="36" t="s">
        <v>16</v>
      </c>
      <c r="J118" s="28" t="s">
        <v>3</v>
      </c>
      <c r="K118" s="28" t="s">
        <v>4</v>
      </c>
      <c r="L118" s="81" t="s">
        <v>5</v>
      </c>
      <c r="M118" s="7" t="s">
        <v>21</v>
      </c>
      <c r="N118" s="7" t="s">
        <v>63</v>
      </c>
      <c r="O118" s="81" t="s">
        <v>64</v>
      </c>
      <c r="P118" s="7" t="s">
        <v>22</v>
      </c>
      <c r="Q118" s="7" t="s">
        <v>65</v>
      </c>
      <c r="R118" s="81" t="s">
        <v>66</v>
      </c>
      <c r="S118" s="147" t="s">
        <v>27</v>
      </c>
      <c r="T118" s="147"/>
      <c r="U118" s="22"/>
    </row>
    <row r="119" spans="1:20" ht="21" customHeight="1">
      <c r="A119" s="53" t="s">
        <v>68</v>
      </c>
      <c r="B119" s="8"/>
      <c r="C119" s="172" t="s">
        <v>154</v>
      </c>
      <c r="D119" s="173"/>
      <c r="E119" s="173"/>
      <c r="F119" s="173"/>
      <c r="G119" s="173"/>
      <c r="H119" s="173"/>
      <c r="I119" s="174"/>
      <c r="J119" s="12">
        <v>20135</v>
      </c>
      <c r="K119" s="12"/>
      <c r="L119" s="82">
        <f>+K119+J119</f>
        <v>20135</v>
      </c>
      <c r="M119" s="12">
        <f>+J119</f>
        <v>20135</v>
      </c>
      <c r="N119" s="12"/>
      <c r="O119" s="82">
        <f aca="true" t="shared" si="25" ref="O119:O126">+N119+M119</f>
        <v>20135</v>
      </c>
      <c r="P119" s="12">
        <f>M119*0.65</f>
        <v>13087.75</v>
      </c>
      <c r="Q119" s="12"/>
      <c r="R119" s="82">
        <f aca="true" t="shared" si="26" ref="R119:R126">+Q119+P119</f>
        <v>13087.75</v>
      </c>
      <c r="S119" s="167"/>
      <c r="T119" s="155"/>
    </row>
    <row r="120" spans="1:21" ht="24.75" customHeight="1">
      <c r="A120" s="53" t="s">
        <v>68</v>
      </c>
      <c r="B120" s="60"/>
      <c r="C120" s="9" t="s">
        <v>51</v>
      </c>
      <c r="D120" s="123" t="s">
        <v>97</v>
      </c>
      <c r="E120" s="9" t="s">
        <v>74</v>
      </c>
      <c r="F120" s="9">
        <v>39</v>
      </c>
      <c r="G120" s="10">
        <v>38595</v>
      </c>
      <c r="H120" s="11">
        <v>38653</v>
      </c>
      <c r="I120" s="15" t="s">
        <v>98</v>
      </c>
      <c r="J120" s="12">
        <v>13100</v>
      </c>
      <c r="K120" s="12">
        <f>J120*20/100</f>
        <v>2620</v>
      </c>
      <c r="L120" s="82">
        <f>SUM(J120:K120)</f>
        <v>15720</v>
      </c>
      <c r="M120" s="12">
        <v>13100</v>
      </c>
      <c r="N120" s="12"/>
      <c r="O120" s="82">
        <f t="shared" si="25"/>
        <v>13100</v>
      </c>
      <c r="P120" s="12">
        <f>M120*0.65</f>
        <v>8515</v>
      </c>
      <c r="Q120" s="12"/>
      <c r="R120" s="82">
        <f t="shared" si="26"/>
        <v>8515</v>
      </c>
      <c r="S120" s="155"/>
      <c r="T120" s="155"/>
      <c r="U120" s="22"/>
    </row>
    <row r="121" spans="1:21" ht="22.5">
      <c r="A121" s="53" t="s">
        <v>68</v>
      </c>
      <c r="B121" s="60"/>
      <c r="C121" s="9" t="s">
        <v>51</v>
      </c>
      <c r="D121" s="14" t="s">
        <v>99</v>
      </c>
      <c r="E121" s="9" t="s">
        <v>100</v>
      </c>
      <c r="F121" s="9">
        <v>545</v>
      </c>
      <c r="G121" s="10">
        <v>38595</v>
      </c>
      <c r="H121" s="11">
        <v>38646</v>
      </c>
      <c r="I121" s="15" t="s">
        <v>98</v>
      </c>
      <c r="J121" s="12">
        <v>7035</v>
      </c>
      <c r="K121" s="12">
        <f>J121*20/100</f>
        <v>1407</v>
      </c>
      <c r="L121" s="82">
        <f>SUM(J121:K121)</f>
        <v>8442</v>
      </c>
      <c r="M121" s="12">
        <v>7035</v>
      </c>
      <c r="N121" s="12"/>
      <c r="O121" s="82">
        <f t="shared" si="25"/>
        <v>7035</v>
      </c>
      <c r="P121" s="12">
        <f>M121*0.65</f>
        <v>4572.75</v>
      </c>
      <c r="Q121" s="12"/>
      <c r="R121" s="82">
        <f t="shared" si="26"/>
        <v>4572.75</v>
      </c>
      <c r="S121" s="155"/>
      <c r="T121" s="155"/>
      <c r="U121" s="22"/>
    </row>
    <row r="122" spans="1:20" s="22" customFormat="1" ht="21" customHeight="1">
      <c r="A122" s="53" t="s">
        <v>155</v>
      </c>
      <c r="B122" s="60"/>
      <c r="C122" s="172" t="s">
        <v>158</v>
      </c>
      <c r="D122" s="173"/>
      <c r="E122" s="173"/>
      <c r="F122" s="173"/>
      <c r="G122" s="173"/>
      <c r="H122" s="173"/>
      <c r="I122" s="174"/>
      <c r="J122" s="61">
        <f>SUM(J120:J121)-J119</f>
        <v>0</v>
      </c>
      <c r="K122" s="61"/>
      <c r="L122" s="109"/>
      <c r="M122" s="61">
        <f>SUM(M120:M121)-M119</f>
        <v>0</v>
      </c>
      <c r="N122" s="61"/>
      <c r="O122" s="82">
        <f t="shared" si="25"/>
        <v>0</v>
      </c>
      <c r="P122" s="61">
        <f>SUM(P120:P121)-P119</f>
        <v>0</v>
      </c>
      <c r="Q122" s="61"/>
      <c r="R122" s="82">
        <f t="shared" si="26"/>
        <v>0</v>
      </c>
      <c r="S122" s="127"/>
      <c r="T122" s="128"/>
    </row>
    <row r="123" spans="1:21" ht="22.5">
      <c r="A123" s="53" t="s">
        <v>155</v>
      </c>
      <c r="B123" s="8"/>
      <c r="C123" s="9" t="s">
        <v>51</v>
      </c>
      <c r="D123" s="107" t="s">
        <v>172</v>
      </c>
      <c r="E123" s="14" t="s">
        <v>173</v>
      </c>
      <c r="F123" s="14">
        <v>888</v>
      </c>
      <c r="G123" s="15">
        <v>38717</v>
      </c>
      <c r="H123" s="15">
        <v>38749</v>
      </c>
      <c r="I123" s="15" t="s">
        <v>86</v>
      </c>
      <c r="J123" s="61">
        <v>4500</v>
      </c>
      <c r="K123" s="61">
        <f>J123*20/100</f>
        <v>900</v>
      </c>
      <c r="L123" s="109">
        <f>SUM(J123:K123)</f>
        <v>5400</v>
      </c>
      <c r="M123" s="61">
        <v>4500</v>
      </c>
      <c r="N123" s="12"/>
      <c r="O123" s="82">
        <f t="shared" si="25"/>
        <v>4500</v>
      </c>
      <c r="P123" s="12">
        <f>M123*0.65</f>
        <v>2925</v>
      </c>
      <c r="Q123" s="12"/>
      <c r="R123" s="82">
        <f t="shared" si="26"/>
        <v>2925</v>
      </c>
      <c r="S123" s="155"/>
      <c r="T123" s="155"/>
      <c r="U123" s="22"/>
    </row>
    <row r="124" spans="1:21" ht="22.5">
      <c r="A124" s="53" t="s">
        <v>155</v>
      </c>
      <c r="B124" s="8"/>
      <c r="C124" s="9" t="s">
        <v>51</v>
      </c>
      <c r="D124" s="107" t="s">
        <v>174</v>
      </c>
      <c r="E124" s="14" t="s">
        <v>173</v>
      </c>
      <c r="F124" s="14">
        <v>886</v>
      </c>
      <c r="G124" s="15">
        <v>38717</v>
      </c>
      <c r="H124" s="15" t="s">
        <v>175</v>
      </c>
      <c r="I124" s="15" t="s">
        <v>86</v>
      </c>
      <c r="J124" s="61">
        <v>10901.25</v>
      </c>
      <c r="K124" s="61">
        <f>J124*20/100</f>
        <v>2180.25</v>
      </c>
      <c r="L124" s="109">
        <f>SUM(J124:K124)</f>
        <v>13081.5</v>
      </c>
      <c r="M124" s="61">
        <v>10901.25</v>
      </c>
      <c r="N124" s="12"/>
      <c r="O124" s="82">
        <f t="shared" si="25"/>
        <v>10901.25</v>
      </c>
      <c r="P124" s="12">
        <f>M124*0.65</f>
        <v>7085.8125</v>
      </c>
      <c r="Q124" s="12"/>
      <c r="R124" s="82">
        <f t="shared" si="26"/>
        <v>7085.8125</v>
      </c>
      <c r="S124" s="155"/>
      <c r="T124" s="155"/>
      <c r="U124" s="22"/>
    </row>
    <row r="125" spans="1:21" ht="22.5">
      <c r="A125" s="53" t="s">
        <v>155</v>
      </c>
      <c r="B125" s="8"/>
      <c r="C125" s="9" t="s">
        <v>51</v>
      </c>
      <c r="D125" s="107" t="s">
        <v>176</v>
      </c>
      <c r="E125" s="14" t="s">
        <v>173</v>
      </c>
      <c r="F125" s="14">
        <v>261</v>
      </c>
      <c r="G125" s="15">
        <v>38801</v>
      </c>
      <c r="H125" s="15">
        <v>38804</v>
      </c>
      <c r="I125" s="15" t="s">
        <v>86</v>
      </c>
      <c r="J125" s="61">
        <v>6305</v>
      </c>
      <c r="K125" s="61">
        <f>J125*20/100</f>
        <v>1261</v>
      </c>
      <c r="L125" s="109">
        <f>SUM(J125:K125)</f>
        <v>7566</v>
      </c>
      <c r="M125" s="61">
        <v>6305</v>
      </c>
      <c r="N125" s="12"/>
      <c r="O125" s="82">
        <f t="shared" si="25"/>
        <v>6305</v>
      </c>
      <c r="P125" s="12">
        <f>M125*0.65</f>
        <v>4098.25</v>
      </c>
      <c r="Q125" s="12"/>
      <c r="R125" s="82">
        <f t="shared" si="26"/>
        <v>4098.25</v>
      </c>
      <c r="S125" s="155"/>
      <c r="T125" s="155"/>
      <c r="U125" s="22"/>
    </row>
    <row r="126" spans="1:21" ht="22.5">
      <c r="A126" s="53" t="s">
        <v>155</v>
      </c>
      <c r="B126" s="8"/>
      <c r="C126" s="9" t="s">
        <v>51</v>
      </c>
      <c r="D126" s="107" t="s">
        <v>177</v>
      </c>
      <c r="E126" s="14" t="s">
        <v>173</v>
      </c>
      <c r="F126" s="14">
        <v>267</v>
      </c>
      <c r="G126" s="15">
        <v>38803</v>
      </c>
      <c r="H126" s="15">
        <v>38806</v>
      </c>
      <c r="I126" s="15" t="s">
        <v>86</v>
      </c>
      <c r="J126" s="61">
        <v>10000</v>
      </c>
      <c r="K126" s="61">
        <f>J126*20/100</f>
        <v>2000</v>
      </c>
      <c r="L126" s="109">
        <f>SUM(J126:K126)</f>
        <v>12000</v>
      </c>
      <c r="M126" s="61">
        <v>10000</v>
      </c>
      <c r="N126" s="12"/>
      <c r="O126" s="82">
        <f t="shared" si="25"/>
        <v>10000</v>
      </c>
      <c r="P126" s="12">
        <f>M126*0.65</f>
        <v>6500</v>
      </c>
      <c r="Q126" s="12"/>
      <c r="R126" s="82">
        <f t="shared" si="26"/>
        <v>6500</v>
      </c>
      <c r="S126" s="155"/>
      <c r="T126" s="155"/>
      <c r="U126" s="22"/>
    </row>
    <row r="127" spans="1:21" ht="33.75">
      <c r="A127" s="53" t="s">
        <v>229</v>
      </c>
      <c r="B127" s="8"/>
      <c r="C127" s="9" t="s">
        <v>51</v>
      </c>
      <c r="D127" s="107" t="s">
        <v>244</v>
      </c>
      <c r="E127" s="14" t="s">
        <v>245</v>
      </c>
      <c r="F127" s="14">
        <v>2006402</v>
      </c>
      <c r="G127" s="15">
        <v>38876</v>
      </c>
      <c r="H127" s="15">
        <v>38910</v>
      </c>
      <c r="I127" s="15" t="s">
        <v>103</v>
      </c>
      <c r="J127" s="61">
        <v>1250</v>
      </c>
      <c r="K127" s="61">
        <v>250</v>
      </c>
      <c r="L127" s="109">
        <v>1500</v>
      </c>
      <c r="M127" s="61">
        <v>1250</v>
      </c>
      <c r="N127" s="12"/>
      <c r="O127" s="82">
        <f>+N127+M127</f>
        <v>1250</v>
      </c>
      <c r="P127" s="12">
        <f>M127*0.65</f>
        <v>812.5</v>
      </c>
      <c r="Q127" s="12"/>
      <c r="R127" s="82">
        <f>+Q127+P127</f>
        <v>812.5</v>
      </c>
      <c r="S127" s="155"/>
      <c r="T127" s="155"/>
      <c r="U127" s="22"/>
    </row>
    <row r="128" spans="1:21" ht="47.25" customHeight="1">
      <c r="A128" s="53" t="s">
        <v>229</v>
      </c>
      <c r="B128" s="8"/>
      <c r="C128" s="9" t="s">
        <v>51</v>
      </c>
      <c r="D128" s="107" t="s">
        <v>255</v>
      </c>
      <c r="E128" s="14" t="s">
        <v>249</v>
      </c>
      <c r="F128" s="14">
        <v>1144</v>
      </c>
      <c r="G128" s="15">
        <v>39081</v>
      </c>
      <c r="H128" s="15"/>
      <c r="I128" s="15"/>
      <c r="J128" s="61">
        <v>924</v>
      </c>
      <c r="K128" s="61">
        <v>184.8</v>
      </c>
      <c r="L128" s="109">
        <v>1108.8</v>
      </c>
      <c r="M128" s="61"/>
      <c r="N128" s="12"/>
      <c r="O128" s="82"/>
      <c r="P128" s="12"/>
      <c r="Q128" s="12"/>
      <c r="R128" s="82"/>
      <c r="S128" s="148" t="s">
        <v>320</v>
      </c>
      <c r="T128" s="149"/>
      <c r="U128" s="22"/>
    </row>
    <row r="129" spans="1:21" ht="22.5">
      <c r="A129" s="53" t="s">
        <v>229</v>
      </c>
      <c r="B129" s="8"/>
      <c r="C129" s="9" t="s">
        <v>51</v>
      </c>
      <c r="D129" s="107" t="s">
        <v>256</v>
      </c>
      <c r="E129" s="14" t="s">
        <v>249</v>
      </c>
      <c r="F129" s="14">
        <v>788</v>
      </c>
      <c r="G129" s="15">
        <v>38988</v>
      </c>
      <c r="H129" s="15"/>
      <c r="I129" s="15"/>
      <c r="J129" s="61">
        <v>87.5</v>
      </c>
      <c r="K129" s="61">
        <v>17.5</v>
      </c>
      <c r="L129" s="109">
        <v>105</v>
      </c>
      <c r="M129" s="61">
        <v>87.5</v>
      </c>
      <c r="N129" s="12"/>
      <c r="O129" s="82">
        <f>+N129+M129</f>
        <v>87.5</v>
      </c>
      <c r="P129" s="12">
        <f>M129*0.65</f>
        <v>56.875</v>
      </c>
      <c r="Q129" s="12"/>
      <c r="R129" s="82">
        <f>+Q129+P129</f>
        <v>56.875</v>
      </c>
      <c r="S129" s="153"/>
      <c r="T129" s="154"/>
      <c r="U129" s="22"/>
    </row>
    <row r="130" spans="1:21" ht="11.25">
      <c r="A130" s="56"/>
      <c r="B130" s="8"/>
      <c r="C130" s="9"/>
      <c r="D130" s="9"/>
      <c r="E130" s="9"/>
      <c r="F130" s="9"/>
      <c r="G130" s="10"/>
      <c r="H130" s="11"/>
      <c r="I130" s="11"/>
      <c r="J130" s="12"/>
      <c r="K130" s="12"/>
      <c r="L130" s="82"/>
      <c r="M130" s="12"/>
      <c r="N130" s="12"/>
      <c r="O130" s="82"/>
      <c r="P130" s="12"/>
      <c r="Q130" s="12"/>
      <c r="R130" s="82"/>
      <c r="S130" s="155"/>
      <c r="T130" s="155"/>
      <c r="U130" s="22"/>
    </row>
    <row r="131" ht="11.25">
      <c r="U131" s="22"/>
    </row>
    <row r="132" spans="1:21" ht="11.25">
      <c r="A132" s="35"/>
      <c r="B132" s="58"/>
      <c r="C132" s="166" t="s">
        <v>10</v>
      </c>
      <c r="D132" s="166"/>
      <c r="E132" s="166"/>
      <c r="F132" s="166"/>
      <c r="G132" s="166"/>
      <c r="H132" s="166"/>
      <c r="I132" s="166"/>
      <c r="J132" s="166"/>
      <c r="K132" s="166"/>
      <c r="L132" s="88"/>
      <c r="M132" s="136" t="s">
        <v>212</v>
      </c>
      <c r="N132" s="136" t="s">
        <v>63</v>
      </c>
      <c r="O132" s="137" t="s">
        <v>213</v>
      </c>
      <c r="P132" s="136" t="s">
        <v>214</v>
      </c>
      <c r="Q132" s="136" t="s">
        <v>215</v>
      </c>
      <c r="R132" s="137" t="s">
        <v>216</v>
      </c>
      <c r="S132" s="26" t="s">
        <v>24</v>
      </c>
      <c r="T132" s="27" t="s">
        <v>25</v>
      </c>
      <c r="U132" s="22"/>
    </row>
    <row r="133" spans="1:22" ht="11.25">
      <c r="A133" s="159"/>
      <c r="B133" s="160"/>
      <c r="C133" s="182"/>
      <c r="D133" s="183"/>
      <c r="E133" s="183"/>
      <c r="F133" s="183"/>
      <c r="G133" s="183"/>
      <c r="H133" s="183"/>
      <c r="I133" s="183"/>
      <c r="J133" s="183"/>
      <c r="K133" s="184"/>
      <c r="L133" s="89" t="s">
        <v>12</v>
      </c>
      <c r="M133" s="3">
        <v>20136.33</v>
      </c>
      <c r="N133" s="3"/>
      <c r="O133" s="93"/>
      <c r="P133" s="3"/>
      <c r="Q133" s="76"/>
      <c r="R133" s="97"/>
      <c r="S133" s="46"/>
      <c r="T133" s="46"/>
      <c r="U133" s="22"/>
      <c r="V133" s="22"/>
    </row>
    <row r="134" spans="1:22" ht="11.25">
      <c r="A134" s="159"/>
      <c r="B134" s="160"/>
      <c r="C134" s="39"/>
      <c r="D134" s="38"/>
      <c r="E134" s="38"/>
      <c r="F134" s="38"/>
      <c r="G134" s="38"/>
      <c r="H134" s="38"/>
      <c r="I134" s="38"/>
      <c r="J134" s="38"/>
      <c r="K134" s="4">
        <v>0</v>
      </c>
      <c r="L134" s="79" t="s">
        <v>28</v>
      </c>
      <c r="M134" s="4">
        <f>SUM(M140:M142)</f>
        <v>2609.73</v>
      </c>
      <c r="N134" s="4">
        <f>SUM(N140:N142)</f>
        <v>0</v>
      </c>
      <c r="O134" s="94">
        <f>+N134+M134</f>
        <v>2609.73</v>
      </c>
      <c r="P134" s="4">
        <f>SUM(P140:P142)</f>
        <v>1696.3245</v>
      </c>
      <c r="Q134" s="4">
        <f>SUM(Q140:Q142)</f>
        <v>0</v>
      </c>
      <c r="R134" s="94">
        <f>+Q134+P134</f>
        <v>1696.3245</v>
      </c>
      <c r="S134" s="5">
        <f>R134*0.375</f>
        <v>636.1216875</v>
      </c>
      <c r="T134" s="5">
        <f>R134-S134</f>
        <v>1060.2028125</v>
      </c>
      <c r="U134" s="22"/>
      <c r="V134" s="22"/>
    </row>
    <row r="135" spans="1:22" ht="11.25">
      <c r="A135" s="159"/>
      <c r="B135" s="160"/>
      <c r="C135" s="39"/>
      <c r="D135" s="38"/>
      <c r="E135" s="38"/>
      <c r="F135" s="38"/>
      <c r="G135" s="38"/>
      <c r="H135" s="38"/>
      <c r="I135" s="38"/>
      <c r="J135" s="38"/>
      <c r="K135" s="40"/>
      <c r="L135" s="79" t="s">
        <v>29</v>
      </c>
      <c r="M135" s="4">
        <f>+M143</f>
        <v>0</v>
      </c>
      <c r="N135" s="4">
        <f>SUM(N144:N195)</f>
        <v>0</v>
      </c>
      <c r="O135" s="94">
        <f>+N135+M135</f>
        <v>0</v>
      </c>
      <c r="P135" s="4">
        <f>+P143</f>
        <v>0</v>
      </c>
      <c r="Q135" s="4">
        <f>SUM(Q144:Q195)</f>
        <v>0</v>
      </c>
      <c r="R135" s="94">
        <f>+Q135+P135</f>
        <v>0</v>
      </c>
      <c r="S135" s="5">
        <f>R135*0.375</f>
        <v>0</v>
      </c>
      <c r="T135" s="5">
        <f>R135-S135</f>
        <v>0</v>
      </c>
      <c r="U135" s="22"/>
      <c r="V135" s="22"/>
    </row>
    <row r="136" spans="1:22" ht="11.25">
      <c r="A136" s="159"/>
      <c r="B136" s="160"/>
      <c r="C136" s="39"/>
      <c r="D136" s="38"/>
      <c r="E136" s="38"/>
      <c r="F136" s="38"/>
      <c r="G136" s="38"/>
      <c r="H136" s="38"/>
      <c r="I136" s="38"/>
      <c r="J136" s="38"/>
      <c r="K136" s="40"/>
      <c r="L136" s="79" t="s">
        <v>157</v>
      </c>
      <c r="M136" s="4">
        <f>SUM(M178:M196)</f>
        <v>30105.786999999997</v>
      </c>
      <c r="N136" s="4"/>
      <c r="O136" s="94">
        <f>+N136+M136</f>
        <v>30105.786999999997</v>
      </c>
      <c r="P136" s="4">
        <f>SUM(P178:P196)</f>
        <v>19568.76155000001</v>
      </c>
      <c r="Q136" s="4"/>
      <c r="R136" s="94">
        <f>+Q136+P136</f>
        <v>19568.76155000001</v>
      </c>
      <c r="S136" s="5">
        <f>R136*0.375</f>
        <v>7338.285581250004</v>
      </c>
      <c r="T136" s="5">
        <f>R136-S136</f>
        <v>12230.475968750006</v>
      </c>
      <c r="U136" s="22"/>
      <c r="V136" s="22"/>
    </row>
    <row r="137" spans="1:22" ht="11.25">
      <c r="A137" s="159"/>
      <c r="B137" s="160"/>
      <c r="C137" s="39"/>
      <c r="D137" s="38"/>
      <c r="E137" s="38"/>
      <c r="F137" s="38"/>
      <c r="G137" s="38"/>
      <c r="H137" s="38"/>
      <c r="I137" s="38"/>
      <c r="J137" s="38"/>
      <c r="K137" s="40"/>
      <c r="L137" s="79" t="s">
        <v>294</v>
      </c>
      <c r="M137" s="4">
        <f>SUM(M197:M228)</f>
        <v>7267.644000000001</v>
      </c>
      <c r="N137" s="4"/>
      <c r="O137" s="94">
        <f>+N137+M137</f>
        <v>7267.644000000001</v>
      </c>
      <c r="P137" s="4">
        <f>SUM(P197:P228)</f>
        <v>4723.9686</v>
      </c>
      <c r="Q137" s="4"/>
      <c r="R137" s="94">
        <f>+Q137+P137</f>
        <v>4723.9686</v>
      </c>
      <c r="S137" s="5">
        <f>R137*0.375</f>
        <v>1771.488225</v>
      </c>
      <c r="T137" s="5">
        <f>R137-S137</f>
        <v>2952.480375</v>
      </c>
      <c r="U137" s="22"/>
      <c r="V137" s="22"/>
    </row>
    <row r="138" spans="1:22" ht="11.25">
      <c r="A138" s="161"/>
      <c r="B138" s="162"/>
      <c r="C138" s="176"/>
      <c r="D138" s="177"/>
      <c r="E138" s="177"/>
      <c r="F138" s="177"/>
      <c r="G138" s="177"/>
      <c r="H138" s="177"/>
      <c r="I138" s="177"/>
      <c r="J138" s="177"/>
      <c r="K138" s="178"/>
      <c r="L138" s="80" t="s">
        <v>13</v>
      </c>
      <c r="M138" s="6">
        <f>M133-M134-M135-M136-M137</f>
        <v>-19846.830999999995</v>
      </c>
      <c r="N138" s="6"/>
      <c r="O138" s="95"/>
      <c r="P138" s="6"/>
      <c r="Q138" s="90"/>
      <c r="R138" s="98"/>
      <c r="S138" s="1"/>
      <c r="T138" s="1"/>
      <c r="U138" s="22"/>
      <c r="V138" s="22"/>
    </row>
    <row r="139" spans="1:21" ht="23.25" customHeight="1">
      <c r="A139" s="7" t="s">
        <v>14</v>
      </c>
      <c r="B139" s="7" t="s">
        <v>11</v>
      </c>
      <c r="C139" s="28" t="s">
        <v>23</v>
      </c>
      <c r="D139" s="28" t="s">
        <v>20</v>
      </c>
      <c r="E139" s="36" t="s">
        <v>2</v>
      </c>
      <c r="F139" s="28" t="s">
        <v>19</v>
      </c>
      <c r="G139" s="28" t="s">
        <v>18</v>
      </c>
      <c r="H139" s="36" t="s">
        <v>17</v>
      </c>
      <c r="I139" s="36" t="s">
        <v>16</v>
      </c>
      <c r="J139" s="28" t="s">
        <v>3</v>
      </c>
      <c r="K139" s="28" t="s">
        <v>4</v>
      </c>
      <c r="L139" s="81" t="s">
        <v>5</v>
      </c>
      <c r="M139" s="7" t="s">
        <v>21</v>
      </c>
      <c r="N139" s="7" t="s">
        <v>63</v>
      </c>
      <c r="O139" s="81" t="s">
        <v>64</v>
      </c>
      <c r="P139" s="7" t="s">
        <v>22</v>
      </c>
      <c r="Q139" s="7" t="s">
        <v>65</v>
      </c>
      <c r="R139" s="81" t="s">
        <v>66</v>
      </c>
      <c r="S139" s="147" t="s">
        <v>27</v>
      </c>
      <c r="T139" s="147"/>
      <c r="U139" s="22"/>
    </row>
    <row r="140" spans="1:20" ht="11.25">
      <c r="A140" s="53" t="s">
        <v>15</v>
      </c>
      <c r="B140" s="8"/>
      <c r="C140" s="9" t="s">
        <v>33</v>
      </c>
      <c r="D140" s="14" t="s">
        <v>43</v>
      </c>
      <c r="E140" s="14" t="s">
        <v>44</v>
      </c>
      <c r="F140" s="8">
        <v>417</v>
      </c>
      <c r="G140" s="10">
        <v>38202</v>
      </c>
      <c r="H140" s="10">
        <v>38335</v>
      </c>
      <c r="I140" s="15" t="s">
        <v>26</v>
      </c>
      <c r="J140" s="12">
        <v>337.54</v>
      </c>
      <c r="K140" s="12">
        <f>+J140*0.2</f>
        <v>67.50800000000001</v>
      </c>
      <c r="L140" s="82">
        <f>SUM(J140:K140)</f>
        <v>405.048</v>
      </c>
      <c r="M140" s="12">
        <f>+J140</f>
        <v>337.54</v>
      </c>
      <c r="N140" s="12"/>
      <c r="O140" s="82">
        <f aca="true" t="shared" si="27" ref="O140:O146">+N140+M140</f>
        <v>337.54</v>
      </c>
      <c r="P140" s="12">
        <f aca="true" t="shared" si="28" ref="P140:P146">M140*0.65</f>
        <v>219.401</v>
      </c>
      <c r="Q140" s="12"/>
      <c r="R140" s="82">
        <f aca="true" t="shared" si="29" ref="R140:R146">+Q140+P140</f>
        <v>219.401</v>
      </c>
      <c r="S140" s="155"/>
      <c r="T140" s="155"/>
    </row>
    <row r="141" spans="1:20" ht="22.5">
      <c r="A141" s="53" t="s">
        <v>15</v>
      </c>
      <c r="B141" s="8"/>
      <c r="C141" s="9" t="s">
        <v>33</v>
      </c>
      <c r="D141" s="14" t="s">
        <v>45</v>
      </c>
      <c r="E141" s="9" t="s">
        <v>46</v>
      </c>
      <c r="F141" s="17">
        <v>3</v>
      </c>
      <c r="G141" s="18">
        <v>38362</v>
      </c>
      <c r="H141" s="18">
        <v>38363</v>
      </c>
      <c r="I141" s="15" t="s">
        <v>26</v>
      </c>
      <c r="J141" s="12">
        <v>103.3</v>
      </c>
      <c r="K141" s="12">
        <f>+J141*0.2</f>
        <v>20.66</v>
      </c>
      <c r="L141" s="82">
        <f>SUM(J141:K141)</f>
        <v>123.96</v>
      </c>
      <c r="M141" s="12">
        <f>+J141</f>
        <v>103.3</v>
      </c>
      <c r="N141" s="12"/>
      <c r="O141" s="82">
        <f t="shared" si="27"/>
        <v>103.3</v>
      </c>
      <c r="P141" s="12">
        <f t="shared" si="28"/>
        <v>67.145</v>
      </c>
      <c r="Q141" s="12"/>
      <c r="R141" s="82">
        <f t="shared" si="29"/>
        <v>67.145</v>
      </c>
      <c r="S141" s="155"/>
      <c r="T141" s="155"/>
    </row>
    <row r="142" spans="1:20" ht="22.5" customHeight="1">
      <c r="A142" s="53" t="s">
        <v>15</v>
      </c>
      <c r="B142" s="8"/>
      <c r="C142" s="9" t="s">
        <v>33</v>
      </c>
      <c r="D142" s="9" t="s">
        <v>47</v>
      </c>
      <c r="E142" s="9" t="s">
        <v>48</v>
      </c>
      <c r="F142" s="8" t="s">
        <v>49</v>
      </c>
      <c r="G142" s="16">
        <v>38288</v>
      </c>
      <c r="H142" s="18">
        <v>38334</v>
      </c>
      <c r="I142" s="15" t="s">
        <v>26</v>
      </c>
      <c r="J142" s="12">
        <v>2168.89</v>
      </c>
      <c r="K142" s="12">
        <v>0</v>
      </c>
      <c r="L142" s="82">
        <f>SUM(J142:K142)</f>
        <v>2168.89</v>
      </c>
      <c r="M142" s="12">
        <f>+J142</f>
        <v>2168.89</v>
      </c>
      <c r="N142" s="12"/>
      <c r="O142" s="82">
        <f t="shared" si="27"/>
        <v>2168.89</v>
      </c>
      <c r="P142" s="12">
        <f t="shared" si="28"/>
        <v>1409.7785</v>
      </c>
      <c r="Q142" s="12"/>
      <c r="R142" s="82">
        <f t="shared" si="29"/>
        <v>1409.7785</v>
      </c>
      <c r="S142" s="155" t="s">
        <v>50</v>
      </c>
      <c r="T142" s="155"/>
    </row>
    <row r="143" spans="1:20" ht="21" customHeight="1">
      <c r="A143" s="53" t="s">
        <v>68</v>
      </c>
      <c r="B143" s="8"/>
      <c r="C143" s="172" t="s">
        <v>154</v>
      </c>
      <c r="D143" s="173"/>
      <c r="E143" s="173"/>
      <c r="F143" s="173"/>
      <c r="G143" s="173"/>
      <c r="H143" s="173"/>
      <c r="I143" s="174"/>
      <c r="J143" s="12">
        <v>0</v>
      </c>
      <c r="K143" s="12"/>
      <c r="L143" s="82">
        <f>+K143+J143</f>
        <v>0</v>
      </c>
      <c r="M143" s="12">
        <f>+J143</f>
        <v>0</v>
      </c>
      <c r="N143" s="12"/>
      <c r="O143" s="82">
        <f t="shared" si="27"/>
        <v>0</v>
      </c>
      <c r="P143" s="12">
        <f t="shared" si="28"/>
        <v>0</v>
      </c>
      <c r="Q143" s="12"/>
      <c r="R143" s="82">
        <f t="shared" si="29"/>
        <v>0</v>
      </c>
      <c r="S143" s="167"/>
      <c r="T143" s="155"/>
    </row>
    <row r="144" spans="1:20" ht="22.5" customHeight="1">
      <c r="A144" s="53" t="s">
        <v>68</v>
      </c>
      <c r="B144" s="8"/>
      <c r="C144" s="9" t="s">
        <v>33</v>
      </c>
      <c r="D144" s="107" t="s">
        <v>101</v>
      </c>
      <c r="E144" s="14" t="s">
        <v>102</v>
      </c>
      <c r="F144" s="14"/>
      <c r="G144" s="15">
        <v>38547</v>
      </c>
      <c r="H144" s="15">
        <v>38547</v>
      </c>
      <c r="I144" s="15" t="s">
        <v>103</v>
      </c>
      <c r="J144" s="61">
        <v>2000</v>
      </c>
      <c r="K144" s="61"/>
      <c r="L144" s="109">
        <f>SUM(J144:K144)</f>
        <v>2000</v>
      </c>
      <c r="M144" s="12">
        <v>2000</v>
      </c>
      <c r="N144" s="12"/>
      <c r="O144" s="82">
        <f t="shared" si="27"/>
        <v>2000</v>
      </c>
      <c r="P144" s="12">
        <f t="shared" si="28"/>
        <v>1300</v>
      </c>
      <c r="Q144" s="12"/>
      <c r="R144" s="82">
        <f t="shared" si="29"/>
        <v>1300</v>
      </c>
      <c r="S144" s="153"/>
      <c r="T144" s="154"/>
    </row>
    <row r="145" spans="1:20" s="22" customFormat="1" ht="22.5">
      <c r="A145" s="53" t="s">
        <v>68</v>
      </c>
      <c r="B145" s="60"/>
      <c r="C145" s="9" t="s">
        <v>51</v>
      </c>
      <c r="D145" s="107" t="s">
        <v>70</v>
      </c>
      <c r="E145" s="14" t="s">
        <v>71</v>
      </c>
      <c r="F145" s="14">
        <v>5</v>
      </c>
      <c r="G145" s="108">
        <v>38418</v>
      </c>
      <c r="H145" s="108">
        <v>38457</v>
      </c>
      <c r="I145" s="15" t="s">
        <v>72</v>
      </c>
      <c r="J145" s="61">
        <v>3000</v>
      </c>
      <c r="K145" s="61">
        <f>J145*20/100</f>
        <v>600</v>
      </c>
      <c r="L145" s="109">
        <f>SUM(J145:K145)</f>
        <v>3600</v>
      </c>
      <c r="M145" s="24">
        <v>3000</v>
      </c>
      <c r="N145" s="24"/>
      <c r="O145" s="82">
        <f t="shared" si="27"/>
        <v>3000</v>
      </c>
      <c r="P145" s="12">
        <f t="shared" si="28"/>
        <v>1950</v>
      </c>
      <c r="Q145" s="12"/>
      <c r="R145" s="82">
        <f t="shared" si="29"/>
        <v>1950</v>
      </c>
      <c r="S145" s="144"/>
      <c r="T145" s="145"/>
    </row>
    <row r="146" spans="1:20" ht="22.5" customHeight="1">
      <c r="A146" s="53" t="s">
        <v>68</v>
      </c>
      <c r="B146" s="8"/>
      <c r="C146" s="9" t="s">
        <v>33</v>
      </c>
      <c r="D146" s="124" t="s">
        <v>104</v>
      </c>
      <c r="E146" s="14" t="s">
        <v>102</v>
      </c>
      <c r="F146" s="14"/>
      <c r="G146" s="15">
        <v>38656</v>
      </c>
      <c r="H146" s="15">
        <v>38656</v>
      </c>
      <c r="I146" s="15" t="s">
        <v>103</v>
      </c>
      <c r="J146" s="61">
        <v>1500</v>
      </c>
      <c r="K146" s="61"/>
      <c r="L146" s="109">
        <f>SUM(J146:K146)</f>
        <v>1500</v>
      </c>
      <c r="M146" s="12">
        <v>1500</v>
      </c>
      <c r="N146" s="12"/>
      <c r="O146" s="82">
        <f t="shared" si="27"/>
        <v>1500</v>
      </c>
      <c r="P146" s="12">
        <f t="shared" si="28"/>
        <v>975</v>
      </c>
      <c r="Q146" s="12"/>
      <c r="R146" s="82">
        <f t="shared" si="29"/>
        <v>975</v>
      </c>
      <c r="S146" s="153"/>
      <c r="T146" s="154"/>
    </row>
    <row r="147" spans="1:20" ht="21.75" customHeight="1">
      <c r="A147" s="53" t="s">
        <v>68</v>
      </c>
      <c r="B147" s="8"/>
      <c r="C147" s="9" t="s">
        <v>33</v>
      </c>
      <c r="D147" s="14" t="s">
        <v>105</v>
      </c>
      <c r="E147" s="14" t="s">
        <v>106</v>
      </c>
      <c r="F147" s="14" t="s">
        <v>217</v>
      </c>
      <c r="G147" s="15"/>
      <c r="H147" s="15">
        <v>38656</v>
      </c>
      <c r="I147" s="15" t="s">
        <v>103</v>
      </c>
      <c r="J147" s="61">
        <v>253.31</v>
      </c>
      <c r="K147" s="61"/>
      <c r="L147" s="109">
        <f aca="true" t="shared" si="30" ref="L147:L172">SUM(J147:K147)</f>
        <v>253.31</v>
      </c>
      <c r="M147" s="61"/>
      <c r="N147" s="12"/>
      <c r="O147" s="82">
        <f aca="true" t="shared" si="31" ref="O147:O177">+N147+M147</f>
        <v>0</v>
      </c>
      <c r="P147" s="12">
        <f aca="true" t="shared" si="32" ref="P147:P177">M147*0.65</f>
        <v>0</v>
      </c>
      <c r="Q147" s="12"/>
      <c r="R147" s="82">
        <f aca="true" t="shared" si="33" ref="R147:R177">+Q147+P147</f>
        <v>0</v>
      </c>
      <c r="S147" s="153" t="s">
        <v>161</v>
      </c>
      <c r="T147" s="154"/>
    </row>
    <row r="148" spans="1:20" ht="12" customHeight="1">
      <c r="A148" s="53" t="s">
        <v>68</v>
      </c>
      <c r="B148" s="8"/>
      <c r="C148" s="9" t="s">
        <v>33</v>
      </c>
      <c r="D148" s="124" t="s">
        <v>107</v>
      </c>
      <c r="E148" s="14" t="s">
        <v>108</v>
      </c>
      <c r="F148" s="138" t="s">
        <v>109</v>
      </c>
      <c r="G148" s="15">
        <v>38369</v>
      </c>
      <c r="H148" s="15">
        <v>38393</v>
      </c>
      <c r="I148" s="15" t="s">
        <v>218</v>
      </c>
      <c r="J148" s="61">
        <v>44.18</v>
      </c>
      <c r="K148" s="61">
        <v>8.84</v>
      </c>
      <c r="L148" s="109">
        <f t="shared" si="30"/>
        <v>53.019999999999996</v>
      </c>
      <c r="M148" s="12">
        <v>44.18</v>
      </c>
      <c r="N148" s="12"/>
      <c r="O148" s="82">
        <f t="shared" si="31"/>
        <v>44.18</v>
      </c>
      <c r="P148" s="12">
        <f t="shared" si="32"/>
        <v>28.717000000000002</v>
      </c>
      <c r="Q148" s="12"/>
      <c r="R148" s="82">
        <f t="shared" si="33"/>
        <v>28.717000000000002</v>
      </c>
      <c r="S148" s="153"/>
      <c r="T148" s="154"/>
    </row>
    <row r="149" spans="1:20" ht="15.75" customHeight="1">
      <c r="A149" s="53" t="s">
        <v>68</v>
      </c>
      <c r="B149" s="8"/>
      <c r="C149" s="9" t="s">
        <v>33</v>
      </c>
      <c r="D149" s="124" t="s">
        <v>111</v>
      </c>
      <c r="E149" s="14" t="s">
        <v>108</v>
      </c>
      <c r="F149" s="125" t="s">
        <v>112</v>
      </c>
      <c r="G149" s="15">
        <v>38425</v>
      </c>
      <c r="H149" s="15">
        <v>38453</v>
      </c>
      <c r="I149" s="15" t="s">
        <v>218</v>
      </c>
      <c r="J149" s="61">
        <v>501.51</v>
      </c>
      <c r="K149" s="61">
        <v>100.3</v>
      </c>
      <c r="L149" s="109">
        <f t="shared" si="30"/>
        <v>601.81</v>
      </c>
      <c r="M149" s="12">
        <v>501.51</v>
      </c>
      <c r="N149" s="12"/>
      <c r="O149" s="82">
        <f t="shared" si="31"/>
        <v>501.51</v>
      </c>
      <c r="P149" s="12">
        <f t="shared" si="32"/>
        <v>325.9815</v>
      </c>
      <c r="Q149" s="12"/>
      <c r="R149" s="82">
        <f t="shared" si="33"/>
        <v>325.9815</v>
      </c>
      <c r="S149" s="153"/>
      <c r="T149" s="154"/>
    </row>
    <row r="150" spans="1:20" ht="22.5" customHeight="1">
      <c r="A150" s="53" t="s">
        <v>68</v>
      </c>
      <c r="B150" s="8"/>
      <c r="C150" s="9" t="s">
        <v>33</v>
      </c>
      <c r="D150" s="124" t="s">
        <v>113</v>
      </c>
      <c r="E150" s="14" t="s">
        <v>114</v>
      </c>
      <c r="F150" s="125" t="s">
        <v>115</v>
      </c>
      <c r="G150" s="15">
        <v>38390</v>
      </c>
      <c r="H150" s="15">
        <v>38426</v>
      </c>
      <c r="I150" s="15" t="s">
        <v>218</v>
      </c>
      <c r="J150" s="61">
        <v>419.2</v>
      </c>
      <c r="K150" s="61">
        <v>83.84</v>
      </c>
      <c r="L150" s="109">
        <f t="shared" si="30"/>
        <v>503.03999999999996</v>
      </c>
      <c r="M150" s="12">
        <v>419.2</v>
      </c>
      <c r="N150" s="12"/>
      <c r="O150" s="82">
        <f t="shared" si="31"/>
        <v>419.2</v>
      </c>
      <c r="P150" s="12">
        <f t="shared" si="32"/>
        <v>272.48</v>
      </c>
      <c r="Q150" s="12"/>
      <c r="R150" s="82">
        <f t="shared" si="33"/>
        <v>272.48</v>
      </c>
      <c r="S150" s="153"/>
      <c r="T150" s="154"/>
    </row>
    <row r="151" spans="1:20" ht="22.5" customHeight="1">
      <c r="A151" s="53" t="s">
        <v>68</v>
      </c>
      <c r="B151" s="8"/>
      <c r="C151" s="9" t="s">
        <v>33</v>
      </c>
      <c r="D151" s="124" t="s">
        <v>116</v>
      </c>
      <c r="E151" s="14" t="s">
        <v>114</v>
      </c>
      <c r="F151" s="125" t="s">
        <v>117</v>
      </c>
      <c r="G151" s="15">
        <v>38448</v>
      </c>
      <c r="H151" s="15">
        <v>38488</v>
      </c>
      <c r="I151" s="15" t="s">
        <v>218</v>
      </c>
      <c r="J151" s="61">
        <v>368.77</v>
      </c>
      <c r="K151" s="61">
        <v>73.75</v>
      </c>
      <c r="L151" s="109">
        <f t="shared" si="30"/>
        <v>442.52</v>
      </c>
      <c r="M151" s="12">
        <v>368.77</v>
      </c>
      <c r="N151" s="12"/>
      <c r="O151" s="82">
        <f t="shared" si="31"/>
        <v>368.77</v>
      </c>
      <c r="P151" s="12">
        <f t="shared" si="32"/>
        <v>239.7005</v>
      </c>
      <c r="Q151" s="12"/>
      <c r="R151" s="82">
        <f t="shared" si="33"/>
        <v>239.7005</v>
      </c>
      <c r="S151" s="153"/>
      <c r="T151" s="154"/>
    </row>
    <row r="152" spans="1:20" ht="12.75" customHeight="1">
      <c r="A152" s="53" t="s">
        <v>68</v>
      </c>
      <c r="B152" s="8"/>
      <c r="C152" s="9" t="s">
        <v>33</v>
      </c>
      <c r="D152" s="124" t="s">
        <v>118</v>
      </c>
      <c r="E152" s="14" t="s">
        <v>108</v>
      </c>
      <c r="F152" s="125" t="s">
        <v>119</v>
      </c>
      <c r="G152" s="15">
        <v>38485</v>
      </c>
      <c r="H152" s="15">
        <v>38513</v>
      </c>
      <c r="I152" s="15" t="s">
        <v>218</v>
      </c>
      <c r="J152" s="61">
        <v>56.19</v>
      </c>
      <c r="K152" s="61">
        <v>11.24</v>
      </c>
      <c r="L152" s="109">
        <f t="shared" si="30"/>
        <v>67.42999999999999</v>
      </c>
      <c r="M152" s="12">
        <v>56.19</v>
      </c>
      <c r="N152" s="12"/>
      <c r="O152" s="82">
        <f t="shared" si="31"/>
        <v>56.19</v>
      </c>
      <c r="P152" s="12">
        <f t="shared" si="32"/>
        <v>36.5235</v>
      </c>
      <c r="Q152" s="12"/>
      <c r="R152" s="82">
        <f t="shared" si="33"/>
        <v>36.5235</v>
      </c>
      <c r="S152" s="153"/>
      <c r="T152" s="154"/>
    </row>
    <row r="153" spans="1:20" ht="22.5" customHeight="1">
      <c r="A153" s="53" t="s">
        <v>68</v>
      </c>
      <c r="B153" s="8"/>
      <c r="C153" s="9" t="s">
        <v>33</v>
      </c>
      <c r="D153" s="124" t="s">
        <v>120</v>
      </c>
      <c r="E153" s="14" t="s">
        <v>114</v>
      </c>
      <c r="F153" s="125" t="s">
        <v>121</v>
      </c>
      <c r="G153" s="15">
        <v>38510</v>
      </c>
      <c r="H153" s="15">
        <v>38548</v>
      </c>
      <c r="I153" s="15" t="s">
        <v>218</v>
      </c>
      <c r="J153" s="61">
        <v>314.63</v>
      </c>
      <c r="K153" s="61">
        <v>62.93</v>
      </c>
      <c r="L153" s="109">
        <f t="shared" si="30"/>
        <v>377.56</v>
      </c>
      <c r="M153" s="12">
        <v>314.63</v>
      </c>
      <c r="N153" s="12"/>
      <c r="O153" s="82">
        <f t="shared" si="31"/>
        <v>314.63</v>
      </c>
      <c r="P153" s="12">
        <f t="shared" si="32"/>
        <v>204.5095</v>
      </c>
      <c r="Q153" s="12"/>
      <c r="R153" s="82">
        <f t="shared" si="33"/>
        <v>204.5095</v>
      </c>
      <c r="S153" s="153"/>
      <c r="T153" s="154"/>
    </row>
    <row r="154" spans="1:20" ht="18" customHeight="1">
      <c r="A154" s="53" t="s">
        <v>68</v>
      </c>
      <c r="B154" s="8"/>
      <c r="C154" s="9" t="s">
        <v>33</v>
      </c>
      <c r="D154" s="124" t="s">
        <v>122</v>
      </c>
      <c r="E154" s="14" t="s">
        <v>108</v>
      </c>
      <c r="F154" s="125" t="s">
        <v>123</v>
      </c>
      <c r="G154" s="15">
        <v>38547</v>
      </c>
      <c r="H154" s="15">
        <v>38574</v>
      </c>
      <c r="I154" s="15" t="s">
        <v>218</v>
      </c>
      <c r="J154" s="61">
        <v>36.49</v>
      </c>
      <c r="K154" s="61">
        <v>7.3</v>
      </c>
      <c r="L154" s="109">
        <f t="shared" si="30"/>
        <v>43.79</v>
      </c>
      <c r="M154" s="12">
        <v>36.49</v>
      </c>
      <c r="N154" s="12"/>
      <c r="O154" s="82">
        <f t="shared" si="31"/>
        <v>36.49</v>
      </c>
      <c r="P154" s="12">
        <f t="shared" si="32"/>
        <v>23.718500000000002</v>
      </c>
      <c r="Q154" s="12"/>
      <c r="R154" s="82">
        <f t="shared" si="33"/>
        <v>23.718500000000002</v>
      </c>
      <c r="S154" s="153"/>
      <c r="T154" s="154"/>
    </row>
    <row r="155" spans="1:20" ht="22.5" customHeight="1">
      <c r="A155" s="53" t="s">
        <v>68</v>
      </c>
      <c r="B155" s="8"/>
      <c r="C155" s="9" t="s">
        <v>33</v>
      </c>
      <c r="D155" s="124" t="s">
        <v>124</v>
      </c>
      <c r="E155" s="14" t="s">
        <v>114</v>
      </c>
      <c r="F155" s="125" t="s">
        <v>125</v>
      </c>
      <c r="G155" s="15">
        <v>38569</v>
      </c>
      <c r="H155" s="15">
        <v>38610</v>
      </c>
      <c r="I155" s="15" t="s">
        <v>218</v>
      </c>
      <c r="J155" s="61">
        <v>253.08</v>
      </c>
      <c r="K155" s="61">
        <v>50.62</v>
      </c>
      <c r="L155" s="109">
        <f t="shared" si="30"/>
        <v>303.7</v>
      </c>
      <c r="M155" s="12">
        <v>253.08</v>
      </c>
      <c r="N155" s="12"/>
      <c r="O155" s="82">
        <f t="shared" si="31"/>
        <v>253.08</v>
      </c>
      <c r="P155" s="12">
        <f t="shared" si="32"/>
        <v>164.502</v>
      </c>
      <c r="Q155" s="12"/>
      <c r="R155" s="82">
        <f t="shared" si="33"/>
        <v>164.502</v>
      </c>
      <c r="S155" s="153"/>
      <c r="T155" s="154"/>
    </row>
    <row r="156" spans="1:20" ht="22.5" customHeight="1">
      <c r="A156" s="53" t="s">
        <v>68</v>
      </c>
      <c r="B156" s="8"/>
      <c r="C156" s="9" t="s">
        <v>33</v>
      </c>
      <c r="D156" s="124" t="s">
        <v>126</v>
      </c>
      <c r="E156" s="14" t="s">
        <v>108</v>
      </c>
      <c r="F156" s="125" t="s">
        <v>127</v>
      </c>
      <c r="G156" s="15">
        <v>38609</v>
      </c>
      <c r="H156" s="15">
        <v>38635</v>
      </c>
      <c r="I156" s="15" t="s">
        <v>218</v>
      </c>
      <c r="J156" s="61">
        <v>48.14</v>
      </c>
      <c r="K156" s="61">
        <v>9.63</v>
      </c>
      <c r="L156" s="109">
        <f t="shared" si="30"/>
        <v>57.77</v>
      </c>
      <c r="M156" s="12">
        <v>48.14</v>
      </c>
      <c r="N156" s="12"/>
      <c r="O156" s="82">
        <f t="shared" si="31"/>
        <v>48.14</v>
      </c>
      <c r="P156" s="12">
        <f t="shared" si="32"/>
        <v>31.291</v>
      </c>
      <c r="Q156" s="12"/>
      <c r="R156" s="82">
        <f t="shared" si="33"/>
        <v>31.291</v>
      </c>
      <c r="S156" s="153"/>
      <c r="T156" s="154"/>
    </row>
    <row r="157" spans="1:20" ht="22.5" customHeight="1">
      <c r="A157" s="53" t="s">
        <v>68</v>
      </c>
      <c r="B157" s="8"/>
      <c r="C157" s="9" t="s">
        <v>33</v>
      </c>
      <c r="D157" s="124" t="s">
        <v>128</v>
      </c>
      <c r="E157" s="14" t="s">
        <v>129</v>
      </c>
      <c r="F157" s="125">
        <v>6</v>
      </c>
      <c r="G157" s="15">
        <v>38393</v>
      </c>
      <c r="H157" s="15">
        <v>38393</v>
      </c>
      <c r="I157" s="15" t="s">
        <v>103</v>
      </c>
      <c r="J157" s="61">
        <v>31.44</v>
      </c>
      <c r="K157" s="61">
        <v>6.29</v>
      </c>
      <c r="L157" s="109">
        <f t="shared" si="30"/>
        <v>37.730000000000004</v>
      </c>
      <c r="M157" s="12"/>
      <c r="N157" s="12"/>
      <c r="O157" s="82">
        <f t="shared" si="31"/>
        <v>0</v>
      </c>
      <c r="P157" s="12"/>
      <c r="Q157" s="12"/>
      <c r="R157" s="82">
        <f t="shared" si="33"/>
        <v>0</v>
      </c>
      <c r="S157" s="148" t="s">
        <v>162</v>
      </c>
      <c r="T157" s="149"/>
    </row>
    <row r="158" spans="1:20" ht="22.5" customHeight="1">
      <c r="A158" s="53" t="s">
        <v>68</v>
      </c>
      <c r="B158" s="8"/>
      <c r="C158" s="9" t="s">
        <v>33</v>
      </c>
      <c r="D158" s="124" t="s">
        <v>128</v>
      </c>
      <c r="E158" s="14" t="s">
        <v>44</v>
      </c>
      <c r="F158" s="125">
        <v>144</v>
      </c>
      <c r="G158" s="15">
        <v>38462</v>
      </c>
      <c r="H158" s="15">
        <v>38462</v>
      </c>
      <c r="I158" s="15" t="s">
        <v>103</v>
      </c>
      <c r="J158" s="61">
        <v>22.64</v>
      </c>
      <c r="K158" s="61">
        <v>4.53</v>
      </c>
      <c r="L158" s="109">
        <f t="shared" si="30"/>
        <v>27.17</v>
      </c>
      <c r="M158" s="12"/>
      <c r="N158" s="12"/>
      <c r="O158" s="82">
        <f t="shared" si="31"/>
        <v>0</v>
      </c>
      <c r="P158" s="12">
        <f t="shared" si="32"/>
        <v>0</v>
      </c>
      <c r="Q158" s="12"/>
      <c r="R158" s="82">
        <f t="shared" si="33"/>
        <v>0</v>
      </c>
      <c r="S158" s="148" t="s">
        <v>162</v>
      </c>
      <c r="T158" s="149"/>
    </row>
    <row r="159" spans="1:20" ht="22.5" customHeight="1">
      <c r="A159" s="53" t="s">
        <v>68</v>
      </c>
      <c r="B159" s="8"/>
      <c r="C159" s="9" t="s">
        <v>33</v>
      </c>
      <c r="D159" s="124" t="s">
        <v>128</v>
      </c>
      <c r="E159" s="14" t="s">
        <v>44</v>
      </c>
      <c r="F159" s="125">
        <v>157</v>
      </c>
      <c r="G159" s="15">
        <v>38469</v>
      </c>
      <c r="H159" s="15">
        <v>38469</v>
      </c>
      <c r="I159" s="15" t="s">
        <v>103</v>
      </c>
      <c r="J159" s="61">
        <v>230.29</v>
      </c>
      <c r="K159" s="61">
        <v>46.08</v>
      </c>
      <c r="L159" s="109">
        <f t="shared" si="30"/>
        <v>276.37</v>
      </c>
      <c r="M159" s="12"/>
      <c r="N159" s="12"/>
      <c r="O159" s="82">
        <f t="shared" si="31"/>
        <v>0</v>
      </c>
      <c r="P159" s="12">
        <f t="shared" si="32"/>
        <v>0</v>
      </c>
      <c r="Q159" s="12"/>
      <c r="R159" s="82">
        <f t="shared" si="33"/>
        <v>0</v>
      </c>
      <c r="S159" s="148" t="s">
        <v>162</v>
      </c>
      <c r="T159" s="149"/>
    </row>
    <row r="160" spans="1:20" ht="22.5" customHeight="1">
      <c r="A160" s="53" t="s">
        <v>68</v>
      </c>
      <c r="B160" s="8"/>
      <c r="C160" s="9" t="s">
        <v>33</v>
      </c>
      <c r="D160" s="124" t="s">
        <v>128</v>
      </c>
      <c r="E160" s="14" t="s">
        <v>130</v>
      </c>
      <c r="F160" s="125">
        <v>226</v>
      </c>
      <c r="G160" s="15">
        <v>38516</v>
      </c>
      <c r="H160" s="15">
        <v>38516</v>
      </c>
      <c r="I160" s="15" t="s">
        <v>103</v>
      </c>
      <c r="J160" s="61">
        <v>800</v>
      </c>
      <c r="K160" s="61">
        <v>160</v>
      </c>
      <c r="L160" s="109">
        <f t="shared" si="30"/>
        <v>960</v>
      </c>
      <c r="M160" s="12">
        <v>800</v>
      </c>
      <c r="N160" s="12"/>
      <c r="O160" s="82">
        <f t="shared" si="31"/>
        <v>800</v>
      </c>
      <c r="P160" s="12">
        <f t="shared" si="32"/>
        <v>520</v>
      </c>
      <c r="Q160" s="12"/>
      <c r="R160" s="82">
        <f t="shared" si="33"/>
        <v>520</v>
      </c>
      <c r="S160" s="153"/>
      <c r="T160" s="154"/>
    </row>
    <row r="161" spans="1:20" ht="22.5" customHeight="1">
      <c r="A161" s="53" t="s">
        <v>68</v>
      </c>
      <c r="B161" s="8"/>
      <c r="C161" s="9" t="s">
        <v>33</v>
      </c>
      <c r="D161" s="124" t="s">
        <v>128</v>
      </c>
      <c r="E161" s="14" t="s">
        <v>44</v>
      </c>
      <c r="F161" s="125">
        <v>231</v>
      </c>
      <c r="G161" s="15">
        <v>38524</v>
      </c>
      <c r="H161" s="15">
        <v>38524</v>
      </c>
      <c r="I161" s="15" t="s">
        <v>103</v>
      </c>
      <c r="J161" s="61">
        <v>36.36</v>
      </c>
      <c r="K161" s="61">
        <v>7.27</v>
      </c>
      <c r="L161" s="109">
        <f t="shared" si="30"/>
        <v>43.629999999999995</v>
      </c>
      <c r="M161" s="12"/>
      <c r="N161" s="12"/>
      <c r="O161" s="82">
        <f t="shared" si="31"/>
        <v>0</v>
      </c>
      <c r="P161" s="12">
        <f t="shared" si="32"/>
        <v>0</v>
      </c>
      <c r="Q161" s="12"/>
      <c r="R161" s="82">
        <f t="shared" si="33"/>
        <v>0</v>
      </c>
      <c r="S161" s="148" t="s">
        <v>162</v>
      </c>
      <c r="T161" s="149"/>
    </row>
    <row r="162" spans="1:20" ht="22.5" customHeight="1">
      <c r="A162" s="53" t="s">
        <v>68</v>
      </c>
      <c r="B162" s="8"/>
      <c r="C162" s="9" t="s">
        <v>33</v>
      </c>
      <c r="D162" s="124" t="s">
        <v>128</v>
      </c>
      <c r="E162" s="14" t="s">
        <v>131</v>
      </c>
      <c r="F162" s="125">
        <v>335</v>
      </c>
      <c r="G162" s="15">
        <v>38525</v>
      </c>
      <c r="H162" s="15">
        <v>38525</v>
      </c>
      <c r="I162" s="15" t="s">
        <v>103</v>
      </c>
      <c r="J162" s="61">
        <v>130</v>
      </c>
      <c r="K162" s="61">
        <v>26</v>
      </c>
      <c r="L162" s="109">
        <f t="shared" si="30"/>
        <v>156</v>
      </c>
      <c r="M162" s="12"/>
      <c r="N162" s="12"/>
      <c r="O162" s="82">
        <f t="shared" si="31"/>
        <v>0</v>
      </c>
      <c r="P162" s="12">
        <f t="shared" si="32"/>
        <v>0</v>
      </c>
      <c r="Q162" s="12"/>
      <c r="R162" s="82">
        <f t="shared" si="33"/>
        <v>0</v>
      </c>
      <c r="S162" s="148" t="s">
        <v>162</v>
      </c>
      <c r="T162" s="149"/>
    </row>
    <row r="163" spans="1:20" ht="22.5" customHeight="1">
      <c r="A163" s="53" t="s">
        <v>68</v>
      </c>
      <c r="B163" s="8"/>
      <c r="C163" s="9" t="s">
        <v>33</v>
      </c>
      <c r="D163" s="124" t="s">
        <v>128</v>
      </c>
      <c r="E163" s="14" t="s">
        <v>44</v>
      </c>
      <c r="F163" s="125">
        <v>296</v>
      </c>
      <c r="G163" s="15">
        <v>38602</v>
      </c>
      <c r="H163" s="15">
        <v>38602</v>
      </c>
      <c r="I163" s="15" t="s">
        <v>103</v>
      </c>
      <c r="J163" s="61">
        <v>71.1</v>
      </c>
      <c r="K163" s="61">
        <v>14.22</v>
      </c>
      <c r="L163" s="109">
        <f t="shared" si="30"/>
        <v>85.32</v>
      </c>
      <c r="M163" s="12"/>
      <c r="N163" s="12"/>
      <c r="O163" s="82">
        <f t="shared" si="31"/>
        <v>0</v>
      </c>
      <c r="P163" s="12">
        <f t="shared" si="32"/>
        <v>0</v>
      </c>
      <c r="Q163" s="12"/>
      <c r="R163" s="82">
        <f t="shared" si="33"/>
        <v>0</v>
      </c>
      <c r="S163" s="148" t="s">
        <v>162</v>
      </c>
      <c r="T163" s="149"/>
    </row>
    <row r="164" spans="1:20" ht="22.5" customHeight="1">
      <c r="A164" s="53" t="s">
        <v>68</v>
      </c>
      <c r="B164" s="8"/>
      <c r="C164" s="9" t="s">
        <v>33</v>
      </c>
      <c r="D164" s="124" t="s">
        <v>132</v>
      </c>
      <c r="E164" s="14" t="s">
        <v>133</v>
      </c>
      <c r="F164" s="125"/>
      <c r="G164" s="15">
        <v>38542</v>
      </c>
      <c r="H164" s="15">
        <v>38542</v>
      </c>
      <c r="I164" s="15" t="s">
        <v>103</v>
      </c>
      <c r="J164" s="61">
        <v>77</v>
      </c>
      <c r="K164" s="61">
        <v>0</v>
      </c>
      <c r="L164" s="109">
        <f t="shared" si="30"/>
        <v>77</v>
      </c>
      <c r="M164" s="12"/>
      <c r="N164" s="12"/>
      <c r="O164" s="82">
        <f t="shared" si="31"/>
        <v>0</v>
      </c>
      <c r="P164" s="12">
        <f t="shared" si="32"/>
        <v>0</v>
      </c>
      <c r="Q164" s="12"/>
      <c r="R164" s="82">
        <f t="shared" si="33"/>
        <v>0</v>
      </c>
      <c r="S164" s="148" t="s">
        <v>162</v>
      </c>
      <c r="T164" s="149"/>
    </row>
    <row r="165" spans="1:20" ht="22.5" customHeight="1">
      <c r="A165" s="53" t="s">
        <v>68</v>
      </c>
      <c r="B165" s="8"/>
      <c r="C165" s="9" t="s">
        <v>33</v>
      </c>
      <c r="D165" s="124" t="s">
        <v>132</v>
      </c>
      <c r="E165" s="14" t="s">
        <v>134</v>
      </c>
      <c r="F165" s="125">
        <v>2</v>
      </c>
      <c r="G165" s="15">
        <v>38376</v>
      </c>
      <c r="H165" s="15">
        <v>38376</v>
      </c>
      <c r="I165" s="15" t="s">
        <v>103</v>
      </c>
      <c r="J165" s="61">
        <v>120</v>
      </c>
      <c r="K165" s="61">
        <v>24</v>
      </c>
      <c r="L165" s="109">
        <f t="shared" si="30"/>
        <v>144</v>
      </c>
      <c r="M165" s="12"/>
      <c r="N165" s="12"/>
      <c r="O165" s="82">
        <f t="shared" si="31"/>
        <v>0</v>
      </c>
      <c r="P165" s="12">
        <f t="shared" si="32"/>
        <v>0</v>
      </c>
      <c r="Q165" s="12"/>
      <c r="R165" s="82">
        <f t="shared" si="33"/>
        <v>0</v>
      </c>
      <c r="S165" s="148" t="s">
        <v>162</v>
      </c>
      <c r="T165" s="149"/>
    </row>
    <row r="166" spans="1:20" ht="22.5" customHeight="1">
      <c r="A166" s="53" t="s">
        <v>68</v>
      </c>
      <c r="B166" s="8"/>
      <c r="C166" s="9" t="s">
        <v>33</v>
      </c>
      <c r="D166" s="124" t="s">
        <v>132</v>
      </c>
      <c r="E166" s="14" t="s">
        <v>135</v>
      </c>
      <c r="F166" s="125">
        <v>170</v>
      </c>
      <c r="G166" s="15">
        <v>38420</v>
      </c>
      <c r="H166" s="15">
        <v>38420</v>
      </c>
      <c r="I166" s="15" t="s">
        <v>103</v>
      </c>
      <c r="J166" s="61">
        <v>140</v>
      </c>
      <c r="K166" s="61">
        <v>28</v>
      </c>
      <c r="L166" s="109">
        <f t="shared" si="30"/>
        <v>168</v>
      </c>
      <c r="M166" s="12"/>
      <c r="N166" s="12"/>
      <c r="O166" s="82">
        <f t="shared" si="31"/>
        <v>0</v>
      </c>
      <c r="P166" s="12">
        <f t="shared" si="32"/>
        <v>0</v>
      </c>
      <c r="Q166" s="12"/>
      <c r="R166" s="82">
        <f t="shared" si="33"/>
        <v>0</v>
      </c>
      <c r="S166" s="148" t="s">
        <v>162</v>
      </c>
      <c r="T166" s="149"/>
    </row>
    <row r="167" spans="1:20" ht="22.5" customHeight="1">
      <c r="A167" s="53" t="s">
        <v>68</v>
      </c>
      <c r="B167" s="8"/>
      <c r="C167" s="9" t="s">
        <v>33</v>
      </c>
      <c r="D167" s="124" t="s">
        <v>132</v>
      </c>
      <c r="E167" s="14" t="s">
        <v>135</v>
      </c>
      <c r="F167" s="125">
        <v>332</v>
      </c>
      <c r="G167" s="15">
        <v>38511</v>
      </c>
      <c r="H167" s="15">
        <v>38511</v>
      </c>
      <c r="I167" s="15" t="s">
        <v>103</v>
      </c>
      <c r="J167" s="61">
        <v>93</v>
      </c>
      <c r="K167" s="61">
        <v>18.6</v>
      </c>
      <c r="L167" s="109">
        <f t="shared" si="30"/>
        <v>111.6</v>
      </c>
      <c r="M167" s="12"/>
      <c r="N167" s="12"/>
      <c r="O167" s="82">
        <f t="shared" si="31"/>
        <v>0</v>
      </c>
      <c r="P167" s="12">
        <f t="shared" si="32"/>
        <v>0</v>
      </c>
      <c r="Q167" s="12"/>
      <c r="R167" s="82">
        <f t="shared" si="33"/>
        <v>0</v>
      </c>
      <c r="S167" s="148" t="s">
        <v>162</v>
      </c>
      <c r="T167" s="149"/>
    </row>
    <row r="168" spans="1:20" ht="22.5" customHeight="1">
      <c r="A168" s="53" t="s">
        <v>68</v>
      </c>
      <c r="B168" s="8"/>
      <c r="C168" s="9" t="s">
        <v>33</v>
      </c>
      <c r="D168" s="124" t="s">
        <v>132</v>
      </c>
      <c r="E168" s="14" t="s">
        <v>136</v>
      </c>
      <c r="F168" s="125">
        <v>2</v>
      </c>
      <c r="G168" s="15">
        <v>38446</v>
      </c>
      <c r="H168" s="15">
        <v>38446</v>
      </c>
      <c r="I168" s="15" t="s">
        <v>103</v>
      </c>
      <c r="J168" s="61">
        <v>250</v>
      </c>
      <c r="K168" s="61">
        <v>37.5</v>
      </c>
      <c r="L168" s="109">
        <f t="shared" si="30"/>
        <v>287.5</v>
      </c>
      <c r="M168" s="12"/>
      <c r="N168" s="12"/>
      <c r="O168" s="82">
        <f t="shared" si="31"/>
        <v>0</v>
      </c>
      <c r="P168" s="12">
        <f t="shared" si="32"/>
        <v>0</v>
      </c>
      <c r="Q168" s="12"/>
      <c r="R168" s="82">
        <f t="shared" si="33"/>
        <v>0</v>
      </c>
      <c r="S168" s="148" t="s">
        <v>162</v>
      </c>
      <c r="T168" s="149"/>
    </row>
    <row r="169" spans="1:20" ht="22.5" customHeight="1">
      <c r="A169" s="53" t="s">
        <v>68</v>
      </c>
      <c r="B169" s="8"/>
      <c r="C169" s="9" t="s">
        <v>33</v>
      </c>
      <c r="D169" s="124" t="s">
        <v>137</v>
      </c>
      <c r="E169" s="14" t="s">
        <v>138</v>
      </c>
      <c r="F169" s="125" t="s">
        <v>152</v>
      </c>
      <c r="G169" s="15">
        <v>38372</v>
      </c>
      <c r="H169" s="15">
        <v>38392</v>
      </c>
      <c r="I169" s="15" t="s">
        <v>110</v>
      </c>
      <c r="J169" s="61">
        <v>42.96</v>
      </c>
      <c r="K169" s="61">
        <v>8.59</v>
      </c>
      <c r="L169" s="109">
        <f t="shared" si="30"/>
        <v>51.55</v>
      </c>
      <c r="M169" s="12">
        <v>42.96</v>
      </c>
      <c r="N169" s="12"/>
      <c r="O169" s="82">
        <f t="shared" si="31"/>
        <v>42.96</v>
      </c>
      <c r="P169" s="12">
        <f t="shared" si="32"/>
        <v>27.924000000000003</v>
      </c>
      <c r="Q169" s="12"/>
      <c r="R169" s="82">
        <f t="shared" si="33"/>
        <v>27.924000000000003</v>
      </c>
      <c r="S169" s="153"/>
      <c r="T169" s="154"/>
    </row>
    <row r="170" spans="1:22" ht="22.5" customHeight="1">
      <c r="A170" s="53" t="s">
        <v>68</v>
      </c>
      <c r="B170" s="8"/>
      <c r="C170" s="9" t="s">
        <v>33</v>
      </c>
      <c r="D170" s="124" t="s">
        <v>139</v>
      </c>
      <c r="E170" s="14" t="s">
        <v>138</v>
      </c>
      <c r="F170" s="125" t="s">
        <v>151</v>
      </c>
      <c r="G170" s="15">
        <v>38428</v>
      </c>
      <c r="H170" s="15">
        <v>38448</v>
      </c>
      <c r="I170" s="15" t="s">
        <v>110</v>
      </c>
      <c r="J170" s="61">
        <v>47.42</v>
      </c>
      <c r="K170" s="61">
        <v>9.48</v>
      </c>
      <c r="L170" s="109">
        <f t="shared" si="30"/>
        <v>56.900000000000006</v>
      </c>
      <c r="M170" s="12">
        <v>47.42</v>
      </c>
      <c r="N170" s="12"/>
      <c r="O170" s="82">
        <f t="shared" si="31"/>
        <v>47.42</v>
      </c>
      <c r="P170" s="12">
        <f t="shared" si="32"/>
        <v>30.823</v>
      </c>
      <c r="Q170" s="12"/>
      <c r="R170" s="82">
        <f t="shared" si="33"/>
        <v>30.823</v>
      </c>
      <c r="S170" s="153"/>
      <c r="T170" s="154"/>
      <c r="V170" s="139"/>
    </row>
    <row r="171" spans="1:20" ht="22.5" customHeight="1">
      <c r="A171" s="53" t="s">
        <v>68</v>
      </c>
      <c r="B171" s="8"/>
      <c r="C171" s="9" t="s">
        <v>33</v>
      </c>
      <c r="D171" s="124" t="s">
        <v>140</v>
      </c>
      <c r="E171" s="14" t="s">
        <v>138</v>
      </c>
      <c r="F171" s="125" t="s">
        <v>148</v>
      </c>
      <c r="G171" s="15">
        <v>38489</v>
      </c>
      <c r="H171" s="15">
        <v>38502</v>
      </c>
      <c r="I171" s="15" t="s">
        <v>103</v>
      </c>
      <c r="J171" s="61">
        <v>91.6</v>
      </c>
      <c r="K171" s="61">
        <v>18.32</v>
      </c>
      <c r="L171" s="109">
        <f t="shared" si="30"/>
        <v>109.91999999999999</v>
      </c>
      <c r="M171" s="12">
        <v>91.6</v>
      </c>
      <c r="N171" s="12"/>
      <c r="O171" s="82">
        <f t="shared" si="31"/>
        <v>91.6</v>
      </c>
      <c r="P171" s="12">
        <f t="shared" si="32"/>
        <v>59.54</v>
      </c>
      <c r="Q171" s="12"/>
      <c r="R171" s="82">
        <f t="shared" si="33"/>
        <v>59.54</v>
      </c>
      <c r="S171" s="153"/>
      <c r="T171" s="154"/>
    </row>
    <row r="172" spans="1:20" ht="22.5" customHeight="1">
      <c r="A172" s="53" t="s">
        <v>68</v>
      </c>
      <c r="B172" s="8"/>
      <c r="C172" s="9" t="s">
        <v>33</v>
      </c>
      <c r="D172" s="124" t="s">
        <v>141</v>
      </c>
      <c r="E172" s="14" t="s">
        <v>138</v>
      </c>
      <c r="F172" s="125" t="s">
        <v>150</v>
      </c>
      <c r="G172" s="15">
        <v>38551</v>
      </c>
      <c r="H172" s="15">
        <v>38572</v>
      </c>
      <c r="I172" s="15" t="s">
        <v>110</v>
      </c>
      <c r="J172" s="61">
        <v>66.89</v>
      </c>
      <c r="K172" s="61">
        <v>13.38</v>
      </c>
      <c r="L172" s="109">
        <f t="shared" si="30"/>
        <v>80.27</v>
      </c>
      <c r="M172" s="12">
        <v>66.89</v>
      </c>
      <c r="N172" s="12"/>
      <c r="O172" s="82">
        <f t="shared" si="31"/>
        <v>66.89</v>
      </c>
      <c r="P172" s="12">
        <f t="shared" si="32"/>
        <v>43.478500000000004</v>
      </c>
      <c r="Q172" s="12"/>
      <c r="R172" s="82">
        <f t="shared" si="33"/>
        <v>43.478500000000004</v>
      </c>
      <c r="S172" s="153"/>
      <c r="T172" s="154"/>
    </row>
    <row r="173" spans="1:20" ht="22.5" customHeight="1">
      <c r="A173" s="53" t="s">
        <v>68</v>
      </c>
      <c r="B173" s="8"/>
      <c r="C173" s="9" t="s">
        <v>33</v>
      </c>
      <c r="D173" s="124" t="s">
        <v>142</v>
      </c>
      <c r="E173" s="14" t="s">
        <v>138</v>
      </c>
      <c r="F173" s="125" t="s">
        <v>149</v>
      </c>
      <c r="G173" s="15">
        <v>38614</v>
      </c>
      <c r="H173" s="15">
        <v>38635</v>
      </c>
      <c r="I173" s="15" t="s">
        <v>110</v>
      </c>
      <c r="J173" s="61">
        <v>80.84</v>
      </c>
      <c r="K173" s="61">
        <v>16.17</v>
      </c>
      <c r="L173" s="109">
        <f>SUM(J173:K173)</f>
        <v>97.01</v>
      </c>
      <c r="M173" s="12">
        <v>80.84</v>
      </c>
      <c r="N173" s="12"/>
      <c r="O173" s="82">
        <f t="shared" si="31"/>
        <v>80.84</v>
      </c>
      <c r="P173" s="12">
        <f t="shared" si="32"/>
        <v>52.54600000000001</v>
      </c>
      <c r="Q173" s="12"/>
      <c r="R173" s="82">
        <f t="shared" si="33"/>
        <v>52.54600000000001</v>
      </c>
      <c r="S173" s="153"/>
      <c r="T173" s="154"/>
    </row>
    <row r="174" spans="1:20" ht="22.5" customHeight="1">
      <c r="A174" s="53" t="s">
        <v>68</v>
      </c>
      <c r="B174" s="8"/>
      <c r="C174" s="9" t="s">
        <v>33</v>
      </c>
      <c r="D174" s="14" t="s">
        <v>143</v>
      </c>
      <c r="E174" s="14" t="s">
        <v>144</v>
      </c>
      <c r="F174" s="125">
        <v>5023015</v>
      </c>
      <c r="G174" s="15">
        <v>38387</v>
      </c>
      <c r="H174" s="15">
        <v>38409</v>
      </c>
      <c r="I174" s="15" t="s">
        <v>110</v>
      </c>
      <c r="J174" s="61">
        <v>137.18</v>
      </c>
      <c r="K174" s="61">
        <v>27.44</v>
      </c>
      <c r="L174" s="109">
        <f>SUM(J174:K174)</f>
        <v>164.62</v>
      </c>
      <c r="M174" s="12">
        <v>137.18</v>
      </c>
      <c r="N174" s="12"/>
      <c r="O174" s="82">
        <f t="shared" si="31"/>
        <v>137.18</v>
      </c>
      <c r="P174" s="12">
        <f t="shared" si="32"/>
        <v>89.167</v>
      </c>
      <c r="Q174" s="12"/>
      <c r="R174" s="82">
        <f t="shared" si="33"/>
        <v>89.167</v>
      </c>
      <c r="S174" s="153"/>
      <c r="T174" s="154"/>
    </row>
    <row r="175" spans="1:20" ht="22.5" customHeight="1">
      <c r="A175" s="53" t="s">
        <v>68</v>
      </c>
      <c r="B175" s="8"/>
      <c r="C175" s="9" t="s">
        <v>33</v>
      </c>
      <c r="D175" s="14" t="s">
        <v>145</v>
      </c>
      <c r="E175" s="14" t="s">
        <v>144</v>
      </c>
      <c r="F175" s="14">
        <v>5049224</v>
      </c>
      <c r="G175" s="15">
        <v>38429</v>
      </c>
      <c r="H175" s="15">
        <v>38451</v>
      </c>
      <c r="I175" s="15" t="s">
        <v>110</v>
      </c>
      <c r="J175" s="61">
        <v>89.17</v>
      </c>
      <c r="K175" s="61">
        <v>17.83</v>
      </c>
      <c r="L175" s="109">
        <f>SUM(J175:K175)</f>
        <v>107</v>
      </c>
      <c r="M175" s="12">
        <v>89.17</v>
      </c>
      <c r="N175" s="12"/>
      <c r="O175" s="82">
        <f t="shared" si="31"/>
        <v>89.17</v>
      </c>
      <c r="P175" s="12">
        <f t="shared" si="32"/>
        <v>57.9605</v>
      </c>
      <c r="Q175" s="12"/>
      <c r="R175" s="82">
        <f t="shared" si="33"/>
        <v>57.9605</v>
      </c>
      <c r="S175" s="153"/>
      <c r="T175" s="154"/>
    </row>
    <row r="176" spans="1:20" ht="22.5" customHeight="1">
      <c r="A176" s="53" t="s">
        <v>68</v>
      </c>
      <c r="B176" s="8"/>
      <c r="C176" s="9" t="s">
        <v>33</v>
      </c>
      <c r="D176" s="14" t="s">
        <v>146</v>
      </c>
      <c r="E176" s="14" t="s">
        <v>144</v>
      </c>
      <c r="F176" s="14">
        <v>5068752</v>
      </c>
      <c r="G176" s="15">
        <v>38461</v>
      </c>
      <c r="H176" s="15">
        <v>38483</v>
      </c>
      <c r="I176" s="15" t="s">
        <v>103</v>
      </c>
      <c r="J176" s="61">
        <v>63.65</v>
      </c>
      <c r="K176" s="61">
        <v>12.73</v>
      </c>
      <c r="L176" s="109">
        <v>35.9</v>
      </c>
      <c r="M176" s="12">
        <v>63.65</v>
      </c>
      <c r="N176" s="12"/>
      <c r="O176" s="82">
        <f t="shared" si="31"/>
        <v>63.65</v>
      </c>
      <c r="P176" s="12">
        <f t="shared" si="32"/>
        <v>41.3725</v>
      </c>
      <c r="Q176" s="12"/>
      <c r="R176" s="82">
        <f t="shared" si="33"/>
        <v>41.3725</v>
      </c>
      <c r="S176" s="153"/>
      <c r="T176" s="154"/>
    </row>
    <row r="177" spans="1:20" ht="22.5" customHeight="1">
      <c r="A177" s="53" t="s">
        <v>68</v>
      </c>
      <c r="B177" s="8"/>
      <c r="C177" s="9" t="s">
        <v>33</v>
      </c>
      <c r="D177" s="14" t="s">
        <v>147</v>
      </c>
      <c r="E177" s="14" t="s">
        <v>144</v>
      </c>
      <c r="F177" s="126" t="s">
        <v>153</v>
      </c>
      <c r="G177" s="15">
        <v>38516</v>
      </c>
      <c r="H177" s="15">
        <v>38538</v>
      </c>
      <c r="I177" s="15" t="s">
        <v>110</v>
      </c>
      <c r="J177" s="61">
        <v>106.04</v>
      </c>
      <c r="K177" s="61">
        <v>21.21</v>
      </c>
      <c r="L177" s="109">
        <f>SUM(J177:K177)</f>
        <v>127.25</v>
      </c>
      <c r="M177" s="12">
        <v>106.04</v>
      </c>
      <c r="N177" s="12"/>
      <c r="O177" s="82">
        <f t="shared" si="31"/>
        <v>106.04</v>
      </c>
      <c r="P177" s="12">
        <f t="shared" si="32"/>
        <v>68.926</v>
      </c>
      <c r="Q177" s="12"/>
      <c r="R177" s="82">
        <f t="shared" si="33"/>
        <v>68.926</v>
      </c>
      <c r="S177" s="153"/>
      <c r="T177" s="154"/>
    </row>
    <row r="178" spans="1:20" s="22" customFormat="1" ht="21" customHeight="1">
      <c r="A178" s="53" t="s">
        <v>155</v>
      </c>
      <c r="B178" s="60"/>
      <c r="C178" s="172" t="s">
        <v>158</v>
      </c>
      <c r="D178" s="173"/>
      <c r="E178" s="173"/>
      <c r="F178" s="173"/>
      <c r="G178" s="173"/>
      <c r="H178" s="173"/>
      <c r="I178" s="174"/>
      <c r="J178" s="61">
        <f>SUM(J144:J177)-J143</f>
        <v>11523.080000000002</v>
      </c>
      <c r="K178" s="61"/>
      <c r="L178" s="109">
        <f>+K178+J178</f>
        <v>11523.080000000002</v>
      </c>
      <c r="M178" s="61">
        <f>SUM(M144:M177)-M143</f>
        <v>10067.939999999999</v>
      </c>
      <c r="N178" s="61">
        <f>SUM(N144:N177)-N143</f>
        <v>0</v>
      </c>
      <c r="O178" s="82">
        <f>+N178+M178</f>
        <v>10067.939999999999</v>
      </c>
      <c r="P178" s="61">
        <f>SUM(P144:P177)-P143</f>
        <v>6544.161000000003</v>
      </c>
      <c r="Q178" s="61"/>
      <c r="R178" s="82">
        <f>+Q178+P178</f>
        <v>6544.161000000003</v>
      </c>
      <c r="S178" s="153"/>
      <c r="T178" s="154"/>
    </row>
    <row r="179" spans="1:20" ht="22.5" customHeight="1">
      <c r="A179" s="53" t="s">
        <v>155</v>
      </c>
      <c r="B179" s="135" t="s">
        <v>211</v>
      </c>
      <c r="C179" s="9" t="s">
        <v>33</v>
      </c>
      <c r="D179" s="107" t="s">
        <v>178</v>
      </c>
      <c r="E179" s="14" t="s">
        <v>179</v>
      </c>
      <c r="F179" s="14">
        <v>37</v>
      </c>
      <c r="G179" s="15">
        <v>38734</v>
      </c>
      <c r="H179" s="15">
        <v>38807</v>
      </c>
      <c r="I179" s="15" t="s">
        <v>180</v>
      </c>
      <c r="J179" s="61">
        <v>21195</v>
      </c>
      <c r="K179" s="61">
        <v>4239</v>
      </c>
      <c r="L179" s="109">
        <v>25434</v>
      </c>
      <c r="M179" s="12">
        <v>21195</v>
      </c>
      <c r="N179" s="12"/>
      <c r="O179" s="82">
        <f>+N179+M179</f>
        <v>21195</v>
      </c>
      <c r="P179" s="12">
        <f>M179*0.65</f>
        <v>13776.75</v>
      </c>
      <c r="Q179" s="12"/>
      <c r="R179" s="82">
        <f>+Q179+P179</f>
        <v>13776.75</v>
      </c>
      <c r="S179" s="185" t="s">
        <v>208</v>
      </c>
      <c r="T179" s="186"/>
    </row>
    <row r="180" spans="1:20" ht="22.5" customHeight="1">
      <c r="A180" s="53" t="s">
        <v>155</v>
      </c>
      <c r="B180" s="8"/>
      <c r="C180" s="9" t="s">
        <v>33</v>
      </c>
      <c r="D180" s="107" t="s">
        <v>181</v>
      </c>
      <c r="E180" s="14" t="s">
        <v>182</v>
      </c>
      <c r="F180" s="132" t="s">
        <v>183</v>
      </c>
      <c r="G180" s="15">
        <v>38716</v>
      </c>
      <c r="H180" s="15">
        <v>38782</v>
      </c>
      <c r="I180" s="15" t="s">
        <v>184</v>
      </c>
      <c r="J180" s="61">
        <v>1000</v>
      </c>
      <c r="K180" s="61">
        <v>0</v>
      </c>
      <c r="L180" s="109">
        <v>1000</v>
      </c>
      <c r="M180" s="12">
        <v>1000</v>
      </c>
      <c r="N180" s="12"/>
      <c r="O180" s="82">
        <f>+N180+M180</f>
        <v>1000</v>
      </c>
      <c r="P180" s="12">
        <f>M180*0.65</f>
        <v>650</v>
      </c>
      <c r="Q180" s="12"/>
      <c r="R180" s="82">
        <f>+Q180+P180</f>
        <v>650</v>
      </c>
      <c r="S180" s="153"/>
      <c r="T180" s="154"/>
    </row>
    <row r="181" spans="1:20" ht="22.5" customHeight="1">
      <c r="A181" s="53" t="s">
        <v>155</v>
      </c>
      <c r="B181" s="8"/>
      <c r="C181" s="9" t="s">
        <v>33</v>
      </c>
      <c r="D181" s="107" t="s">
        <v>181</v>
      </c>
      <c r="E181" s="14" t="s">
        <v>182</v>
      </c>
      <c r="F181" s="125" t="s">
        <v>183</v>
      </c>
      <c r="G181" s="15">
        <v>38783</v>
      </c>
      <c r="H181" s="15">
        <v>38796</v>
      </c>
      <c r="I181" s="15" t="s">
        <v>184</v>
      </c>
      <c r="J181" s="61">
        <v>1500</v>
      </c>
      <c r="K181" s="61">
        <v>0</v>
      </c>
      <c r="L181" s="109">
        <v>1500</v>
      </c>
      <c r="M181" s="12">
        <v>1500</v>
      </c>
      <c r="N181" s="12"/>
      <c r="O181" s="82">
        <f>+N181+M181</f>
        <v>1500</v>
      </c>
      <c r="P181" s="12">
        <f>M181*0.65</f>
        <v>975</v>
      </c>
      <c r="Q181" s="12"/>
      <c r="R181" s="82">
        <f>+Q181+P181</f>
        <v>975</v>
      </c>
      <c r="S181" s="153"/>
      <c r="T181" s="154"/>
    </row>
    <row r="182" spans="1:20" ht="22.5" customHeight="1">
      <c r="A182" s="53" t="s">
        <v>155</v>
      </c>
      <c r="B182" s="8"/>
      <c r="C182" s="9" t="s">
        <v>33</v>
      </c>
      <c r="D182" s="107" t="s">
        <v>185</v>
      </c>
      <c r="E182" s="14" t="s">
        <v>138</v>
      </c>
      <c r="F182" s="125" t="s">
        <v>200</v>
      </c>
      <c r="G182" s="15">
        <v>38709</v>
      </c>
      <c r="H182" s="15">
        <v>38733</v>
      </c>
      <c r="I182" s="15" t="s">
        <v>186</v>
      </c>
      <c r="J182" s="61">
        <v>138.4</v>
      </c>
      <c r="K182" s="61">
        <v>27.68</v>
      </c>
      <c r="L182" s="109">
        <f>SUM(J182:K182)</f>
        <v>166.08</v>
      </c>
      <c r="M182" s="12">
        <v>138.4</v>
      </c>
      <c r="N182" s="12"/>
      <c r="O182" s="82">
        <f>+N182+M182</f>
        <v>138.4</v>
      </c>
      <c r="P182" s="12">
        <f>M182*0.65</f>
        <v>89.96000000000001</v>
      </c>
      <c r="Q182" s="12"/>
      <c r="R182" s="82">
        <f>+Q182+P182</f>
        <v>89.96000000000001</v>
      </c>
      <c r="S182" s="153"/>
      <c r="T182" s="154"/>
    </row>
    <row r="183" spans="1:20" ht="22.5" customHeight="1">
      <c r="A183" s="53" t="s">
        <v>155</v>
      </c>
      <c r="B183" s="8"/>
      <c r="C183" s="9" t="s">
        <v>33</v>
      </c>
      <c r="D183" s="107" t="s">
        <v>185</v>
      </c>
      <c r="E183" s="14" t="s">
        <v>138</v>
      </c>
      <c r="F183" s="125" t="s">
        <v>201</v>
      </c>
      <c r="G183" s="15">
        <v>38672</v>
      </c>
      <c r="H183" s="15">
        <v>38692</v>
      </c>
      <c r="I183" s="15" t="s">
        <v>186</v>
      </c>
      <c r="J183" s="61">
        <v>63.57</v>
      </c>
      <c r="K183" s="61">
        <v>12.71</v>
      </c>
      <c r="L183" s="109">
        <v>26.22</v>
      </c>
      <c r="M183" s="12">
        <f>26.22/1.2</f>
        <v>21.85</v>
      </c>
      <c r="N183" s="12"/>
      <c r="O183" s="82">
        <f aca="true" t="shared" si="34" ref="O183:O188">+N183+M183</f>
        <v>21.85</v>
      </c>
      <c r="P183" s="12">
        <f aca="true" t="shared" si="35" ref="P183:P188">M183*0.65</f>
        <v>14.2025</v>
      </c>
      <c r="Q183" s="12"/>
      <c r="R183" s="82">
        <f aca="true" t="shared" si="36" ref="R183:R188">+Q183+P183</f>
        <v>14.2025</v>
      </c>
      <c r="S183" s="153"/>
      <c r="T183" s="154"/>
    </row>
    <row r="184" spans="1:20" ht="22.5" customHeight="1">
      <c r="A184" s="53" t="s">
        <v>155</v>
      </c>
      <c r="B184" s="8"/>
      <c r="C184" s="9" t="s">
        <v>33</v>
      </c>
      <c r="D184" s="107" t="s">
        <v>185</v>
      </c>
      <c r="E184" s="14" t="s">
        <v>138</v>
      </c>
      <c r="F184" s="125" t="s">
        <v>202</v>
      </c>
      <c r="G184" s="15">
        <v>38786</v>
      </c>
      <c r="H184" s="15">
        <v>38796</v>
      </c>
      <c r="I184" s="15" t="s">
        <v>186</v>
      </c>
      <c r="J184" s="61">
        <v>92.54</v>
      </c>
      <c r="K184" s="61">
        <v>18.51</v>
      </c>
      <c r="L184" s="109">
        <v>111.05</v>
      </c>
      <c r="M184" s="12">
        <v>92.54</v>
      </c>
      <c r="N184" s="12"/>
      <c r="O184" s="82">
        <f t="shared" si="34"/>
        <v>92.54</v>
      </c>
      <c r="P184" s="12">
        <f t="shared" si="35"/>
        <v>60.151</v>
      </c>
      <c r="Q184" s="12"/>
      <c r="R184" s="82">
        <f t="shared" si="36"/>
        <v>60.151</v>
      </c>
      <c r="S184" s="153"/>
      <c r="T184" s="154"/>
    </row>
    <row r="185" spans="1:20" ht="22.5" customHeight="1">
      <c r="A185" s="53" t="s">
        <v>155</v>
      </c>
      <c r="B185" s="8"/>
      <c r="C185" s="9" t="s">
        <v>33</v>
      </c>
      <c r="D185" s="107" t="s">
        <v>185</v>
      </c>
      <c r="E185" s="14" t="s">
        <v>138</v>
      </c>
      <c r="F185" s="125" t="s">
        <v>203</v>
      </c>
      <c r="G185" s="15">
        <v>38742</v>
      </c>
      <c r="H185" s="15">
        <v>38762</v>
      </c>
      <c r="I185" s="15" t="s">
        <v>186</v>
      </c>
      <c r="J185" s="61">
        <v>166.48</v>
      </c>
      <c r="K185" s="61">
        <v>33.3</v>
      </c>
      <c r="L185" s="109">
        <v>199.78</v>
      </c>
      <c r="M185" s="12">
        <v>166.48</v>
      </c>
      <c r="N185" s="12"/>
      <c r="O185" s="82">
        <f t="shared" si="34"/>
        <v>166.48</v>
      </c>
      <c r="P185" s="12">
        <f t="shared" si="35"/>
        <v>108.212</v>
      </c>
      <c r="Q185" s="12"/>
      <c r="R185" s="82">
        <f t="shared" si="36"/>
        <v>108.212</v>
      </c>
      <c r="S185" s="153"/>
      <c r="T185" s="154"/>
    </row>
    <row r="186" spans="1:20" ht="22.5" customHeight="1">
      <c r="A186" s="53" t="s">
        <v>155</v>
      </c>
      <c r="B186" s="8"/>
      <c r="C186" s="9" t="s">
        <v>33</v>
      </c>
      <c r="D186" s="107" t="s">
        <v>187</v>
      </c>
      <c r="E186" s="14" t="s">
        <v>138</v>
      </c>
      <c r="F186" s="125" t="s">
        <v>204</v>
      </c>
      <c r="G186" s="15">
        <v>38737</v>
      </c>
      <c r="H186" s="15">
        <v>38757</v>
      </c>
      <c r="I186" s="15" t="s">
        <v>188</v>
      </c>
      <c r="J186" s="61">
        <v>61.95</v>
      </c>
      <c r="K186" s="61">
        <v>12.39</v>
      </c>
      <c r="L186" s="109">
        <v>74.35</v>
      </c>
      <c r="M186" s="12">
        <v>61.95</v>
      </c>
      <c r="N186" s="12"/>
      <c r="O186" s="82">
        <f t="shared" si="34"/>
        <v>61.95</v>
      </c>
      <c r="P186" s="12">
        <f t="shared" si="35"/>
        <v>40.267500000000005</v>
      </c>
      <c r="Q186" s="12"/>
      <c r="R186" s="82">
        <f t="shared" si="36"/>
        <v>40.267500000000005</v>
      </c>
      <c r="S186" s="153"/>
      <c r="T186" s="154"/>
    </row>
    <row r="187" spans="1:20" ht="22.5" customHeight="1">
      <c r="A187" s="53" t="s">
        <v>155</v>
      </c>
      <c r="B187" s="8"/>
      <c r="C187" s="9" t="s">
        <v>33</v>
      </c>
      <c r="D187" s="107" t="s">
        <v>187</v>
      </c>
      <c r="E187" s="14" t="s">
        <v>138</v>
      </c>
      <c r="F187" s="125" t="s">
        <v>205</v>
      </c>
      <c r="G187" s="15">
        <v>38786</v>
      </c>
      <c r="H187" s="15">
        <v>38806</v>
      </c>
      <c r="I187" s="15" t="s">
        <v>188</v>
      </c>
      <c r="J187" s="61">
        <v>63.35</v>
      </c>
      <c r="K187" s="61">
        <v>12.67</v>
      </c>
      <c r="L187" s="109">
        <v>76.03</v>
      </c>
      <c r="M187" s="12">
        <v>63.35</v>
      </c>
      <c r="N187" s="12"/>
      <c r="O187" s="82">
        <f t="shared" si="34"/>
        <v>63.35</v>
      </c>
      <c r="P187" s="12">
        <f t="shared" si="35"/>
        <v>41.1775</v>
      </c>
      <c r="Q187" s="12"/>
      <c r="R187" s="82">
        <f t="shared" si="36"/>
        <v>41.1775</v>
      </c>
      <c r="S187" s="153"/>
      <c r="T187" s="154"/>
    </row>
    <row r="188" spans="1:20" ht="22.5" customHeight="1">
      <c r="A188" s="53" t="s">
        <v>155</v>
      </c>
      <c r="B188" s="8"/>
      <c r="C188" s="9" t="s">
        <v>33</v>
      </c>
      <c r="D188" s="107" t="s">
        <v>187</v>
      </c>
      <c r="E188" s="14" t="s">
        <v>138</v>
      </c>
      <c r="F188" s="125" t="s">
        <v>206</v>
      </c>
      <c r="G188" s="15">
        <v>38666</v>
      </c>
      <c r="H188" s="15">
        <v>38686</v>
      </c>
      <c r="I188" s="15" t="s">
        <v>188</v>
      </c>
      <c r="J188" s="61">
        <v>50.95</v>
      </c>
      <c r="K188" s="61">
        <v>10.19</v>
      </c>
      <c r="L188" s="109">
        <v>61.15</v>
      </c>
      <c r="M188" s="12">
        <v>50.95</v>
      </c>
      <c r="N188" s="12"/>
      <c r="O188" s="82">
        <f t="shared" si="34"/>
        <v>50.95</v>
      </c>
      <c r="P188" s="12">
        <f t="shared" si="35"/>
        <v>33.1175</v>
      </c>
      <c r="Q188" s="12"/>
      <c r="R188" s="82">
        <f t="shared" si="36"/>
        <v>33.1175</v>
      </c>
      <c r="S188" s="153"/>
      <c r="T188" s="154"/>
    </row>
    <row r="189" spans="1:20" ht="22.5" customHeight="1">
      <c r="A189" s="53" t="s">
        <v>155</v>
      </c>
      <c r="B189" s="8"/>
      <c r="C189" s="9" t="s">
        <v>33</v>
      </c>
      <c r="D189" s="107" t="s">
        <v>189</v>
      </c>
      <c r="E189" s="14" t="s">
        <v>190</v>
      </c>
      <c r="F189" s="125" t="s">
        <v>191</v>
      </c>
      <c r="G189" s="15">
        <v>38658</v>
      </c>
      <c r="H189" s="15">
        <v>38658</v>
      </c>
      <c r="I189" s="15" t="s">
        <v>192</v>
      </c>
      <c r="J189" s="61">
        <v>50</v>
      </c>
      <c r="K189" s="61">
        <v>10</v>
      </c>
      <c r="L189" s="109">
        <v>60</v>
      </c>
      <c r="M189" s="12"/>
      <c r="N189" s="12"/>
      <c r="O189" s="82"/>
      <c r="P189" s="12"/>
      <c r="Q189" s="12"/>
      <c r="R189" s="82"/>
      <c r="S189" s="148" t="s">
        <v>209</v>
      </c>
      <c r="T189" s="149"/>
    </row>
    <row r="190" spans="1:20" ht="22.5" customHeight="1">
      <c r="A190" s="53" t="s">
        <v>155</v>
      </c>
      <c r="B190" s="8"/>
      <c r="C190" s="9" t="s">
        <v>33</v>
      </c>
      <c r="D190" s="107" t="s">
        <v>193</v>
      </c>
      <c r="E190" s="14" t="s">
        <v>114</v>
      </c>
      <c r="F190" s="125" t="s">
        <v>194</v>
      </c>
      <c r="G190" s="15">
        <v>38631</v>
      </c>
      <c r="H190" s="15">
        <v>38670</v>
      </c>
      <c r="I190" s="15" t="s">
        <v>188</v>
      </c>
      <c r="J190" s="61">
        <v>295</v>
      </c>
      <c r="K190" s="61">
        <v>55.96</v>
      </c>
      <c r="L190" s="109">
        <v>354</v>
      </c>
      <c r="M190" s="12">
        <v>295</v>
      </c>
      <c r="N190" s="12"/>
      <c r="O190" s="82">
        <f aca="true" t="shared" si="37" ref="O190:O195">+N190+M190</f>
        <v>295</v>
      </c>
      <c r="P190" s="12">
        <f aca="true" t="shared" si="38" ref="P190:P195">M190*0.65</f>
        <v>191.75</v>
      </c>
      <c r="Q190" s="12"/>
      <c r="R190" s="82">
        <f aca="true" t="shared" si="39" ref="R190:R195">+Q190+P190</f>
        <v>191.75</v>
      </c>
      <c r="S190" s="153"/>
      <c r="T190" s="154"/>
    </row>
    <row r="191" spans="1:20" ht="22.5" customHeight="1">
      <c r="A191" s="53" t="s">
        <v>155</v>
      </c>
      <c r="B191" s="8"/>
      <c r="C191" s="9" t="s">
        <v>33</v>
      </c>
      <c r="D191" s="107" t="s">
        <v>193</v>
      </c>
      <c r="E191" s="14" t="s">
        <v>108</v>
      </c>
      <c r="F191" s="125" t="s">
        <v>195</v>
      </c>
      <c r="G191" s="15">
        <v>38671</v>
      </c>
      <c r="H191" s="15">
        <v>38698</v>
      </c>
      <c r="I191" s="15" t="s">
        <v>188</v>
      </c>
      <c r="J191" s="61">
        <v>44.43</v>
      </c>
      <c r="K191" s="61">
        <v>8.89</v>
      </c>
      <c r="L191" s="109">
        <v>79.14</v>
      </c>
      <c r="M191" s="12">
        <v>44.43</v>
      </c>
      <c r="N191" s="12"/>
      <c r="O191" s="82">
        <f t="shared" si="37"/>
        <v>44.43</v>
      </c>
      <c r="P191" s="12">
        <f t="shared" si="38"/>
        <v>28.8795</v>
      </c>
      <c r="Q191" s="12"/>
      <c r="R191" s="82">
        <f t="shared" si="39"/>
        <v>28.8795</v>
      </c>
      <c r="S191" s="153"/>
      <c r="T191" s="154"/>
    </row>
    <row r="192" spans="1:20" ht="22.5" customHeight="1">
      <c r="A192" s="53" t="s">
        <v>155</v>
      </c>
      <c r="B192" s="8"/>
      <c r="C192" s="9" t="s">
        <v>33</v>
      </c>
      <c r="D192" s="107" t="s">
        <v>193</v>
      </c>
      <c r="E192" s="14" t="s">
        <v>114</v>
      </c>
      <c r="F192" s="125" t="s">
        <v>196</v>
      </c>
      <c r="G192" s="15">
        <v>38692</v>
      </c>
      <c r="H192" s="15">
        <v>38730</v>
      </c>
      <c r="I192" s="15" t="s">
        <v>188</v>
      </c>
      <c r="J192" s="61">
        <v>268.82</v>
      </c>
      <c r="K192" s="61">
        <v>53.76</v>
      </c>
      <c r="L192" s="109">
        <v>341</v>
      </c>
      <c r="M192" s="12">
        <v>268.82</v>
      </c>
      <c r="N192" s="12"/>
      <c r="O192" s="82">
        <f t="shared" si="37"/>
        <v>268.82</v>
      </c>
      <c r="P192" s="12">
        <f t="shared" si="38"/>
        <v>174.733</v>
      </c>
      <c r="Q192" s="12"/>
      <c r="R192" s="82">
        <f t="shared" si="39"/>
        <v>174.733</v>
      </c>
      <c r="S192" s="153"/>
      <c r="T192" s="154"/>
    </row>
    <row r="193" spans="1:20" ht="22.5" customHeight="1">
      <c r="A193" s="53" t="s">
        <v>155</v>
      </c>
      <c r="B193" s="8"/>
      <c r="C193" s="9" t="s">
        <v>33</v>
      </c>
      <c r="D193" s="107" t="s">
        <v>193</v>
      </c>
      <c r="E193" s="14" t="s">
        <v>108</v>
      </c>
      <c r="F193" s="125" t="s">
        <v>197</v>
      </c>
      <c r="G193" s="15">
        <v>38733</v>
      </c>
      <c r="H193" s="15">
        <v>38758</v>
      </c>
      <c r="I193" s="15" t="s">
        <v>188</v>
      </c>
      <c r="J193" s="61">
        <v>35.95</v>
      </c>
      <c r="K193" s="61">
        <v>7.19</v>
      </c>
      <c r="L193" s="109">
        <v>67.67</v>
      </c>
      <c r="M193" s="12">
        <f>35.95+24.53</f>
        <v>60.480000000000004</v>
      </c>
      <c r="N193" s="12"/>
      <c r="O193" s="82">
        <f t="shared" si="37"/>
        <v>60.480000000000004</v>
      </c>
      <c r="P193" s="12">
        <f t="shared" si="38"/>
        <v>39.312000000000005</v>
      </c>
      <c r="Q193" s="12"/>
      <c r="R193" s="82">
        <f t="shared" si="39"/>
        <v>39.312000000000005</v>
      </c>
      <c r="S193" s="153"/>
      <c r="T193" s="154"/>
    </row>
    <row r="194" spans="1:20" ht="22.5" customHeight="1">
      <c r="A194" s="53" t="s">
        <v>155</v>
      </c>
      <c r="B194" s="8"/>
      <c r="C194" s="9" t="s">
        <v>33</v>
      </c>
      <c r="D194" s="107" t="s">
        <v>193</v>
      </c>
      <c r="E194" s="14" t="s">
        <v>114</v>
      </c>
      <c r="F194" s="125" t="s">
        <v>198</v>
      </c>
      <c r="G194" s="15">
        <v>38754</v>
      </c>
      <c r="H194" s="15">
        <v>38789</v>
      </c>
      <c r="I194" s="15" t="s">
        <v>188</v>
      </c>
      <c r="J194" s="61">
        <v>286.66</v>
      </c>
      <c r="K194" s="61">
        <v>57.4</v>
      </c>
      <c r="L194" s="109">
        <v>344</v>
      </c>
      <c r="M194" s="12">
        <v>286.99</v>
      </c>
      <c r="N194" s="12"/>
      <c r="O194" s="82">
        <f t="shared" si="37"/>
        <v>286.99</v>
      </c>
      <c r="P194" s="12">
        <f t="shared" si="38"/>
        <v>186.54350000000002</v>
      </c>
      <c r="Q194" s="12"/>
      <c r="R194" s="82">
        <f t="shared" si="39"/>
        <v>186.54350000000002</v>
      </c>
      <c r="S194" s="153"/>
      <c r="T194" s="154"/>
    </row>
    <row r="195" spans="1:20" ht="22.5" customHeight="1">
      <c r="A195" s="53" t="s">
        <v>155</v>
      </c>
      <c r="B195" s="8"/>
      <c r="C195" s="9" t="s">
        <v>33</v>
      </c>
      <c r="D195" s="107" t="s">
        <v>193</v>
      </c>
      <c r="E195" s="14" t="s">
        <v>108</v>
      </c>
      <c r="F195" s="125" t="s">
        <v>199</v>
      </c>
      <c r="G195" s="15">
        <v>38790</v>
      </c>
      <c r="H195" s="15">
        <v>38817</v>
      </c>
      <c r="I195" s="15" t="s">
        <v>188</v>
      </c>
      <c r="J195" s="61">
        <v>542.85</v>
      </c>
      <c r="K195" s="61">
        <v>108.57</v>
      </c>
      <c r="L195" s="109">
        <v>657.44</v>
      </c>
      <c r="M195" s="12">
        <v>542.85</v>
      </c>
      <c r="N195" s="12"/>
      <c r="O195" s="82">
        <f t="shared" si="37"/>
        <v>542.85</v>
      </c>
      <c r="P195" s="12">
        <f t="shared" si="38"/>
        <v>352.8525</v>
      </c>
      <c r="Q195" s="12"/>
      <c r="R195" s="82">
        <f t="shared" si="39"/>
        <v>352.8525</v>
      </c>
      <c r="S195" s="153"/>
      <c r="T195" s="154"/>
    </row>
    <row r="196" spans="1:20" ht="15" customHeight="1">
      <c r="A196" s="53" t="s">
        <v>155</v>
      </c>
      <c r="B196" s="8"/>
      <c r="C196" s="9" t="s">
        <v>33</v>
      </c>
      <c r="D196" s="150" t="s">
        <v>210</v>
      </c>
      <c r="E196" s="151"/>
      <c r="F196" s="151"/>
      <c r="G196" s="151"/>
      <c r="H196" s="151"/>
      <c r="I196" s="152"/>
      <c r="J196" s="12"/>
      <c r="K196" s="19"/>
      <c r="L196" s="82"/>
      <c r="M196" s="12">
        <f>-(+M195+M194+M193+M192+M191+M190+M188+M187+M186+M185+M184+M183+M182+M181+M180+M178-M145+M177+M176+M175+M174+M173+M172+M171+M170+M169+M160+M156+M155+M154+M153+M152+M151+M150+M149+M148+M146+M144+M141+M140)+(+M195+M194+M193+M192+M191+M190+M188+M187+M186+M185+M184+M183+M182+M181+M180+M178-M145+M177+M176+M175+M174+M173+M172+M171+M170+M169+M160+M156+M155+M154+M153+M152+M151+M150+M149+M148+M146+M144+M141+M140)*70%</f>
        <v>-5751.243</v>
      </c>
      <c r="N196" s="12"/>
      <c r="O196" s="82">
        <f>+N196+M196</f>
        <v>-5751.243</v>
      </c>
      <c r="P196" s="12">
        <f>M196*0.65</f>
        <v>-3738.3079500000003</v>
      </c>
      <c r="Q196" s="12"/>
      <c r="R196" s="82">
        <f>+Q196+P196</f>
        <v>-3738.3079500000003</v>
      </c>
      <c r="S196" s="155"/>
      <c r="T196" s="155"/>
    </row>
    <row r="197" spans="1:20" ht="45" customHeight="1">
      <c r="A197" s="53" t="s">
        <v>229</v>
      </c>
      <c r="B197" s="8"/>
      <c r="C197" s="9" t="s">
        <v>33</v>
      </c>
      <c r="D197" s="107" t="s">
        <v>246</v>
      </c>
      <c r="E197" s="14" t="s">
        <v>102</v>
      </c>
      <c r="F197" s="125"/>
      <c r="G197" s="15">
        <v>38913</v>
      </c>
      <c r="H197" s="15">
        <v>38912</v>
      </c>
      <c r="I197" s="15" t="s">
        <v>247</v>
      </c>
      <c r="J197" s="61">
        <v>3000</v>
      </c>
      <c r="K197" s="61"/>
      <c r="L197" s="109">
        <v>3000</v>
      </c>
      <c r="M197" s="12">
        <f>3000*0.7</f>
        <v>2100</v>
      </c>
      <c r="N197" s="12"/>
      <c r="O197" s="82">
        <f>+N197+M197</f>
        <v>2100</v>
      </c>
      <c r="P197" s="12">
        <f>M197*0.65</f>
        <v>1365</v>
      </c>
      <c r="Q197" s="12"/>
      <c r="R197" s="82">
        <f>+Q197+P197</f>
        <v>1365</v>
      </c>
      <c r="S197" s="148" t="s">
        <v>323</v>
      </c>
      <c r="T197" s="149"/>
    </row>
    <row r="198" spans="1:20" ht="22.5" customHeight="1">
      <c r="A198" s="53" t="s">
        <v>229</v>
      </c>
      <c r="B198" s="8"/>
      <c r="C198" s="9" t="s">
        <v>33</v>
      </c>
      <c r="D198" s="107" t="s">
        <v>257</v>
      </c>
      <c r="E198" s="14" t="s">
        <v>106</v>
      </c>
      <c r="F198" s="125">
        <v>253652</v>
      </c>
      <c r="G198" s="15">
        <v>38829</v>
      </c>
      <c r="H198" s="15">
        <v>38829</v>
      </c>
      <c r="I198" s="15" t="s">
        <v>258</v>
      </c>
      <c r="J198" s="61">
        <v>117.9</v>
      </c>
      <c r="K198" s="61"/>
      <c r="L198" s="109">
        <v>117.9</v>
      </c>
      <c r="M198" s="61">
        <v>117.9</v>
      </c>
      <c r="N198" s="12"/>
      <c r="O198" s="82">
        <f>+N198+M198</f>
        <v>117.9</v>
      </c>
      <c r="P198" s="12">
        <f>M198*0.65</f>
        <v>76.635</v>
      </c>
      <c r="Q198" s="12"/>
      <c r="R198" s="82">
        <f>+Q198+P198</f>
        <v>76.635</v>
      </c>
      <c r="S198" s="153"/>
      <c r="T198" s="154"/>
    </row>
    <row r="199" spans="1:20" ht="22.5" customHeight="1">
      <c r="A199" s="53" t="s">
        <v>229</v>
      </c>
      <c r="B199" s="8"/>
      <c r="C199" s="9" t="s">
        <v>33</v>
      </c>
      <c r="D199" s="107" t="s">
        <v>259</v>
      </c>
      <c r="E199" s="14" t="s">
        <v>260</v>
      </c>
      <c r="F199" s="125">
        <v>88</v>
      </c>
      <c r="G199" s="15">
        <v>39002</v>
      </c>
      <c r="H199" s="15">
        <v>39005</v>
      </c>
      <c r="I199" s="15" t="s">
        <v>261</v>
      </c>
      <c r="J199" s="61">
        <v>987.49</v>
      </c>
      <c r="K199" s="61"/>
      <c r="L199" s="109">
        <v>987.49</v>
      </c>
      <c r="M199" s="12">
        <f>+J199*0.7</f>
        <v>691.2429999999999</v>
      </c>
      <c r="N199" s="12"/>
      <c r="O199" s="82">
        <f>+N199+M199</f>
        <v>691.2429999999999</v>
      </c>
      <c r="P199" s="12">
        <f>M199*0.65</f>
        <v>449.30794999999995</v>
      </c>
      <c r="Q199" s="12"/>
      <c r="R199" s="82">
        <f>+Q199+P199</f>
        <v>449.30794999999995</v>
      </c>
      <c r="S199" s="153"/>
      <c r="T199" s="154"/>
    </row>
    <row r="200" spans="1:20" ht="22.5" customHeight="1">
      <c r="A200" s="53" t="s">
        <v>229</v>
      </c>
      <c r="B200" s="8"/>
      <c r="C200" s="9" t="s">
        <v>33</v>
      </c>
      <c r="D200" s="107" t="s">
        <v>262</v>
      </c>
      <c r="E200" s="14" t="s">
        <v>263</v>
      </c>
      <c r="F200" s="125"/>
      <c r="G200" s="15">
        <v>38810</v>
      </c>
      <c r="H200" s="15">
        <v>38810</v>
      </c>
      <c r="I200" s="15" t="s">
        <v>258</v>
      </c>
      <c r="J200" s="61">
        <v>247.08</v>
      </c>
      <c r="K200" s="61"/>
      <c r="L200" s="109">
        <v>247.08</v>
      </c>
      <c r="M200" s="12"/>
      <c r="N200" s="12"/>
      <c r="O200" s="82"/>
      <c r="P200" s="12"/>
      <c r="Q200" s="12"/>
      <c r="R200" s="82"/>
      <c r="S200" s="153" t="s">
        <v>322</v>
      </c>
      <c r="T200" s="154"/>
    </row>
    <row r="201" spans="1:20" ht="22.5" customHeight="1">
      <c r="A201" s="53" t="s">
        <v>229</v>
      </c>
      <c r="B201" s="8"/>
      <c r="C201" s="9" t="s">
        <v>33</v>
      </c>
      <c r="D201" s="107" t="s">
        <v>264</v>
      </c>
      <c r="E201" s="14" t="s">
        <v>265</v>
      </c>
      <c r="F201" s="125">
        <v>384006187510</v>
      </c>
      <c r="G201" s="15">
        <v>39066</v>
      </c>
      <c r="H201" s="15">
        <v>39080</v>
      </c>
      <c r="I201" s="15" t="s">
        <v>266</v>
      </c>
      <c r="J201" s="61">
        <f>22.97+2.25</f>
        <v>25.22</v>
      </c>
      <c r="K201" s="61">
        <v>4.59</v>
      </c>
      <c r="L201" s="109">
        <f>+K201+J201</f>
        <v>29.81</v>
      </c>
      <c r="M201" s="12">
        <f>+J201*0.7</f>
        <v>17.653999999999996</v>
      </c>
      <c r="N201" s="12"/>
      <c r="O201" s="82">
        <f>+N201+M201</f>
        <v>17.653999999999996</v>
      </c>
      <c r="P201" s="12">
        <f>M201*0.65</f>
        <v>11.475099999999998</v>
      </c>
      <c r="Q201" s="12"/>
      <c r="R201" s="82">
        <f>+Q201+P201</f>
        <v>11.475099999999998</v>
      </c>
      <c r="S201" s="153"/>
      <c r="T201" s="154"/>
    </row>
    <row r="202" spans="1:20" ht="22.5" customHeight="1">
      <c r="A202" s="53" t="s">
        <v>229</v>
      </c>
      <c r="B202" s="8"/>
      <c r="C202" s="9" t="s">
        <v>33</v>
      </c>
      <c r="D202" s="107" t="s">
        <v>264</v>
      </c>
      <c r="E202" s="14" t="s">
        <v>265</v>
      </c>
      <c r="F202" s="125">
        <v>384006088719</v>
      </c>
      <c r="G202" s="15">
        <v>38874</v>
      </c>
      <c r="H202" s="15">
        <v>38897</v>
      </c>
      <c r="I202" s="15" t="s">
        <v>266</v>
      </c>
      <c r="J202" s="61">
        <v>124.73</v>
      </c>
      <c r="K202" s="61">
        <v>24.95</v>
      </c>
      <c r="L202" s="109">
        <f>+K202+J202</f>
        <v>149.68</v>
      </c>
      <c r="M202" s="12">
        <f>+J202*0.7</f>
        <v>87.31099999999999</v>
      </c>
      <c r="N202" s="12"/>
      <c r="O202" s="82">
        <f>+N202+M202</f>
        <v>87.31099999999999</v>
      </c>
      <c r="P202" s="12">
        <f>M202*0.65</f>
        <v>56.75215</v>
      </c>
      <c r="Q202" s="12"/>
      <c r="R202" s="82">
        <f>+Q202+P202</f>
        <v>56.75215</v>
      </c>
      <c r="S202" s="153"/>
      <c r="T202" s="154"/>
    </row>
    <row r="203" spans="1:20" ht="22.5" customHeight="1">
      <c r="A203" s="53" t="s">
        <v>229</v>
      </c>
      <c r="B203" s="8"/>
      <c r="C203" s="9" t="s">
        <v>33</v>
      </c>
      <c r="D203" s="107" t="s">
        <v>43</v>
      </c>
      <c r="E203" s="14" t="s">
        <v>267</v>
      </c>
      <c r="F203" s="125">
        <v>6179</v>
      </c>
      <c r="G203" s="15">
        <v>39048</v>
      </c>
      <c r="H203" s="15">
        <v>39048</v>
      </c>
      <c r="I203" s="15" t="s">
        <v>258</v>
      </c>
      <c r="J203" s="61">
        <v>88.91</v>
      </c>
      <c r="K203" s="61">
        <v>17.78</v>
      </c>
      <c r="L203" s="109">
        <v>106.69</v>
      </c>
      <c r="M203" s="12"/>
      <c r="N203" s="12"/>
      <c r="O203" s="82"/>
      <c r="P203" s="12"/>
      <c r="Q203" s="12"/>
      <c r="R203" s="82"/>
      <c r="S203" s="153" t="s">
        <v>162</v>
      </c>
      <c r="T203" s="154"/>
    </row>
    <row r="204" spans="1:20" ht="22.5" customHeight="1">
      <c r="A204" s="53" t="s">
        <v>229</v>
      </c>
      <c r="B204" s="8"/>
      <c r="C204" s="9" t="s">
        <v>33</v>
      </c>
      <c r="D204" s="107" t="s">
        <v>43</v>
      </c>
      <c r="E204" s="14" t="s">
        <v>268</v>
      </c>
      <c r="F204" s="125">
        <v>219</v>
      </c>
      <c r="G204" s="15">
        <v>38840</v>
      </c>
      <c r="H204" s="15">
        <v>38926</v>
      </c>
      <c r="I204" s="15" t="s">
        <v>261</v>
      </c>
      <c r="J204" s="61">
        <v>930</v>
      </c>
      <c r="K204" s="61">
        <v>186</v>
      </c>
      <c r="L204" s="109">
        <v>1116</v>
      </c>
      <c r="M204" s="12">
        <f>+J204*0.7</f>
        <v>651</v>
      </c>
      <c r="N204" s="12"/>
      <c r="O204" s="82">
        <f>+N204+M204</f>
        <v>651</v>
      </c>
      <c r="P204" s="12">
        <f>M204*0.65</f>
        <v>423.15000000000003</v>
      </c>
      <c r="Q204" s="12"/>
      <c r="R204" s="82">
        <f>+Q204+P204</f>
        <v>423.15000000000003</v>
      </c>
      <c r="S204" s="153"/>
      <c r="T204" s="154"/>
    </row>
    <row r="205" spans="1:20" ht="22.5" customHeight="1">
      <c r="A205" s="53" t="s">
        <v>229</v>
      </c>
      <c r="B205" s="8"/>
      <c r="C205" s="9" t="s">
        <v>33</v>
      </c>
      <c r="D205" s="107" t="s">
        <v>269</v>
      </c>
      <c r="E205" s="14" t="s">
        <v>270</v>
      </c>
      <c r="F205" s="125">
        <v>343</v>
      </c>
      <c r="G205" s="15">
        <v>38822</v>
      </c>
      <c r="H205" s="15"/>
      <c r="I205" s="15"/>
      <c r="J205" s="61">
        <v>163.33</v>
      </c>
      <c r="K205" s="61">
        <v>32.66</v>
      </c>
      <c r="L205" s="109">
        <v>195.99</v>
      </c>
      <c r="M205" s="12"/>
      <c r="N205" s="12"/>
      <c r="O205" s="82"/>
      <c r="P205" s="12"/>
      <c r="Q205" s="12"/>
      <c r="R205" s="82"/>
      <c r="S205" s="153" t="s">
        <v>162</v>
      </c>
      <c r="T205" s="154"/>
    </row>
    <row r="206" spans="1:20" ht="22.5" customHeight="1">
      <c r="A206" s="53" t="s">
        <v>229</v>
      </c>
      <c r="B206" s="8"/>
      <c r="C206" s="9" t="s">
        <v>33</v>
      </c>
      <c r="D206" s="107" t="s">
        <v>43</v>
      </c>
      <c r="E206" s="14" t="s">
        <v>267</v>
      </c>
      <c r="F206" s="125">
        <v>2026</v>
      </c>
      <c r="G206" s="15">
        <v>38821</v>
      </c>
      <c r="H206" s="15">
        <v>38821</v>
      </c>
      <c r="I206" s="15" t="s">
        <v>258</v>
      </c>
      <c r="J206" s="61">
        <v>26.95</v>
      </c>
      <c r="K206" s="61">
        <v>5.39</v>
      </c>
      <c r="L206" s="109">
        <v>32.34</v>
      </c>
      <c r="M206" s="12"/>
      <c r="N206" s="12"/>
      <c r="O206" s="82"/>
      <c r="P206" s="12"/>
      <c r="Q206" s="12"/>
      <c r="R206" s="82"/>
      <c r="S206" s="153" t="s">
        <v>162</v>
      </c>
      <c r="T206" s="154"/>
    </row>
    <row r="207" spans="1:20" ht="22.5" customHeight="1">
      <c r="A207" s="53" t="s">
        <v>229</v>
      </c>
      <c r="B207" s="8"/>
      <c r="C207" s="9" t="s">
        <v>33</v>
      </c>
      <c r="D207" s="107" t="s">
        <v>43</v>
      </c>
      <c r="E207" s="14" t="s">
        <v>270</v>
      </c>
      <c r="F207" s="125">
        <v>1072</v>
      </c>
      <c r="G207" s="15">
        <v>39067</v>
      </c>
      <c r="H207" s="15"/>
      <c r="I207" s="15"/>
      <c r="J207" s="61">
        <v>335.25</v>
      </c>
      <c r="K207" s="61">
        <v>67.05</v>
      </c>
      <c r="L207" s="109">
        <v>402.3</v>
      </c>
      <c r="M207" s="12"/>
      <c r="N207" s="12"/>
      <c r="O207" s="82"/>
      <c r="P207" s="12"/>
      <c r="Q207" s="12"/>
      <c r="R207" s="82"/>
      <c r="S207" s="153" t="s">
        <v>162</v>
      </c>
      <c r="T207" s="154"/>
    </row>
    <row r="208" spans="1:20" ht="22.5" customHeight="1">
      <c r="A208" s="53" t="s">
        <v>229</v>
      </c>
      <c r="B208" s="8"/>
      <c r="C208" s="9" t="s">
        <v>33</v>
      </c>
      <c r="D208" s="107" t="s">
        <v>271</v>
      </c>
      <c r="E208" s="14" t="s">
        <v>272</v>
      </c>
      <c r="F208" s="125" t="s">
        <v>289</v>
      </c>
      <c r="G208" s="15">
        <v>38855</v>
      </c>
      <c r="H208" s="15">
        <v>38875</v>
      </c>
      <c r="I208" s="15" t="s">
        <v>110</v>
      </c>
      <c r="J208" s="61">
        <v>66.16</v>
      </c>
      <c r="K208" s="61">
        <v>13.23</v>
      </c>
      <c r="L208" s="109">
        <v>79.39</v>
      </c>
      <c r="M208" s="12">
        <f aca="true" t="shared" si="40" ref="M208:M221">+J208*0.7</f>
        <v>46.312</v>
      </c>
      <c r="N208" s="12"/>
      <c r="O208" s="82">
        <f aca="true" t="shared" si="41" ref="O208:O221">+N208+M208</f>
        <v>46.312</v>
      </c>
      <c r="P208" s="12">
        <f aca="true" t="shared" si="42" ref="P208:P221">M208*0.65</f>
        <v>30.1028</v>
      </c>
      <c r="Q208" s="12"/>
      <c r="R208" s="82">
        <f aca="true" t="shared" si="43" ref="R208:R221">+Q208+P208</f>
        <v>30.1028</v>
      </c>
      <c r="S208" s="153"/>
      <c r="T208" s="154"/>
    </row>
    <row r="209" spans="1:20" ht="22.5" customHeight="1">
      <c r="A209" s="53" t="s">
        <v>229</v>
      </c>
      <c r="B209" s="8"/>
      <c r="C209" s="9" t="s">
        <v>33</v>
      </c>
      <c r="D209" s="107" t="s">
        <v>273</v>
      </c>
      <c r="E209" s="14" t="s">
        <v>272</v>
      </c>
      <c r="F209" s="125" t="s">
        <v>290</v>
      </c>
      <c r="G209" s="15">
        <v>38862</v>
      </c>
      <c r="H209" s="15">
        <v>38882</v>
      </c>
      <c r="I209" s="15" t="s">
        <v>110</v>
      </c>
      <c r="J209" s="61">
        <v>293.17</v>
      </c>
      <c r="K209" s="61">
        <v>58.63</v>
      </c>
      <c r="L209" s="109">
        <v>351.8</v>
      </c>
      <c r="M209" s="12">
        <f t="shared" si="40"/>
        <v>205.219</v>
      </c>
      <c r="N209" s="12"/>
      <c r="O209" s="82">
        <f t="shared" si="41"/>
        <v>205.219</v>
      </c>
      <c r="P209" s="12">
        <f t="shared" si="42"/>
        <v>133.39235</v>
      </c>
      <c r="Q209" s="12"/>
      <c r="R209" s="82">
        <f t="shared" si="43"/>
        <v>133.39235</v>
      </c>
      <c r="S209" s="153"/>
      <c r="T209" s="154"/>
    </row>
    <row r="210" spans="1:20" ht="22.5" customHeight="1">
      <c r="A210" s="53" t="s">
        <v>229</v>
      </c>
      <c r="B210" s="8"/>
      <c r="C210" s="9" t="s">
        <v>33</v>
      </c>
      <c r="D210" s="107" t="s">
        <v>274</v>
      </c>
      <c r="E210" s="14" t="s">
        <v>272</v>
      </c>
      <c r="F210" s="125" t="s">
        <v>291</v>
      </c>
      <c r="G210" s="15">
        <v>38917</v>
      </c>
      <c r="H210" s="15">
        <v>38937</v>
      </c>
      <c r="I210" s="15" t="s">
        <v>110</v>
      </c>
      <c r="J210" s="61">
        <v>132.1</v>
      </c>
      <c r="K210" s="61">
        <v>26.42</v>
      </c>
      <c r="L210" s="109">
        <v>158.52</v>
      </c>
      <c r="M210" s="12">
        <f t="shared" si="40"/>
        <v>92.46999999999998</v>
      </c>
      <c r="N210" s="12"/>
      <c r="O210" s="82">
        <f t="shared" si="41"/>
        <v>92.46999999999998</v>
      </c>
      <c r="P210" s="12">
        <f t="shared" si="42"/>
        <v>60.10549999999999</v>
      </c>
      <c r="Q210" s="12"/>
      <c r="R210" s="82">
        <f t="shared" si="43"/>
        <v>60.10549999999999</v>
      </c>
      <c r="S210" s="153"/>
      <c r="T210" s="154"/>
    </row>
    <row r="211" spans="1:20" ht="22.5" customHeight="1">
      <c r="A211" s="53" t="s">
        <v>229</v>
      </c>
      <c r="B211" s="8"/>
      <c r="C211" s="9" t="s">
        <v>33</v>
      </c>
      <c r="D211" s="107" t="s">
        <v>275</v>
      </c>
      <c r="E211" s="14" t="s">
        <v>272</v>
      </c>
      <c r="F211" s="125" t="s">
        <v>292</v>
      </c>
      <c r="G211" s="15">
        <v>38970</v>
      </c>
      <c r="H211" s="15">
        <v>38990</v>
      </c>
      <c r="I211" s="15" t="s">
        <v>110</v>
      </c>
      <c r="J211" s="61">
        <v>271.34</v>
      </c>
      <c r="K211" s="61">
        <v>54.27</v>
      </c>
      <c r="L211" s="109">
        <v>325.61</v>
      </c>
      <c r="M211" s="12">
        <f t="shared" si="40"/>
        <v>189.93799999999996</v>
      </c>
      <c r="N211" s="12"/>
      <c r="O211" s="82">
        <f t="shared" si="41"/>
        <v>189.93799999999996</v>
      </c>
      <c r="P211" s="12">
        <f t="shared" si="42"/>
        <v>123.45969999999998</v>
      </c>
      <c r="Q211" s="12"/>
      <c r="R211" s="82">
        <f t="shared" si="43"/>
        <v>123.45969999999998</v>
      </c>
      <c r="S211" s="153"/>
      <c r="T211" s="154"/>
    </row>
    <row r="212" spans="1:20" ht="22.5" customHeight="1">
      <c r="A212" s="53" t="s">
        <v>229</v>
      </c>
      <c r="B212" s="8"/>
      <c r="C212" s="9" t="s">
        <v>33</v>
      </c>
      <c r="D212" s="107" t="s">
        <v>276</v>
      </c>
      <c r="E212" s="14" t="s">
        <v>272</v>
      </c>
      <c r="F212" s="125" t="s">
        <v>150</v>
      </c>
      <c r="G212" s="15">
        <v>39041</v>
      </c>
      <c r="H212" s="15">
        <v>39062</v>
      </c>
      <c r="I212" s="15" t="s">
        <v>110</v>
      </c>
      <c r="J212" s="61">
        <v>155.12</v>
      </c>
      <c r="K212" s="61">
        <v>31.02</v>
      </c>
      <c r="L212" s="109">
        <v>186.14</v>
      </c>
      <c r="M212" s="12">
        <f t="shared" si="40"/>
        <v>108.584</v>
      </c>
      <c r="N212" s="12"/>
      <c r="O212" s="82">
        <f t="shared" si="41"/>
        <v>108.584</v>
      </c>
      <c r="P212" s="12">
        <f t="shared" si="42"/>
        <v>70.5796</v>
      </c>
      <c r="Q212" s="12"/>
      <c r="R212" s="82">
        <f t="shared" si="43"/>
        <v>70.5796</v>
      </c>
      <c r="S212" s="153"/>
      <c r="T212" s="154"/>
    </row>
    <row r="213" spans="1:20" ht="22.5" customHeight="1">
      <c r="A213" s="53" t="s">
        <v>229</v>
      </c>
      <c r="B213" s="8"/>
      <c r="C213" s="9" t="s">
        <v>33</v>
      </c>
      <c r="D213" s="107" t="s">
        <v>277</v>
      </c>
      <c r="E213" s="14" t="s">
        <v>114</v>
      </c>
      <c r="F213" s="125" t="s">
        <v>278</v>
      </c>
      <c r="G213" s="15">
        <v>39057</v>
      </c>
      <c r="H213" s="15">
        <v>39097</v>
      </c>
      <c r="I213" s="15" t="s">
        <v>110</v>
      </c>
      <c r="J213" s="61">
        <v>182.3</v>
      </c>
      <c r="K213" s="61">
        <v>36.46</v>
      </c>
      <c r="L213" s="109">
        <v>218.76</v>
      </c>
      <c r="M213" s="12">
        <f t="shared" si="40"/>
        <v>127.61</v>
      </c>
      <c r="N213" s="12"/>
      <c r="O213" s="82">
        <f t="shared" si="41"/>
        <v>127.61</v>
      </c>
      <c r="P213" s="12">
        <f t="shared" si="42"/>
        <v>82.9465</v>
      </c>
      <c r="Q213" s="12"/>
      <c r="R213" s="82">
        <f t="shared" si="43"/>
        <v>82.9465</v>
      </c>
      <c r="S213" s="153"/>
      <c r="T213" s="154"/>
    </row>
    <row r="214" spans="1:20" ht="22.5" customHeight="1">
      <c r="A214" s="53" t="s">
        <v>229</v>
      </c>
      <c r="B214" s="8"/>
      <c r="C214" s="9" t="s">
        <v>33</v>
      </c>
      <c r="D214" s="107" t="s">
        <v>277</v>
      </c>
      <c r="E214" s="14" t="s">
        <v>108</v>
      </c>
      <c r="F214" s="125" t="s">
        <v>279</v>
      </c>
      <c r="G214" s="15">
        <v>39036</v>
      </c>
      <c r="H214" s="15">
        <v>39062</v>
      </c>
      <c r="I214" s="15" t="s">
        <v>110</v>
      </c>
      <c r="J214" s="61">
        <v>89.89</v>
      </c>
      <c r="K214" s="61">
        <v>17.98</v>
      </c>
      <c r="L214" s="109">
        <v>107.87</v>
      </c>
      <c r="M214" s="12">
        <f t="shared" si="40"/>
        <v>62.922999999999995</v>
      </c>
      <c r="N214" s="12"/>
      <c r="O214" s="82">
        <f t="shared" si="41"/>
        <v>62.922999999999995</v>
      </c>
      <c r="P214" s="12">
        <f t="shared" si="42"/>
        <v>40.89995</v>
      </c>
      <c r="Q214" s="12"/>
      <c r="R214" s="82">
        <f t="shared" si="43"/>
        <v>40.89995</v>
      </c>
      <c r="S214" s="153"/>
      <c r="T214" s="154"/>
    </row>
    <row r="215" spans="1:20" ht="22.5" customHeight="1">
      <c r="A215" s="53" t="s">
        <v>229</v>
      </c>
      <c r="B215" s="8"/>
      <c r="C215" s="9" t="s">
        <v>33</v>
      </c>
      <c r="D215" s="107" t="s">
        <v>277</v>
      </c>
      <c r="E215" s="14" t="s">
        <v>108</v>
      </c>
      <c r="F215" s="125" t="s">
        <v>280</v>
      </c>
      <c r="G215" s="15">
        <v>38974</v>
      </c>
      <c r="H215" s="15">
        <v>39000</v>
      </c>
      <c r="I215" s="15" t="s">
        <v>110</v>
      </c>
      <c r="J215" s="61">
        <v>44.16</v>
      </c>
      <c r="K215" s="61">
        <v>8.83</v>
      </c>
      <c r="L215" s="109">
        <v>52.99</v>
      </c>
      <c r="M215" s="12">
        <f t="shared" si="40"/>
        <v>30.911999999999995</v>
      </c>
      <c r="N215" s="12"/>
      <c r="O215" s="82">
        <f t="shared" si="41"/>
        <v>30.911999999999995</v>
      </c>
      <c r="P215" s="12">
        <f t="shared" si="42"/>
        <v>20.092799999999997</v>
      </c>
      <c r="Q215" s="12"/>
      <c r="R215" s="82">
        <f t="shared" si="43"/>
        <v>20.092799999999997</v>
      </c>
      <c r="S215" s="153"/>
      <c r="T215" s="154"/>
    </row>
    <row r="216" spans="1:20" ht="22.5" customHeight="1">
      <c r="A216" s="53" t="s">
        <v>229</v>
      </c>
      <c r="B216" s="8"/>
      <c r="C216" s="9" t="s">
        <v>33</v>
      </c>
      <c r="D216" s="107" t="s">
        <v>277</v>
      </c>
      <c r="E216" s="14" t="s">
        <v>114</v>
      </c>
      <c r="F216" s="125" t="s">
        <v>281</v>
      </c>
      <c r="G216" s="15">
        <v>38995</v>
      </c>
      <c r="H216" s="15">
        <v>39034</v>
      </c>
      <c r="I216" s="15" t="s">
        <v>110</v>
      </c>
      <c r="J216" s="61">
        <v>177.82</v>
      </c>
      <c r="K216" s="61">
        <v>35.56</v>
      </c>
      <c r="L216" s="109">
        <v>213.38</v>
      </c>
      <c r="M216" s="12">
        <f t="shared" si="40"/>
        <v>124.47399999999999</v>
      </c>
      <c r="N216" s="12"/>
      <c r="O216" s="82">
        <f t="shared" si="41"/>
        <v>124.47399999999999</v>
      </c>
      <c r="P216" s="12">
        <f t="shared" si="42"/>
        <v>80.90809999999999</v>
      </c>
      <c r="Q216" s="12"/>
      <c r="R216" s="82">
        <f t="shared" si="43"/>
        <v>80.90809999999999</v>
      </c>
      <c r="S216" s="153"/>
      <c r="T216" s="154"/>
    </row>
    <row r="217" spans="1:20" ht="22.5" customHeight="1">
      <c r="A217" s="53" t="s">
        <v>229</v>
      </c>
      <c r="B217" s="8"/>
      <c r="C217" s="9" t="s">
        <v>33</v>
      </c>
      <c r="D217" s="107" t="s">
        <v>277</v>
      </c>
      <c r="E217" s="14" t="s">
        <v>114</v>
      </c>
      <c r="F217" s="125" t="s">
        <v>282</v>
      </c>
      <c r="G217" s="15">
        <v>38936</v>
      </c>
      <c r="H217" s="15">
        <v>38973</v>
      </c>
      <c r="I217" s="15" t="s">
        <v>110</v>
      </c>
      <c r="J217" s="61">
        <v>254.16</v>
      </c>
      <c r="K217" s="61">
        <v>50.83</v>
      </c>
      <c r="L217" s="109">
        <v>304.99</v>
      </c>
      <c r="M217" s="12">
        <f t="shared" si="40"/>
        <v>177.91199999999998</v>
      </c>
      <c r="N217" s="12"/>
      <c r="O217" s="82">
        <f t="shared" si="41"/>
        <v>177.91199999999998</v>
      </c>
      <c r="P217" s="12">
        <f t="shared" si="42"/>
        <v>115.6428</v>
      </c>
      <c r="Q217" s="12"/>
      <c r="R217" s="82">
        <f t="shared" si="43"/>
        <v>115.6428</v>
      </c>
      <c r="S217" s="153"/>
      <c r="T217" s="154"/>
    </row>
    <row r="218" spans="1:20" ht="22.5" customHeight="1">
      <c r="A218" s="53" t="s">
        <v>229</v>
      </c>
      <c r="B218" s="8"/>
      <c r="C218" s="9" t="s">
        <v>33</v>
      </c>
      <c r="D218" s="107" t="s">
        <v>277</v>
      </c>
      <c r="E218" s="14" t="s">
        <v>108</v>
      </c>
      <c r="F218" s="125" t="s">
        <v>283</v>
      </c>
      <c r="G218" s="15">
        <v>38912</v>
      </c>
      <c r="H218" s="15">
        <v>38939</v>
      </c>
      <c r="I218" s="15" t="s">
        <v>110</v>
      </c>
      <c r="J218" s="61">
        <v>94.67</v>
      </c>
      <c r="K218" s="61">
        <v>18.93</v>
      </c>
      <c r="L218" s="109">
        <v>113.6</v>
      </c>
      <c r="M218" s="12">
        <f t="shared" si="40"/>
        <v>66.26899999999999</v>
      </c>
      <c r="N218" s="12"/>
      <c r="O218" s="82">
        <f t="shared" si="41"/>
        <v>66.26899999999999</v>
      </c>
      <c r="P218" s="12">
        <f t="shared" si="42"/>
        <v>43.07485</v>
      </c>
      <c r="Q218" s="12"/>
      <c r="R218" s="82">
        <f t="shared" si="43"/>
        <v>43.07485</v>
      </c>
      <c r="S218" s="153"/>
      <c r="T218" s="154"/>
    </row>
    <row r="219" spans="1:20" ht="22.5" customHeight="1">
      <c r="A219" s="53" t="s">
        <v>229</v>
      </c>
      <c r="B219" s="8"/>
      <c r="C219" s="9" t="s">
        <v>33</v>
      </c>
      <c r="D219" s="107" t="s">
        <v>277</v>
      </c>
      <c r="E219" s="14" t="s">
        <v>114</v>
      </c>
      <c r="F219" s="125" t="s">
        <v>284</v>
      </c>
      <c r="G219" s="15">
        <v>38875</v>
      </c>
      <c r="H219" s="15">
        <v>38911</v>
      </c>
      <c r="I219" s="15" t="s">
        <v>110</v>
      </c>
      <c r="J219" s="61">
        <v>349.55</v>
      </c>
      <c r="K219" s="61">
        <v>69.91</v>
      </c>
      <c r="L219" s="109">
        <v>419.46</v>
      </c>
      <c r="M219" s="12">
        <f t="shared" si="40"/>
        <v>244.685</v>
      </c>
      <c r="N219" s="12"/>
      <c r="O219" s="82">
        <f t="shared" si="41"/>
        <v>244.685</v>
      </c>
      <c r="P219" s="12">
        <f t="shared" si="42"/>
        <v>159.04525</v>
      </c>
      <c r="Q219" s="12"/>
      <c r="R219" s="82">
        <f t="shared" si="43"/>
        <v>159.04525</v>
      </c>
      <c r="S219" s="153"/>
      <c r="T219" s="154"/>
    </row>
    <row r="220" spans="1:20" ht="22.5" customHeight="1">
      <c r="A220" s="53" t="s">
        <v>229</v>
      </c>
      <c r="B220" s="8"/>
      <c r="C220" s="9" t="s">
        <v>33</v>
      </c>
      <c r="D220" s="107" t="s">
        <v>277</v>
      </c>
      <c r="E220" s="14" t="s">
        <v>108</v>
      </c>
      <c r="F220" s="125" t="s">
        <v>285</v>
      </c>
      <c r="G220" s="15">
        <v>38852</v>
      </c>
      <c r="H220" s="15">
        <v>38880</v>
      </c>
      <c r="I220" s="15" t="s">
        <v>110</v>
      </c>
      <c r="J220" s="61">
        <v>57.85</v>
      </c>
      <c r="K220" s="61">
        <v>11.57</v>
      </c>
      <c r="L220" s="109">
        <v>69.42</v>
      </c>
      <c r="M220" s="12">
        <f t="shared" si="40"/>
        <v>40.495</v>
      </c>
      <c r="N220" s="12"/>
      <c r="O220" s="82">
        <f t="shared" si="41"/>
        <v>40.495</v>
      </c>
      <c r="P220" s="12">
        <f t="shared" si="42"/>
        <v>26.321749999999998</v>
      </c>
      <c r="Q220" s="12"/>
      <c r="R220" s="82">
        <f t="shared" si="43"/>
        <v>26.321749999999998</v>
      </c>
      <c r="S220" s="153"/>
      <c r="T220" s="154"/>
    </row>
    <row r="221" spans="1:20" ht="22.5" customHeight="1">
      <c r="A221" s="53" t="s">
        <v>229</v>
      </c>
      <c r="B221" s="8"/>
      <c r="C221" s="9" t="s">
        <v>33</v>
      </c>
      <c r="D221" s="107" t="s">
        <v>277</v>
      </c>
      <c r="E221" s="14" t="s">
        <v>114</v>
      </c>
      <c r="F221" s="125" t="s">
        <v>286</v>
      </c>
      <c r="G221" s="15">
        <v>38813</v>
      </c>
      <c r="H221" s="15">
        <v>38852</v>
      </c>
      <c r="I221" s="15" t="s">
        <v>110</v>
      </c>
      <c r="J221" s="61">
        <v>297.95</v>
      </c>
      <c r="K221" s="61">
        <v>59.59</v>
      </c>
      <c r="L221" s="109">
        <v>357.54</v>
      </c>
      <c r="M221" s="12">
        <f t="shared" si="40"/>
        <v>208.56499999999997</v>
      </c>
      <c r="N221" s="12"/>
      <c r="O221" s="82">
        <f t="shared" si="41"/>
        <v>208.56499999999997</v>
      </c>
      <c r="P221" s="12">
        <f t="shared" si="42"/>
        <v>135.56724999999997</v>
      </c>
      <c r="Q221" s="12"/>
      <c r="R221" s="82">
        <f t="shared" si="43"/>
        <v>135.56724999999997</v>
      </c>
      <c r="S221" s="153"/>
      <c r="T221" s="154"/>
    </row>
    <row r="222" spans="1:20" ht="22.5" customHeight="1">
      <c r="A222" s="53" t="s">
        <v>229</v>
      </c>
      <c r="B222" s="8"/>
      <c r="C222" s="9" t="s">
        <v>33</v>
      </c>
      <c r="D222" s="107" t="s">
        <v>277</v>
      </c>
      <c r="E222" s="14" t="s">
        <v>287</v>
      </c>
      <c r="F222" s="125">
        <v>267225</v>
      </c>
      <c r="G222" s="15">
        <v>38850</v>
      </c>
      <c r="H222" s="15">
        <v>38867</v>
      </c>
      <c r="I222" s="15" t="s">
        <v>266</v>
      </c>
      <c r="J222" s="61">
        <v>62.66</v>
      </c>
      <c r="K222" s="61">
        <v>12.53</v>
      </c>
      <c r="L222" s="109">
        <v>75.19</v>
      </c>
      <c r="M222" s="12">
        <f aca="true" t="shared" si="44" ref="M222:M227">+J222*0.7</f>
        <v>43.861999999999995</v>
      </c>
      <c r="N222" s="12"/>
      <c r="O222" s="82">
        <f aca="true" t="shared" si="45" ref="O222:O227">+N222+M222</f>
        <v>43.861999999999995</v>
      </c>
      <c r="P222" s="12">
        <f aca="true" t="shared" si="46" ref="P222:P227">M222*0.65</f>
        <v>28.510299999999997</v>
      </c>
      <c r="Q222" s="12"/>
      <c r="R222" s="82">
        <f aca="true" t="shared" si="47" ref="R222:R227">+Q222+P222</f>
        <v>28.510299999999997</v>
      </c>
      <c r="S222" s="153"/>
      <c r="T222" s="154"/>
    </row>
    <row r="223" spans="1:20" ht="22.5" customHeight="1">
      <c r="A223" s="53" t="s">
        <v>229</v>
      </c>
      <c r="B223" s="8"/>
      <c r="C223" s="9" t="s">
        <v>33</v>
      </c>
      <c r="D223" s="107" t="s">
        <v>277</v>
      </c>
      <c r="E223" s="14" t="s">
        <v>287</v>
      </c>
      <c r="F223" s="125">
        <v>436583</v>
      </c>
      <c r="G223" s="15">
        <v>38939</v>
      </c>
      <c r="H223" s="15">
        <v>38979</v>
      </c>
      <c r="I223" s="15" t="s">
        <v>266</v>
      </c>
      <c r="J223" s="61">
        <v>156.38</v>
      </c>
      <c r="K223" s="61">
        <v>31.28</v>
      </c>
      <c r="L223" s="109">
        <v>187.66</v>
      </c>
      <c r="M223" s="12">
        <f t="shared" si="44"/>
        <v>109.466</v>
      </c>
      <c r="N223" s="12"/>
      <c r="O223" s="82">
        <f t="shared" si="45"/>
        <v>109.466</v>
      </c>
      <c r="P223" s="12">
        <f t="shared" si="46"/>
        <v>71.1529</v>
      </c>
      <c r="Q223" s="12"/>
      <c r="R223" s="82">
        <f t="shared" si="47"/>
        <v>71.1529</v>
      </c>
      <c r="S223" s="153"/>
      <c r="T223" s="154"/>
    </row>
    <row r="224" spans="1:20" ht="22.5" customHeight="1">
      <c r="A224" s="53" t="s">
        <v>229</v>
      </c>
      <c r="B224" s="8"/>
      <c r="C224" s="9" t="s">
        <v>33</v>
      </c>
      <c r="D224" s="107" t="s">
        <v>277</v>
      </c>
      <c r="E224" s="14" t="s">
        <v>287</v>
      </c>
      <c r="F224" s="125">
        <v>488576</v>
      </c>
      <c r="G224" s="15">
        <v>38969</v>
      </c>
      <c r="H224" s="15">
        <v>38997</v>
      </c>
      <c r="I224" s="15" t="s">
        <v>266</v>
      </c>
      <c r="J224" s="61">
        <v>122.72</v>
      </c>
      <c r="K224" s="61">
        <v>24.54</v>
      </c>
      <c r="L224" s="109">
        <v>147.26</v>
      </c>
      <c r="M224" s="12">
        <f t="shared" si="44"/>
        <v>85.904</v>
      </c>
      <c r="N224" s="12"/>
      <c r="O224" s="82">
        <f t="shared" si="45"/>
        <v>85.904</v>
      </c>
      <c r="P224" s="12">
        <f t="shared" si="46"/>
        <v>55.8376</v>
      </c>
      <c r="Q224" s="12"/>
      <c r="R224" s="82">
        <f t="shared" si="47"/>
        <v>55.8376</v>
      </c>
      <c r="S224" s="153"/>
      <c r="T224" s="154"/>
    </row>
    <row r="225" spans="1:20" ht="22.5" customHeight="1">
      <c r="A225" s="53" t="s">
        <v>229</v>
      </c>
      <c r="B225" s="8"/>
      <c r="C225" s="9" t="s">
        <v>33</v>
      </c>
      <c r="D225" s="107" t="s">
        <v>277</v>
      </c>
      <c r="E225" s="14" t="s">
        <v>287</v>
      </c>
      <c r="F225" s="125">
        <v>597821</v>
      </c>
      <c r="G225" s="15">
        <v>39033</v>
      </c>
      <c r="H225" s="15">
        <v>39058</v>
      </c>
      <c r="I225" s="15" t="s">
        <v>266</v>
      </c>
      <c r="J225" s="61">
        <v>450.85</v>
      </c>
      <c r="K225" s="61">
        <v>90.17</v>
      </c>
      <c r="L225" s="109">
        <v>541.02</v>
      </c>
      <c r="M225" s="12">
        <f t="shared" si="44"/>
        <v>315.59499999999997</v>
      </c>
      <c r="N225" s="12"/>
      <c r="O225" s="82">
        <f t="shared" si="45"/>
        <v>315.59499999999997</v>
      </c>
      <c r="P225" s="12">
        <f t="shared" si="46"/>
        <v>205.13674999999998</v>
      </c>
      <c r="Q225" s="12"/>
      <c r="R225" s="82">
        <f t="shared" si="47"/>
        <v>205.13674999999998</v>
      </c>
      <c r="S225" s="153"/>
      <c r="T225" s="154"/>
    </row>
    <row r="226" spans="1:20" ht="22.5" customHeight="1">
      <c r="A226" s="53" t="s">
        <v>229</v>
      </c>
      <c r="B226" s="8"/>
      <c r="C226" s="9" t="s">
        <v>33</v>
      </c>
      <c r="D226" s="107" t="s">
        <v>277</v>
      </c>
      <c r="E226" s="14" t="s">
        <v>287</v>
      </c>
      <c r="F226" s="125">
        <v>542521</v>
      </c>
      <c r="G226" s="15">
        <v>39001</v>
      </c>
      <c r="H226" s="15">
        <v>39028</v>
      </c>
      <c r="I226" s="15" t="s">
        <v>266</v>
      </c>
      <c r="J226" s="61">
        <v>159.3</v>
      </c>
      <c r="K226" s="61">
        <v>31.86</v>
      </c>
      <c r="L226" s="109">
        <v>191.16</v>
      </c>
      <c r="M226" s="12">
        <f t="shared" si="44"/>
        <v>111.51</v>
      </c>
      <c r="N226" s="12"/>
      <c r="O226" s="82">
        <f t="shared" si="45"/>
        <v>111.51</v>
      </c>
      <c r="P226" s="12">
        <f t="shared" si="46"/>
        <v>72.48150000000001</v>
      </c>
      <c r="Q226" s="12"/>
      <c r="R226" s="82">
        <f t="shared" si="47"/>
        <v>72.48150000000001</v>
      </c>
      <c r="S226" s="153"/>
      <c r="T226" s="154"/>
    </row>
    <row r="227" spans="1:20" ht="22.5" customHeight="1">
      <c r="A227" s="53" t="s">
        <v>229</v>
      </c>
      <c r="B227" s="8"/>
      <c r="C227" s="9" t="s">
        <v>33</v>
      </c>
      <c r="D227" s="107" t="s">
        <v>277</v>
      </c>
      <c r="E227" s="14" t="s">
        <v>287</v>
      </c>
      <c r="F227" s="125">
        <v>650565</v>
      </c>
      <c r="G227" s="15">
        <v>39061</v>
      </c>
      <c r="H227" s="15">
        <v>39089</v>
      </c>
      <c r="I227" s="15" t="s">
        <v>266</v>
      </c>
      <c r="J227" s="61">
        <v>228.33</v>
      </c>
      <c r="K227" s="61">
        <v>45.67</v>
      </c>
      <c r="L227" s="109">
        <v>274</v>
      </c>
      <c r="M227" s="12">
        <f t="shared" si="44"/>
        <v>159.831</v>
      </c>
      <c r="N227" s="12"/>
      <c r="O227" s="82">
        <f t="shared" si="45"/>
        <v>159.831</v>
      </c>
      <c r="P227" s="12">
        <f t="shared" si="46"/>
        <v>103.89014999999999</v>
      </c>
      <c r="Q227" s="12"/>
      <c r="R227" s="82">
        <f t="shared" si="47"/>
        <v>103.89014999999999</v>
      </c>
      <c r="S227" s="153"/>
      <c r="T227" s="154"/>
    </row>
    <row r="228" spans="1:20" ht="22.5" customHeight="1">
      <c r="A228" s="53" t="s">
        <v>229</v>
      </c>
      <c r="B228" s="8"/>
      <c r="C228" s="9" t="s">
        <v>33</v>
      </c>
      <c r="D228" s="107" t="s">
        <v>288</v>
      </c>
      <c r="E228" s="14" t="s">
        <v>102</v>
      </c>
      <c r="F228" s="125"/>
      <c r="G228" s="15">
        <v>39082</v>
      </c>
      <c r="H228" s="15"/>
      <c r="I228" s="15"/>
      <c r="J228" s="61">
        <v>1500</v>
      </c>
      <c r="K228" s="61"/>
      <c r="L228" s="109">
        <v>1500</v>
      </c>
      <c r="M228" s="12">
        <f>+J228*0.7</f>
        <v>1050</v>
      </c>
      <c r="N228" s="12"/>
      <c r="O228" s="82">
        <f>+N228+M228</f>
        <v>1050</v>
      </c>
      <c r="P228" s="12">
        <f>M228*0.65</f>
        <v>682.5</v>
      </c>
      <c r="Q228" s="12"/>
      <c r="R228" s="82">
        <f>+Q228+P228</f>
        <v>682.5</v>
      </c>
      <c r="S228" s="153"/>
      <c r="T228" s="154"/>
    </row>
    <row r="229" spans="1:20" ht="22.5" customHeight="1">
      <c r="A229" s="53"/>
      <c r="B229" s="8"/>
      <c r="C229" s="9"/>
      <c r="D229" s="107"/>
      <c r="E229" s="14"/>
      <c r="F229" s="125"/>
      <c r="G229" s="15"/>
      <c r="H229" s="15"/>
      <c r="I229" s="15"/>
      <c r="J229" s="61"/>
      <c r="K229" s="61"/>
      <c r="L229" s="109"/>
      <c r="M229" s="12"/>
      <c r="N229" s="12"/>
      <c r="O229" s="82"/>
      <c r="P229" s="12"/>
      <c r="Q229" s="12"/>
      <c r="R229" s="82"/>
      <c r="S229" s="153"/>
      <c r="T229" s="154"/>
    </row>
    <row r="231" spans="4:6" ht="12.75">
      <c r="D231" s="143"/>
      <c r="E231" s="141"/>
      <c r="F231"/>
    </row>
    <row r="232" spans="4:6" ht="12.75">
      <c r="D232" s="143"/>
      <c r="E232" s="141"/>
      <c r="F232"/>
    </row>
    <row r="233" spans="4:6" ht="12.75">
      <c r="D233" s="143"/>
      <c r="E233" s="141"/>
      <c r="F233"/>
    </row>
    <row r="234" spans="4:6" ht="12.75">
      <c r="D234" s="143"/>
      <c r="E234" s="141"/>
      <c r="F234"/>
    </row>
    <row r="235" spans="4:6" ht="12.75">
      <c r="D235" s="143"/>
      <c r="E235" s="141"/>
      <c r="F235"/>
    </row>
    <row r="236" spans="4:6" ht="12.75">
      <c r="D236"/>
      <c r="E236" s="142"/>
      <c r="F236"/>
    </row>
  </sheetData>
  <sheetProtection/>
  <mergeCells count="191">
    <mergeCell ref="S229:T229"/>
    <mergeCell ref="S197:T197"/>
    <mergeCell ref="S177:T177"/>
    <mergeCell ref="S171:T171"/>
    <mergeCell ref="S172:T172"/>
    <mergeCell ref="S173:T173"/>
    <mergeCell ref="S174:T174"/>
    <mergeCell ref="S180:T180"/>
    <mergeCell ref="S179:T179"/>
    <mergeCell ref="S185:T185"/>
    <mergeCell ref="S165:T165"/>
    <mergeCell ref="S166:T166"/>
    <mergeCell ref="S167:T167"/>
    <mergeCell ref="S168:T168"/>
    <mergeCell ref="C143:I143"/>
    <mergeCell ref="S143:T143"/>
    <mergeCell ref="S140:T140"/>
    <mergeCell ref="S141:T141"/>
    <mergeCell ref="S142:T142"/>
    <mergeCell ref="C178:I178"/>
    <mergeCell ref="S147:T147"/>
    <mergeCell ref="S149:T149"/>
    <mergeCell ref="S150:T150"/>
    <mergeCell ref="S151:T151"/>
    <mergeCell ref="S152:T152"/>
    <mergeCell ref="S153:T153"/>
    <mergeCell ref="S155:T155"/>
    <mergeCell ref="S156:T156"/>
    <mergeCell ref="S157:T157"/>
    <mergeCell ref="C68:K68"/>
    <mergeCell ref="C69:K69"/>
    <mergeCell ref="C25:K25"/>
    <mergeCell ref="C30:K30"/>
    <mergeCell ref="C46:I46"/>
    <mergeCell ref="C62:K62"/>
    <mergeCell ref="C37:I37"/>
    <mergeCell ref="A133:B138"/>
    <mergeCell ref="C133:K133"/>
    <mergeCell ref="C138:K138"/>
    <mergeCell ref="S78:T78"/>
    <mergeCell ref="S79:T79"/>
    <mergeCell ref="C103:I103"/>
    <mergeCell ref="S103:T103"/>
    <mergeCell ref="C106:I106"/>
    <mergeCell ref="C119:I119"/>
    <mergeCell ref="S119:T119"/>
    <mergeCell ref="C132:K132"/>
    <mergeCell ref="C83:I83"/>
    <mergeCell ref="A96:B101"/>
    <mergeCell ref="C96:K96"/>
    <mergeCell ref="C95:K95"/>
    <mergeCell ref="C122:I122"/>
    <mergeCell ref="A112:B117"/>
    <mergeCell ref="C112:K112"/>
    <mergeCell ref="C117:K117"/>
    <mergeCell ref="C111:K111"/>
    <mergeCell ref="A69:B74"/>
    <mergeCell ref="C74:K74"/>
    <mergeCell ref="C76:I76"/>
    <mergeCell ref="A1:T1"/>
    <mergeCell ref="S22:T22"/>
    <mergeCell ref="S16:T16"/>
    <mergeCell ref="S18:T18"/>
    <mergeCell ref="S19:T19"/>
    <mergeCell ref="A9:B14"/>
    <mergeCell ref="S15:T15"/>
    <mergeCell ref="C8:L8"/>
    <mergeCell ref="S20:T20"/>
    <mergeCell ref="S21:T21"/>
    <mergeCell ref="A25:B30"/>
    <mergeCell ref="C17:I17"/>
    <mergeCell ref="S17:T17"/>
    <mergeCell ref="C24:K24"/>
    <mergeCell ref="S76:T76"/>
    <mergeCell ref="S93:T93"/>
    <mergeCell ref="S104:T104"/>
    <mergeCell ref="S102:T102"/>
    <mergeCell ref="S85:T85"/>
    <mergeCell ref="S90:T90"/>
    <mergeCell ref="S91:T91"/>
    <mergeCell ref="C56:K56"/>
    <mergeCell ref="S37:T37"/>
    <mergeCell ref="S38:T38"/>
    <mergeCell ref="S44:T45"/>
    <mergeCell ref="S42:T42"/>
    <mergeCell ref="S43:T43"/>
    <mergeCell ref="S31:T31"/>
    <mergeCell ref="S49:T49"/>
    <mergeCell ref="S51:T51"/>
    <mergeCell ref="S50:T50"/>
    <mergeCell ref="S32:T36"/>
    <mergeCell ref="S88:T88"/>
    <mergeCell ref="S89:T89"/>
    <mergeCell ref="S86:T86"/>
    <mergeCell ref="A57:B62"/>
    <mergeCell ref="C57:K57"/>
    <mergeCell ref="S82:T82"/>
    <mergeCell ref="S84:T84"/>
    <mergeCell ref="S80:T80"/>
    <mergeCell ref="S75:T75"/>
    <mergeCell ref="S77:T77"/>
    <mergeCell ref="S126:T126"/>
    <mergeCell ref="S178:T178"/>
    <mergeCell ref="S146:T146"/>
    <mergeCell ref="S39:T39"/>
    <mergeCell ref="S40:T40"/>
    <mergeCell ref="S64:T65"/>
    <mergeCell ref="S123:T123"/>
    <mergeCell ref="S118:T118"/>
    <mergeCell ref="S109:T109"/>
    <mergeCell ref="S87:T87"/>
    <mergeCell ref="S124:T124"/>
    <mergeCell ref="S120:T120"/>
    <mergeCell ref="S121:T121"/>
    <mergeCell ref="S125:T125"/>
    <mergeCell ref="S148:T148"/>
    <mergeCell ref="S130:T130"/>
    <mergeCell ref="S162:T162"/>
    <mergeCell ref="S163:T163"/>
    <mergeCell ref="S144:T144"/>
    <mergeCell ref="S158:T158"/>
    <mergeCell ref="S159:T159"/>
    <mergeCell ref="S145:T145"/>
    <mergeCell ref="D196:I196"/>
    <mergeCell ref="S196:T196"/>
    <mergeCell ref="S186:T186"/>
    <mergeCell ref="S187:T187"/>
    <mergeCell ref="S188:T188"/>
    <mergeCell ref="S189:T189"/>
    <mergeCell ref="S190:T190"/>
    <mergeCell ref="S192:T192"/>
    <mergeCell ref="S193:T193"/>
    <mergeCell ref="S194:T194"/>
    <mergeCell ref="S164:T164"/>
    <mergeCell ref="S183:T183"/>
    <mergeCell ref="S176:T176"/>
    <mergeCell ref="S184:T184"/>
    <mergeCell ref="S169:T169"/>
    <mergeCell ref="S170:T170"/>
    <mergeCell ref="S175:T175"/>
    <mergeCell ref="S195:T195"/>
    <mergeCell ref="S129:T129"/>
    <mergeCell ref="S128:T128"/>
    <mergeCell ref="S139:T139"/>
    <mergeCell ref="S181:T181"/>
    <mergeCell ref="S182:T182"/>
    <mergeCell ref="S154:T154"/>
    <mergeCell ref="S160:T160"/>
    <mergeCell ref="S161:T161"/>
    <mergeCell ref="S191:T191"/>
    <mergeCell ref="S127:T127"/>
    <mergeCell ref="S52:T52"/>
    <mergeCell ref="S53:T53"/>
    <mergeCell ref="S92:T92"/>
    <mergeCell ref="S108:T108"/>
    <mergeCell ref="S54:T54"/>
    <mergeCell ref="S63:T63"/>
    <mergeCell ref="S66:T66"/>
    <mergeCell ref="S105:T105"/>
    <mergeCell ref="S81:T81"/>
    <mergeCell ref="S208:T208"/>
    <mergeCell ref="S209:T209"/>
    <mergeCell ref="S198:T198"/>
    <mergeCell ref="S199:T199"/>
    <mergeCell ref="S200:T200"/>
    <mergeCell ref="S201:T201"/>
    <mergeCell ref="S202:T202"/>
    <mergeCell ref="S203:T203"/>
    <mergeCell ref="S204:T204"/>
    <mergeCell ref="S205:T205"/>
    <mergeCell ref="S206:T206"/>
    <mergeCell ref="S207:T207"/>
    <mergeCell ref="S220:T220"/>
    <mergeCell ref="S221:T221"/>
    <mergeCell ref="S210:T210"/>
    <mergeCell ref="S211:T211"/>
    <mergeCell ref="S212:T212"/>
    <mergeCell ref="S213:T213"/>
    <mergeCell ref="S214:T214"/>
    <mergeCell ref="S215:T215"/>
    <mergeCell ref="S216:T216"/>
    <mergeCell ref="S217:T217"/>
    <mergeCell ref="S218:T218"/>
    <mergeCell ref="S219:T219"/>
    <mergeCell ref="S228:T228"/>
    <mergeCell ref="S222:T222"/>
    <mergeCell ref="S223:T223"/>
    <mergeCell ref="S224:T224"/>
    <mergeCell ref="S225:T225"/>
    <mergeCell ref="S226:T226"/>
    <mergeCell ref="S227:T227"/>
  </mergeCells>
  <printOptions horizontalCentered="1"/>
  <pageMargins left="0.19" right="0.17" top="0.22" bottom="0.27" header="0.17" footer="0.17"/>
  <pageSetup horizontalDpi="300" verticalDpi="3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2007-11-19T10:59:16Z</cp:lastPrinted>
  <dcterms:created xsi:type="dcterms:W3CDTF">2005-04-28T08:10:49Z</dcterms:created>
  <dcterms:modified xsi:type="dcterms:W3CDTF">2007-11-19T11:04:13Z</dcterms:modified>
  <cp:category/>
  <cp:version/>
  <cp:contentType/>
  <cp:contentStatus/>
</cp:coreProperties>
</file>