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1" sheetId="1" r:id="rId1"/>
    <sheet name="Complessivo" sheetId="2" r:id="rId2"/>
  </sheets>
  <definedNames>
    <definedName name="_xlnm._FilterDatabase" localSheetId="1" hidden="1">'Complessivo'!$A$8:$T$136</definedName>
    <definedName name="_xlnm.Print_Area" localSheetId="1">'Complessivo'!$A$1:$T$136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1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costruzione dell'aliquota oraria. 
OK al 6-6-05 presentata aliquota oraria</t>
        </r>
      </text>
    </comment>
    <comment ref="S1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aliquote utilizzate sono differenti da quelle esposte. Si accettano in quanto mediamente inferiori</t>
        </r>
      </text>
    </comment>
    <comment ref="S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parcella. Liberatoria non conforme. Banca diversa dalla titolare
6/6/05 Presentate le parcelle e le liberatorie</t>
        </r>
      </text>
    </comment>
    <comment ref="S3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parcella. Liberatoria non conforme. Banca diversa dalla titolare
6/6/05 Presentate le parcelle e le liberatorie</t>
        </r>
      </text>
    </comment>
    <comment ref="S3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parcella. Liberatoria non conforme. Contratto a nome errato. Banca diversa dalla titolare
6/6/05 Presentate le parcelle e le liberatorie</t>
        </r>
      </text>
    </comment>
    <comment ref="S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pagamento contributi inps e irpef</t>
        </r>
      </text>
    </comment>
    <comment ref="S6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Banca non titolare. Manca dimostrazione riscossione assegno
6/6/05 Mostrati estratti bancari</t>
        </r>
      </text>
    </comment>
    <comment ref="S9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Banca non titolare. Manca dimostrazione riscossione assegno
6/6/05 Mostrati estratti bancari</t>
        </r>
      </text>
    </comment>
    <comment ref="S1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Banca non titolare. Manca dimostrazione riscossione assegno
6/6/05 Mostrati estratti bancari</t>
        </r>
      </text>
    </comment>
    <comment ref="S1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data assegno. Assegno non della Banca titolare: Ammissibile comunque</t>
        </r>
      </text>
    </comment>
    <comment ref="S1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ricevute e ci sono solo i bonifici bancari dei pagamenti su banca diversa. Ammessi comunque</t>
        </r>
      </text>
    </comment>
    <comment ref="S13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spesa rimane ammissibile solo nel caso in cui la sede di cui si paga il fitto è dedicata esclusivamente al progetto finanziato</t>
        </r>
      </text>
    </comment>
    <comment ref="S13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spesa rimane ammissibile solo nel caso in cui la sede di cui si paga il fitto è dedicata esclusivamente al progetto finanziato</t>
        </r>
      </text>
    </comment>
    <comment ref="S4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CV. Ok 05/04/06</t>
        </r>
      </text>
    </comment>
    <comment ref="S3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CV. ok</t>
        </r>
      </text>
    </comment>
    <comment ref="S4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CV di Piacquaddio e De Cosimo e comunque avendo firmato in terza fascia il compenso massimo è di 180 euro x giorno. Quindi 180x116=20.880,00 e non 23.312.,50 OK</t>
        </r>
      </text>
    </comment>
    <comment ref="S3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pagamento del 9-2-05 Non ammesso</t>
        </r>
      </text>
    </comment>
    <comment ref="S4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pagamento fattura del 9-2-05 Non ammesso</t>
        </r>
      </text>
    </comment>
    <comment ref="S4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CV</t>
        </r>
      </text>
    </comment>
    <comment ref="S9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Pagato solo acconto di 5.000 su fattura a saldo. Non ammessa</t>
        </r>
      </text>
    </comment>
    <comment ref="S9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Costi ammessi provvisoriamente in attesa di verifica.Ammessa tutta fattura vedi sopra</t>
        </r>
      </text>
    </comment>
    <comment ref="S13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spesa rimane ammissibile solo nel caso in cui la sede di cui si paga il fitto è dedicata esclusivamente al progetto finanziato</t>
        </r>
      </text>
    </comment>
  </commentList>
</comments>
</file>

<file path=xl/sharedStrings.xml><?xml version="1.0" encoding="utf-8"?>
<sst xmlns="http://schemas.openxmlformats.org/spreadsheetml/2006/main" count="577" uniqueCount="198">
  <si>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</si>
  <si>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</si>
  <si>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</si>
  <si>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</si>
  <si>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</si>
  <si>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</si>
  <si>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</si>
  <si>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</si>
  <si>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</si>
  <si>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</si>
  <si>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</si>
  <si>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</si>
  <si>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</si>
  <si>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</si>
  <si>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</si>
  <si>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</si>
  <si>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</si>
  <si>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</si>
  <si>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</si>
  <si>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</si>
  <si>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</si>
  <si>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Contributo</t>
  </si>
  <si>
    <t>NOLO LEASING AMM</t>
  </si>
  <si>
    <t>Partner</t>
  </si>
  <si>
    <t>Ant.</t>
  </si>
  <si>
    <t>Erogare</t>
  </si>
  <si>
    <t>Spesa</t>
  </si>
  <si>
    <t>Ass.I.Olivi-Multimedia</t>
  </si>
  <si>
    <t>Coordinamento interno Att.11 Tartaglia Paolo, Patrizia Pizzarelli, Petrocelli Alessandro, De Cosmo Gabriella</t>
  </si>
  <si>
    <t>Roberto Papadia</t>
  </si>
  <si>
    <t>Compensi per 126gg</t>
  </si>
  <si>
    <t>ASSIOLIVI</t>
  </si>
  <si>
    <t>Bonifico</t>
  </si>
  <si>
    <t>07/12/2004
28/12/2004</t>
  </si>
  <si>
    <t>07/12/2004
23/11/2004
29/12/2004</t>
  </si>
  <si>
    <t>Stefania Papadia</t>
  </si>
  <si>
    <t>Euromediterranea p.s.c.a.r.l.</t>
  </si>
  <si>
    <t>4 persone esp in agev. Finanziaria</t>
  </si>
  <si>
    <t>bonifico Banca del Monte</t>
  </si>
  <si>
    <t>A.B. Unicredit</t>
  </si>
  <si>
    <t>Noleggio e manutenzione di 15 pc</t>
  </si>
  <si>
    <t>Cablaggio sede - n.15 schede di rete - n.2 switch Tricom</t>
  </si>
  <si>
    <t>06/12/2004
23/12/2004
29/12/2004</t>
  </si>
  <si>
    <t>Valori bollati</t>
  </si>
  <si>
    <t>Giovannozzi</t>
  </si>
  <si>
    <t>contanti</t>
  </si>
  <si>
    <t>Pagamento in contanti non ammesso</t>
  </si>
  <si>
    <t>Guerra Luigi</t>
  </si>
  <si>
    <t>ricevuta</t>
  </si>
  <si>
    <t>Non presenta fattura ma solo ricevuta e pagamento in contanti</t>
  </si>
  <si>
    <t>Telecom</t>
  </si>
  <si>
    <t>Spese tefoniche 0881-790915 fatt 4-04</t>
  </si>
  <si>
    <t>8S00631866</t>
  </si>
  <si>
    <t>c/c postale</t>
  </si>
  <si>
    <t>Spese tefoniche 0881-790915 fatt 5-04</t>
  </si>
  <si>
    <t>8S00837890</t>
  </si>
  <si>
    <t>Spese tefoniche 0881-790915 fatt 6-04</t>
  </si>
  <si>
    <t>8S01040755</t>
  </si>
  <si>
    <t>Pulizia sede</t>
  </si>
  <si>
    <t>L.P.C. Restauro</t>
  </si>
  <si>
    <t>Fitto locale Giu-Dic (escl. Ago)</t>
  </si>
  <si>
    <t>Gentile Annamaria</t>
  </si>
  <si>
    <t>manca</t>
  </si>
  <si>
    <t>16/06/2004
23/08/2004
23/11/2004</t>
  </si>
  <si>
    <t>Bonifico Unicredit</t>
  </si>
  <si>
    <t>Note</t>
  </si>
  <si>
    <t>II</t>
  </si>
  <si>
    <t>SAL 1</t>
  </si>
  <si>
    <t>SAL 2</t>
  </si>
  <si>
    <t>TOT GEN</t>
  </si>
  <si>
    <t>TOT SAL 1</t>
  </si>
  <si>
    <t>TOT SAL 2</t>
  </si>
  <si>
    <t>PERIODO SAL 1 - 01/06/2004 - 31/12/2004</t>
  </si>
  <si>
    <t>PERIODO SAL 2 - 01/01/2005 - 28/02/2005</t>
  </si>
  <si>
    <t>Roberto PAPADIA</t>
  </si>
  <si>
    <t>Stefania PAPADIA</t>
  </si>
  <si>
    <t>Assistenza per la realizzazione del cablaggio</t>
  </si>
  <si>
    <t>Helios S.r.l.</t>
  </si>
  <si>
    <t>Armadio Rack 19" 42U prof. 800 larg. 600</t>
  </si>
  <si>
    <t>Acconto n° 3 Server Rack 2U.IXA/doppio intel</t>
  </si>
  <si>
    <t>Licenze d'uso windows xp professional e Microsoft office 2003 pro</t>
  </si>
  <si>
    <t>Coordinamento interno Att.11 Tartaglia Paolo, Petrocelli Alessandro, De Cosmo Gabriella</t>
  </si>
  <si>
    <t>Ass. circ.</t>
  </si>
  <si>
    <t>Ass. banc.</t>
  </si>
  <si>
    <t>Compensi per 42gg</t>
  </si>
  <si>
    <t>Parcella n°1</t>
  </si>
  <si>
    <t>09/02/2005 28/02/2005</t>
  </si>
  <si>
    <t>Ass. circ. Ass. banc.</t>
  </si>
  <si>
    <t>01/02/2005 28/02/2005</t>
  </si>
  <si>
    <t>PERIODO SAL 3 - 01/03/2005 - 30/06/2005</t>
  </si>
  <si>
    <t>III</t>
  </si>
  <si>
    <t>TOT SAL 3</t>
  </si>
  <si>
    <t>SAL 3</t>
  </si>
  <si>
    <t>TOT PROGETTO=</t>
  </si>
  <si>
    <t>CONTRIBUTO=</t>
  </si>
  <si>
    <t>CONTRIBUTO IVA=</t>
  </si>
  <si>
    <t>TOT CONTRIBUTO=</t>
  </si>
  <si>
    <t>RIEPILOGO SPESE - 47 ASSOLIVI</t>
  </si>
  <si>
    <t>IVA AMMESSA</t>
  </si>
  <si>
    <t>TOTALE AMMESSO</t>
  </si>
  <si>
    <t xml:space="preserve">IVA CONTRIBUTO </t>
  </si>
  <si>
    <t>TOTALE CONTRIBUTO</t>
  </si>
  <si>
    <t>COSTI AMMESSI</t>
  </si>
  <si>
    <t>Gaetano De Pretis, Carmela Mariella, Carlo Antonio Poppa</t>
  </si>
  <si>
    <t>IV</t>
  </si>
  <si>
    <t>SAL 4</t>
  </si>
  <si>
    <t xml:space="preserve">Coordinamento </t>
  </si>
  <si>
    <t>Assistenza specialistica</t>
  </si>
  <si>
    <t xml:space="preserve">Consulenza per realizzazione portale </t>
  </si>
  <si>
    <t>Assegno bancario</t>
  </si>
  <si>
    <t>Euromediterranea pscarl</t>
  </si>
  <si>
    <t xml:space="preserve">n° 58  </t>
  </si>
  <si>
    <t>Bonifico                            Bonifico</t>
  </si>
  <si>
    <t>Helios s.r.l.</t>
  </si>
  <si>
    <t>n° 13</t>
  </si>
  <si>
    <t>01/08/05                                    09/09/05</t>
  </si>
  <si>
    <t>Portale</t>
  </si>
  <si>
    <t>Noleggio attrezzature</t>
  </si>
  <si>
    <t>Fitto sede</t>
  </si>
  <si>
    <t>Gentile Anna Maria</t>
  </si>
  <si>
    <t>TOT SAL 4</t>
  </si>
  <si>
    <t>PERIODO SAL 4 - 01/07/2005 - 30/09/2005</t>
  </si>
  <si>
    <t>Coordinamento interno Att.11 Tartaglia, Petrocelli, De Cosmo, Pizzarelli</t>
  </si>
  <si>
    <t>V</t>
  </si>
  <si>
    <t>TOT SAL 5</t>
  </si>
  <si>
    <t>SAL 5</t>
  </si>
  <si>
    <t>Coordinamento</t>
  </si>
  <si>
    <t>Parcella n° 2</t>
  </si>
  <si>
    <t>Assistenza sul portale</t>
  </si>
  <si>
    <t>Fattura n° 3</t>
  </si>
  <si>
    <t>Fattura n° 4</t>
  </si>
  <si>
    <t>UTENZE TELEFONICHE</t>
  </si>
  <si>
    <t>TELECOM</t>
  </si>
  <si>
    <t>8S00211045</t>
  </si>
  <si>
    <t>C/C POSTALE</t>
  </si>
  <si>
    <t>8S00415802</t>
  </si>
  <si>
    <t>AFFITTO LOCALI - MESI GENNAIO, FEBBRAIO, MARZO</t>
  </si>
  <si>
    <t>ANNA MARIA GENTILE</t>
  </si>
  <si>
    <t>Bonifico Bancario</t>
  </si>
  <si>
    <t>AFFITTO LOCALI - MESI APRILE, MAGGIO, GIUGNO</t>
  </si>
  <si>
    <t>Bonifico bancario</t>
  </si>
  <si>
    <t>01/08/05                                  15/09/05</t>
  </si>
  <si>
    <t>inizio</t>
  </si>
  <si>
    <t>fine</t>
  </si>
  <si>
    <t>CONTRIBUTO</t>
  </si>
  <si>
    <t>PREVISTO</t>
  </si>
  <si>
    <t>RESIDUO</t>
  </si>
  <si>
    <t>AMMESSO</t>
  </si>
  <si>
    <t>Costi ammessi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</si>
  <si>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</si>
  <si>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</si>
  <si>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</si>
  <si>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</si>
  <si>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</si>
  <si>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</si>
  <si>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</si>
  <si>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</si>
  <si>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</si>
  <si>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</si>
  <si>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</si>
  <si>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</si>
  <si>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</si>
  <si>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</si>
  <si>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</si>
  <si>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</si>
  <si>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</si>
  <si>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</si>
  <si>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</si>
  <si>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</si>
  <si>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ASSOLIVI  n.ro 47</t>
  </si>
  <si>
    <t>progetto di 10 + 6 mesi</t>
  </si>
  <si>
    <t>SAL 1 - 01/06/2004 - 31/12/2004</t>
  </si>
  <si>
    <t>SAL 2 - 01/01/2005 - 28/02/2005</t>
  </si>
  <si>
    <t>SAL 3 - 01/03/2005 - 30/06/2005</t>
  </si>
  <si>
    <t>SAL 4 - 01/07/2005 - 30/09/2005</t>
  </si>
  <si>
    <t>anticipazione</t>
  </si>
  <si>
    <t>Non ammesso il contratto stipulato a Carlo Poppa nel IV SAL</t>
  </si>
  <si>
    <t>Ass.I.Olivi.Puglia - A.I.P.O.</t>
  </si>
  <si>
    <t>si</t>
  </si>
  <si>
    <t>PERIODO SAL 5 - 01/10/2005 - 30/03/2006</t>
  </si>
  <si>
    <t>SAL 5 - 01/10/2005 - 30/03/2006</t>
  </si>
  <si>
    <t>Gaetano De Pretis, Carmela Mariella, Marco Mangione, Stefano Chierchia, F.sco Ventre</t>
  </si>
  <si>
    <t>Vincenzo PETROCELLI</t>
  </si>
  <si>
    <t>31/03/2005
16/05/2005</t>
  </si>
  <si>
    <t>Ass.Banc.
Ass.Circ.</t>
  </si>
  <si>
    <t>Assegno bancario
Bonifico</t>
  </si>
  <si>
    <t>1Assegno   bancario
2Bonifico</t>
  </si>
  <si>
    <t>21/12/2004
29/04/2005</t>
  </si>
  <si>
    <t>06/04/2005
01/08/2005</t>
  </si>
  <si>
    <t>Integrazione II sal</t>
  </si>
  <si>
    <t>assegno bancario</t>
  </si>
  <si>
    <t>Segretariato amministrativo</t>
  </si>
  <si>
    <t>Ass.banc</t>
  </si>
  <si>
    <t xml:space="preserve">Connettività della sede ed installazione linea dedicata Mercurio ADSL 2Mega128 ad 8 indirizzi IP statici comprensiva di router ADSL AR24OE </t>
  </si>
  <si>
    <t>Project++ srl</t>
  </si>
  <si>
    <r>
      <t xml:space="preserve">DICHIARAZIONE DI COMPETENZA PROGETTO </t>
    </r>
    <r>
      <rPr>
        <b/>
        <sz val="8"/>
        <rFont val="Times New Roman"/>
        <family val="1"/>
      </rPr>
      <t>80%</t>
    </r>
  </si>
  <si>
    <t>LIQUIDAZIONE IVA SAL PRECEDENTI</t>
  </si>
  <si>
    <t>RENDICONTATO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</si>
</sst>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[$-410]dddd\ d\ mmmm\ yyyy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0"/>
    </font>
    <font>
      <sz val="6"/>
      <name val="Tahoma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vertical="top" wrapText="1"/>
    </xf>
    <xf numFmtId="4" fontId="6" fillId="0" borderId="1" xfId="17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4" fontId="6" fillId="0" borderId="1" xfId="17" applyNumberFormat="1" applyFont="1" applyFill="1" applyBorder="1" applyAlignment="1">
      <alignment horizontal="right"/>
    </xf>
    <xf numFmtId="172" fontId="6" fillId="0" borderId="1" xfId="17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right" wrapText="1"/>
    </xf>
    <xf numFmtId="4" fontId="2" fillId="0" borderId="1" xfId="17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172" fontId="6" fillId="0" borderId="1" xfId="17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/>
    </xf>
    <xf numFmtId="4" fontId="1" fillId="0" borderId="7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 horizontal="right"/>
      <protection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1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" fontId="2" fillId="0" borderId="1" xfId="17" applyNumberFormat="1" applyFont="1" applyFill="1" applyBorder="1" applyAlignment="1">
      <alignment/>
    </xf>
    <xf numFmtId="4" fontId="2" fillId="0" borderId="1" xfId="17" applyNumberFormat="1" applyFont="1" applyFill="1" applyBorder="1" applyAlignment="1">
      <alignment wrapText="1"/>
    </xf>
    <xf numFmtId="4" fontId="2" fillId="0" borderId="1" xfId="17" applyNumberFormat="1" applyFont="1" applyFill="1" applyBorder="1" applyAlignment="1">
      <alignment readingOrder="1"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2" fillId="0" borderId="1" xfId="17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  <xf numFmtId="171" fontId="2" fillId="0" borderId="1" xfId="19" applyNumberFormat="1" applyFont="1" applyFill="1" applyBorder="1" applyAlignment="1">
      <alignment horizontal="right"/>
    </xf>
    <xf numFmtId="17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justify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/>
    </xf>
    <xf numFmtId="4" fontId="2" fillId="0" borderId="1" xfId="17" applyNumberFormat="1" applyFont="1" applyFill="1" applyBorder="1" applyAlignment="1">
      <alignment/>
    </xf>
    <xf numFmtId="4" fontId="2" fillId="0" borderId="1" xfId="18" applyNumberFormat="1" applyFont="1" applyFill="1" applyBorder="1" applyAlignment="1">
      <alignment/>
    </xf>
    <xf numFmtId="172" fontId="2" fillId="0" borderId="1" xfId="17" applyNumberFormat="1" applyFont="1" applyFill="1" applyBorder="1" applyAlignment="1">
      <alignment/>
    </xf>
    <xf numFmtId="39" fontId="2" fillId="0" borderId="1" xfId="17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4" fontId="1" fillId="0" borderId="14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10" fontId="5" fillId="0" borderId="8" xfId="0" applyNumberFormat="1" applyFont="1" applyFill="1" applyBorder="1" applyAlignment="1">
      <alignment/>
    </xf>
    <xf numFmtId="9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4" fontId="11" fillId="0" borderId="3" xfId="0" applyNumberFormat="1" applyFont="1" applyFill="1" applyBorder="1" applyAlignment="1">
      <alignment/>
    </xf>
    <xf numFmtId="4" fontId="7" fillId="0" borderId="0" xfId="0" applyNumberFormat="1" applyFont="1" applyFill="1" applyAlignment="1">
      <alignment horizontal="right"/>
    </xf>
    <xf numFmtId="10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" fontId="1" fillId="0" borderId="6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4" fontId="1" fillId="0" borderId="1" xfId="0" applyNumberFormat="1" applyFont="1" applyFill="1" applyBorder="1" applyAlignment="1" applyProtection="1">
      <alignment horizontal="right"/>
      <protection/>
    </xf>
    <xf numFmtId="4" fontId="1" fillId="0" borderId="3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workbookViewId="0" topLeftCell="A1">
      <selection activeCell="D6" sqref="D6"/>
    </sheetView>
  </sheetViews>
  <sheetFormatPr defaultColWidth="9.140625" defaultRowHeight="12.75"/>
  <cols>
    <col min="1" max="1" width="9.140625" style="156" customWidth="1"/>
    <col min="2" max="2" width="9.7109375" style="156" customWidth="1"/>
    <col min="3" max="3" width="9.421875" style="156" customWidth="1"/>
    <col min="4" max="4" width="11.140625" style="156" customWidth="1"/>
    <col min="5" max="5" width="11.57421875" style="156" customWidth="1"/>
    <col min="6" max="7" width="12.8515625" style="156" customWidth="1"/>
    <col min="8" max="8" width="12.421875" style="156" customWidth="1"/>
    <col min="9" max="9" width="11.28125" style="156" customWidth="1"/>
    <col min="10" max="10" width="10.140625" style="156" customWidth="1"/>
    <col min="11" max="11" width="10.00390625" style="156" customWidth="1"/>
    <col min="12" max="12" width="10.140625" style="156" bestFit="1" customWidth="1"/>
    <col min="13" max="16384" width="9.140625" style="156" customWidth="1"/>
  </cols>
  <sheetData>
    <row r="2" spans="1:11" ht="12.75">
      <c r="A2" s="155" t="s">
        <v>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6" spans="1:10" ht="12.75">
      <c r="A6" s="157" t="s">
        <v>0</v>
      </c>
      <c r="B6" s="158"/>
      <c r="C6" s="158"/>
      <c r="D6" s="159" t="s">
        <v>27</v>
      </c>
      <c r="E6" s="160"/>
      <c r="I6" s="156" t="s">
        <v>142</v>
      </c>
      <c r="J6" s="161">
        <v>38139</v>
      </c>
    </row>
    <row r="7" spans="1:10" ht="12.75">
      <c r="A7" s="162" t="s">
        <v>93</v>
      </c>
      <c r="B7" s="163"/>
      <c r="C7" s="163"/>
      <c r="D7" s="164">
        <f>+Complessivo!G2</f>
        <v>333175</v>
      </c>
      <c r="E7" s="165">
        <f>+Complessivo!H2</f>
        <v>1</v>
      </c>
      <c r="G7" s="166"/>
      <c r="I7" s="156" t="s">
        <v>143</v>
      </c>
      <c r="J7" s="161">
        <v>38626</v>
      </c>
    </row>
    <row r="8" spans="1:9" ht="12.75">
      <c r="A8" s="162" t="s">
        <v>94</v>
      </c>
      <c r="B8" s="163"/>
      <c r="C8" s="163"/>
      <c r="D8" s="164">
        <f>+Complessivo!G3</f>
        <v>166587.5</v>
      </c>
      <c r="E8" s="165">
        <f>+Complessivo!H3</f>
        <v>1</v>
      </c>
      <c r="I8" s="167" t="s">
        <v>170</v>
      </c>
    </row>
    <row r="9" spans="1:5" ht="12.75">
      <c r="A9" s="162" t="s">
        <v>95</v>
      </c>
      <c r="B9" s="163"/>
      <c r="C9" s="163"/>
      <c r="D9" s="164">
        <f>+Complessivo!G4</f>
        <v>28157.5</v>
      </c>
      <c r="E9" s="165">
        <f>+Complessivo!H4</f>
        <v>0.7212568705791825</v>
      </c>
    </row>
    <row r="10" spans="1:10" ht="12.75">
      <c r="A10" s="168" t="s">
        <v>96</v>
      </c>
      <c r="B10" s="169"/>
      <c r="C10" s="169"/>
      <c r="D10" s="170">
        <f>+Complessivo!G5</f>
        <v>194745</v>
      </c>
      <c r="E10" s="171">
        <f>+Complessivo!H5</f>
        <v>0.9596975035730485</v>
      </c>
      <c r="I10" s="167" t="s">
        <v>144</v>
      </c>
      <c r="J10" s="172">
        <v>0.5</v>
      </c>
    </row>
    <row r="11" spans="6:7" ht="12.75">
      <c r="F11" s="173" t="s">
        <v>197</v>
      </c>
      <c r="G11" s="173"/>
    </row>
    <row r="12" spans="4:7" ht="12.75">
      <c r="D12" s="174" t="s">
        <v>145</v>
      </c>
      <c r="E12" s="174" t="s">
        <v>146</v>
      </c>
      <c r="F12" s="174" t="s">
        <v>3</v>
      </c>
      <c r="G12" s="175" t="s">
        <v>4</v>
      </c>
    </row>
    <row r="13" spans="1:9" ht="12.75">
      <c r="A13" s="176" t="s">
        <v>6</v>
      </c>
      <c r="B13" s="158"/>
      <c r="C13" s="158"/>
      <c r="D13" s="177">
        <f>+Complessivo!M10</f>
        <v>51600</v>
      </c>
      <c r="E13" s="178">
        <f>+Complessivo!M16</f>
        <v>-12725.19</v>
      </c>
      <c r="F13" s="164">
        <f>+D13-E13</f>
        <v>64325.19</v>
      </c>
      <c r="G13" s="31">
        <f>+Complessivo!N15</f>
        <v>0</v>
      </c>
      <c r="H13" s="166"/>
      <c r="I13" s="166"/>
    </row>
    <row r="14" spans="1:8" ht="12.75">
      <c r="A14" s="162" t="s">
        <v>7</v>
      </c>
      <c r="B14" s="163"/>
      <c r="C14" s="163"/>
      <c r="D14" s="164">
        <f>+Complessivo!M27</f>
        <v>153000</v>
      </c>
      <c r="E14" s="179">
        <f>+Complessivo!M33</f>
        <v>7401.5</v>
      </c>
      <c r="F14" s="164">
        <f aca="true" t="shared" si="0" ref="F14:F19">+D14-E14</f>
        <v>145598.5</v>
      </c>
      <c r="G14" s="31">
        <f>+Complessivo!N28+Complessivo!N32</f>
        <v>16519.7</v>
      </c>
      <c r="H14" s="166"/>
    </row>
    <row r="15" spans="1:8" ht="12.75">
      <c r="A15" s="162" t="s">
        <v>1</v>
      </c>
      <c r="B15" s="163"/>
      <c r="C15" s="163"/>
      <c r="D15" s="164">
        <f>+Complessivo!M57</f>
        <v>7500</v>
      </c>
      <c r="E15" s="179">
        <f>+Complessivo!M63</f>
        <v>0</v>
      </c>
      <c r="F15" s="164">
        <f t="shared" si="0"/>
        <v>7500</v>
      </c>
      <c r="G15" s="31">
        <f>+Complessivo!N58</f>
        <v>1500</v>
      </c>
      <c r="H15" s="180"/>
    </row>
    <row r="16" spans="1:7" ht="12.75">
      <c r="A16" s="162" t="s">
        <v>8</v>
      </c>
      <c r="B16" s="163"/>
      <c r="C16" s="163"/>
      <c r="D16" s="164">
        <f>+Complessivo!M70</f>
        <v>32600</v>
      </c>
      <c r="E16" s="179">
        <f>+Complessivo!M76</f>
        <v>-11400</v>
      </c>
      <c r="F16" s="164">
        <f t="shared" si="0"/>
        <v>44000</v>
      </c>
      <c r="G16" s="31">
        <f>+Complessivo!N75</f>
        <v>8800</v>
      </c>
    </row>
    <row r="17" spans="1:8" ht="12.75">
      <c r="A17" s="162" t="s">
        <v>22</v>
      </c>
      <c r="B17" s="163"/>
      <c r="C17" s="163"/>
      <c r="D17" s="164">
        <f>+Complessivo!M85</f>
        <v>37000</v>
      </c>
      <c r="E17" s="179">
        <f>+Complessivo!M91</f>
        <v>-7543.666333333332</v>
      </c>
      <c r="F17" s="164">
        <f t="shared" si="0"/>
        <v>44543.666333333334</v>
      </c>
      <c r="G17" s="31">
        <f>+Complessivo!N86+Complessivo!N87+Complessivo!N88+Complessivo!N90</f>
        <v>8908.733266666666</v>
      </c>
      <c r="H17" s="166"/>
    </row>
    <row r="18" spans="1:7" ht="12.75">
      <c r="A18" s="162" t="s">
        <v>9</v>
      </c>
      <c r="B18" s="163"/>
      <c r="C18" s="163"/>
      <c r="D18" s="164">
        <f>+Complessivo!M103</f>
        <v>34825</v>
      </c>
      <c r="E18" s="179">
        <f>+Complessivo!M109</f>
        <v>12440</v>
      </c>
      <c r="F18" s="164">
        <f t="shared" si="0"/>
        <v>22385</v>
      </c>
      <c r="G18" s="31">
        <f>+Complessivo!N104+Complessivo!N105+Complessivo!N108</f>
        <v>4477</v>
      </c>
    </row>
    <row r="19" spans="1:7" ht="12.75">
      <c r="A19" s="168" t="s">
        <v>10</v>
      </c>
      <c r="B19" s="169"/>
      <c r="C19" s="169"/>
      <c r="D19" s="170">
        <f>+Complessivo!M117</f>
        <v>16650</v>
      </c>
      <c r="E19" s="181">
        <f>+Complessivo!M123</f>
        <v>3997.296</v>
      </c>
      <c r="F19" s="164">
        <f t="shared" si="0"/>
        <v>12652.704</v>
      </c>
      <c r="G19" s="31">
        <f>+Complessivo!N118+Complessivo!N122</f>
        <v>412.1512</v>
      </c>
    </row>
    <row r="20" spans="4:7" ht="12.75">
      <c r="D20" s="182">
        <f>SUM(D13:D19)</f>
        <v>333175</v>
      </c>
      <c r="E20" s="182">
        <f>SUM(E13:E19)</f>
        <v>-7830.060333333333</v>
      </c>
      <c r="F20" s="182">
        <f>SUM(F13:F19)</f>
        <v>341005.0603333334</v>
      </c>
      <c r="G20" s="31">
        <f>SUM(G13:G19)</f>
        <v>40617.58446666667</v>
      </c>
    </row>
    <row r="22" spans="4:11" ht="21">
      <c r="D22" s="183" t="s">
        <v>148</v>
      </c>
      <c r="E22" s="183" t="s">
        <v>149</v>
      </c>
      <c r="F22" s="183" t="s">
        <v>150</v>
      </c>
      <c r="G22" s="183" t="s">
        <v>21</v>
      </c>
      <c r="H22" s="183" t="s">
        <v>151</v>
      </c>
      <c r="I22" s="183" t="s">
        <v>152</v>
      </c>
      <c r="J22" s="183" t="s">
        <v>153</v>
      </c>
      <c r="K22" s="183" t="s">
        <v>154</v>
      </c>
    </row>
    <row r="23" spans="1:12" ht="12.75">
      <c r="A23" s="156" t="s">
        <v>155</v>
      </c>
      <c r="D23" s="182">
        <f>+Complessivo!M2</f>
        <v>333175</v>
      </c>
      <c r="E23" s="182">
        <f>+Complessivo!N2</f>
        <v>40617.58066666666</v>
      </c>
      <c r="F23" s="182">
        <f>+Complessivo!O2</f>
        <v>373792.5806666667</v>
      </c>
      <c r="G23" s="182">
        <f>+Complessivo!P2</f>
        <v>166587.5</v>
      </c>
      <c r="H23" s="182">
        <f>+Complessivo!Q2</f>
        <v>20308.79033333333</v>
      </c>
      <c r="I23" s="182">
        <f>+Complessivo!R2</f>
        <v>186896.29033333334</v>
      </c>
      <c r="J23" s="182">
        <f>+Complessivo!S2</f>
        <v>58423.5</v>
      </c>
      <c r="K23" s="182">
        <f>+Complessivo!T2</f>
        <v>128472.79033333334</v>
      </c>
      <c r="L23" s="166"/>
    </row>
    <row r="24" spans="1:12" ht="12.75">
      <c r="A24" s="166" t="s">
        <v>171</v>
      </c>
      <c r="B24" s="166"/>
      <c r="D24" s="182">
        <f>+Complessivo!M3</f>
        <v>105630.35</v>
      </c>
      <c r="E24" s="182">
        <f>+Complessivo!N3</f>
        <v>8705.114</v>
      </c>
      <c r="F24" s="182">
        <f>+Complessivo!O3</f>
        <v>114335.464</v>
      </c>
      <c r="G24" s="182">
        <f>+Complessivo!P3</f>
        <v>52815.175</v>
      </c>
      <c r="H24" s="182">
        <f>+Complessivo!Q3</f>
        <v>4352.557</v>
      </c>
      <c r="I24" s="182">
        <f>+Complessivo!R3</f>
        <v>57167.732</v>
      </c>
      <c r="J24" s="182">
        <f>+Complessivo!S3</f>
        <v>21437.8995</v>
      </c>
      <c r="K24" s="182">
        <f>+Complessivo!T3</f>
        <v>35729.832500000004</v>
      </c>
      <c r="L24" s="166"/>
    </row>
    <row r="25" spans="1:12" ht="12.75">
      <c r="A25" s="166" t="s">
        <v>172</v>
      </c>
      <c r="B25" s="182"/>
      <c r="D25" s="182">
        <f>+Complessivo!M4</f>
        <v>23748.513333333332</v>
      </c>
      <c r="E25" s="182">
        <f>+Complessivo!N4</f>
        <v>1666.6666666666667</v>
      </c>
      <c r="F25" s="182">
        <f>+Complessivo!O4</f>
        <v>25415.18</v>
      </c>
      <c r="G25" s="182">
        <f>+Complessivo!P4</f>
        <v>11874.256666666666</v>
      </c>
      <c r="H25" s="182">
        <f>+Complessivo!Q4</f>
        <v>833.3333333333334</v>
      </c>
      <c r="I25" s="182">
        <f>+Complessivo!R4</f>
        <v>12707.59</v>
      </c>
      <c r="J25" s="182">
        <f>+Complessivo!S4</f>
        <v>4765.3462500000005</v>
      </c>
      <c r="K25" s="182">
        <f>+Complessivo!T4</f>
        <v>7942.24375</v>
      </c>
      <c r="L25" s="166"/>
    </row>
    <row r="26" spans="1:12" ht="12.75">
      <c r="A26" s="166" t="s">
        <v>173</v>
      </c>
      <c r="B26" s="182"/>
      <c r="D26" s="182">
        <f>+Complessivo!M5</f>
        <v>55186.11</v>
      </c>
      <c r="E26" s="182">
        <f>+Complessivo!N5</f>
        <v>3420</v>
      </c>
      <c r="F26" s="182">
        <f>+Complessivo!O5</f>
        <v>58606.11</v>
      </c>
      <c r="G26" s="182">
        <f>+Complessivo!P5</f>
        <v>27593.055</v>
      </c>
      <c r="H26" s="182">
        <f>+Complessivo!Q5</f>
        <v>1710</v>
      </c>
      <c r="I26" s="182">
        <f>+Complessivo!R5</f>
        <v>29303.055</v>
      </c>
      <c r="J26" s="182">
        <f>+Complessivo!S5</f>
        <v>10988.645625</v>
      </c>
      <c r="K26" s="182">
        <f>+Complessivo!T5</f>
        <v>18314.409375</v>
      </c>
      <c r="L26" s="166"/>
    </row>
    <row r="27" spans="1:12" ht="12.75">
      <c r="A27" s="166" t="s">
        <v>174</v>
      </c>
      <c r="B27" s="182"/>
      <c r="D27" s="182">
        <f>+Complessivo!M6</f>
        <v>108353.26299999999</v>
      </c>
      <c r="E27" s="182">
        <f>+Complessivo!N6</f>
        <v>0</v>
      </c>
      <c r="F27" s="182">
        <f>+Complessivo!O6</f>
        <v>108353.26299999999</v>
      </c>
      <c r="G27" s="182">
        <f>+Complessivo!P6</f>
        <v>54176.631499999996</v>
      </c>
      <c r="H27" s="182">
        <f>+Complessivo!Q6</f>
        <v>0</v>
      </c>
      <c r="I27" s="182">
        <f>+Complessivo!R6</f>
        <v>54176.631499999996</v>
      </c>
      <c r="J27" s="182">
        <f>+Complessivo!S6</f>
        <v>20316.2368125</v>
      </c>
      <c r="K27" s="182">
        <f>+Complessivo!T6</f>
        <v>33860.394687500004</v>
      </c>
      <c r="L27" s="166"/>
    </row>
    <row r="28" spans="1:12" ht="12.75">
      <c r="A28" s="184" t="s">
        <v>180</v>
      </c>
      <c r="B28" s="185"/>
      <c r="C28" s="186"/>
      <c r="D28" s="185">
        <f>+Complessivo!M7</f>
        <v>40256.76366666668</v>
      </c>
      <c r="E28" s="185">
        <f>+Complessivo!N7</f>
        <v>26825.8</v>
      </c>
      <c r="F28" s="185">
        <f>+Complessivo!O7</f>
        <v>67082.56366666668</v>
      </c>
      <c r="G28" s="185">
        <f>+Complessivo!P7</f>
        <v>20128.38183333334</v>
      </c>
      <c r="H28" s="185">
        <f>+Complessivo!Q7</f>
        <v>13412.9</v>
      </c>
      <c r="I28" s="185">
        <f>+Complessivo!R7</f>
        <v>33541.28183333334</v>
      </c>
      <c r="J28" s="185">
        <f>+Complessivo!S7</f>
        <v>915.3718125000014</v>
      </c>
      <c r="K28" s="187">
        <f>+Complessivo!T7</f>
        <v>32625.91002083334</v>
      </c>
      <c r="L28" s="166"/>
    </row>
    <row r="29" spans="4:11" ht="12.75">
      <c r="D29" s="166"/>
      <c r="E29" s="164"/>
      <c r="F29" s="166"/>
      <c r="G29" s="166"/>
      <c r="I29" s="166"/>
      <c r="K29" s="188"/>
    </row>
    <row r="30" spans="4:11" ht="12.75">
      <c r="D30" s="166"/>
      <c r="E30" s="164"/>
      <c r="F30" s="166"/>
      <c r="G30" s="166"/>
      <c r="I30" s="166"/>
      <c r="K30" s="188"/>
    </row>
    <row r="31" spans="5:12" ht="12.75">
      <c r="E31" s="189"/>
      <c r="H31" s="166"/>
      <c r="L31" s="166"/>
    </row>
    <row r="32" ht="12.75">
      <c r="E32" s="189"/>
    </row>
    <row r="33" spans="1:11" ht="38.25">
      <c r="A33" s="190" t="s">
        <v>156</v>
      </c>
      <c r="B33" s="191"/>
      <c r="C33" s="191"/>
      <c r="D33" s="191"/>
      <c r="E33" s="191"/>
      <c r="F33" s="191"/>
      <c r="G33" s="191"/>
      <c r="H33" s="192"/>
      <c r="I33" s="193" t="s">
        <v>157</v>
      </c>
      <c r="J33" s="193" t="s">
        <v>158</v>
      </c>
      <c r="K33" s="194" t="s">
        <v>159</v>
      </c>
    </row>
    <row r="34" spans="1:11" ht="12.75">
      <c r="A34" s="163" t="s">
        <v>177</v>
      </c>
      <c r="B34" s="163"/>
      <c r="C34" s="163"/>
      <c r="D34" s="163"/>
      <c r="E34" s="163"/>
      <c r="F34" s="163"/>
      <c r="G34" s="163"/>
      <c r="H34" s="163"/>
      <c r="I34" s="195"/>
      <c r="J34" s="196" t="s">
        <v>178</v>
      </c>
      <c r="K34" s="196" t="s">
        <v>178</v>
      </c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95"/>
      <c r="J35" s="197"/>
      <c r="K35" s="163"/>
    </row>
    <row r="36" ht="12.75">
      <c r="E36" s="189"/>
    </row>
    <row r="37" spans="1:11" ht="12.75">
      <c r="A37" s="198" t="s">
        <v>160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</row>
    <row r="40" spans="1:11" ht="23.25" customHeight="1">
      <c r="A40" s="199" t="s">
        <v>161</v>
      </c>
      <c r="B40" s="199"/>
      <c r="C40" s="199"/>
      <c r="D40" s="199"/>
      <c r="E40" s="199"/>
      <c r="F40" s="199"/>
      <c r="G40" s="200"/>
      <c r="H40" s="201"/>
      <c r="I40" s="201"/>
      <c r="J40" s="201"/>
      <c r="K40" s="202"/>
    </row>
    <row r="41" spans="1:11" ht="25.5" customHeight="1">
      <c r="A41" s="199" t="s">
        <v>162</v>
      </c>
      <c r="B41" s="199"/>
      <c r="C41" s="199"/>
      <c r="D41" s="199"/>
      <c r="E41" s="199"/>
      <c r="F41" s="199"/>
      <c r="G41" s="203"/>
      <c r="H41" s="203"/>
      <c r="I41" s="203"/>
      <c r="J41" s="203"/>
      <c r="K41" s="203"/>
    </row>
    <row r="42" spans="1:11" ht="23.25" customHeight="1">
      <c r="A42" s="199" t="s">
        <v>163</v>
      </c>
      <c r="B42" s="199"/>
      <c r="C42" s="199"/>
      <c r="D42" s="199"/>
      <c r="E42" s="199"/>
      <c r="F42" s="199"/>
      <c r="G42" s="190"/>
      <c r="H42" s="191"/>
      <c r="I42" s="191"/>
      <c r="J42" s="191"/>
      <c r="K42" s="192"/>
    </row>
    <row r="43" ht="26.25" customHeight="1">
      <c r="A43" s="156" t="s">
        <v>164</v>
      </c>
    </row>
    <row r="44" spans="1:11" ht="12.7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</row>
    <row r="45" spans="1:11" ht="24.7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</row>
    <row r="46" spans="1:11" ht="24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</row>
    <row r="47" spans="1:1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1" spans="1:9" ht="12.75">
      <c r="A51" s="203" t="s">
        <v>165</v>
      </c>
      <c r="B51" s="203"/>
      <c r="C51" s="203"/>
      <c r="D51" s="203" t="s">
        <v>166</v>
      </c>
      <c r="E51" s="203"/>
      <c r="F51" s="203"/>
      <c r="G51" s="203" t="s">
        <v>167</v>
      </c>
      <c r="H51" s="203"/>
      <c r="I51" s="203"/>
    </row>
    <row r="52" spans="1:9" ht="23.25" customHeight="1">
      <c r="A52" s="203"/>
      <c r="B52" s="203"/>
      <c r="C52" s="203"/>
      <c r="D52" s="190" t="s">
        <v>168</v>
      </c>
      <c r="E52" s="191"/>
      <c r="F52" s="192"/>
      <c r="G52" s="203"/>
      <c r="H52" s="203"/>
      <c r="I52" s="203"/>
    </row>
    <row r="53" spans="1:9" ht="23.25" customHeight="1">
      <c r="A53" s="203"/>
      <c r="B53" s="203"/>
      <c r="C53" s="203"/>
      <c r="D53" s="203"/>
      <c r="E53" s="203"/>
      <c r="F53" s="203"/>
      <c r="G53" s="203"/>
      <c r="H53" s="203"/>
      <c r="I53" s="203"/>
    </row>
    <row r="54" spans="1:9" ht="23.25" customHeight="1">
      <c r="A54" s="203"/>
      <c r="B54" s="203"/>
      <c r="C54" s="203"/>
      <c r="D54" s="203"/>
      <c r="E54" s="203"/>
      <c r="F54" s="203"/>
      <c r="G54" s="203"/>
      <c r="H54" s="203"/>
      <c r="I54" s="203"/>
    </row>
  </sheetData>
  <mergeCells count="22">
    <mergeCell ref="A54:C54"/>
    <mergeCell ref="D54:F54"/>
    <mergeCell ref="G54:I54"/>
    <mergeCell ref="A52:C52"/>
    <mergeCell ref="D52:F52"/>
    <mergeCell ref="G52:I52"/>
    <mergeCell ref="A53:C53"/>
    <mergeCell ref="D53:F53"/>
    <mergeCell ref="G53:I53"/>
    <mergeCell ref="A41:F41"/>
    <mergeCell ref="G41:K41"/>
    <mergeCell ref="A42:F42"/>
    <mergeCell ref="G42:K42"/>
    <mergeCell ref="A51:C51"/>
    <mergeCell ref="D51:F51"/>
    <mergeCell ref="G51:I51"/>
    <mergeCell ref="A2:K2"/>
    <mergeCell ref="A33:H33"/>
    <mergeCell ref="A37:K37"/>
    <mergeCell ref="A40:F40"/>
    <mergeCell ref="G40:K40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showGridLines="0" showZeros="0" tabSelected="1" zoomScale="75" zoomScaleNormal="75" zoomScaleSheetLayoutView="75" workbookViewId="0" topLeftCell="A1">
      <pane xSplit="1" ySplit="7" topLeftCell="B1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9" sqref="D129"/>
    </sheetView>
  </sheetViews>
  <sheetFormatPr defaultColWidth="9.140625" defaultRowHeight="12.75"/>
  <cols>
    <col min="1" max="1" width="3.421875" style="36" customWidth="1"/>
    <col min="2" max="2" width="4.28125" style="35" customWidth="1"/>
    <col min="3" max="3" width="9.421875" style="21" customWidth="1"/>
    <col min="4" max="4" width="30.57421875" style="21" customWidth="1"/>
    <col min="5" max="5" width="16.7109375" style="21" customWidth="1"/>
    <col min="6" max="6" width="8.8515625" style="21" customWidth="1"/>
    <col min="7" max="7" width="11.00390625" style="21" customWidth="1"/>
    <col min="8" max="8" width="10.28125" style="21" customWidth="1"/>
    <col min="9" max="9" width="9.421875" style="21" customWidth="1"/>
    <col min="10" max="10" width="11.140625" style="21" customWidth="1"/>
    <col min="11" max="11" width="10.140625" style="21" customWidth="1"/>
    <col min="12" max="12" width="11.421875" style="21" customWidth="1"/>
    <col min="13" max="13" width="11.57421875" style="21" customWidth="1"/>
    <col min="14" max="14" width="11.140625" style="21" customWidth="1"/>
    <col min="15" max="15" width="12.00390625" style="21" customWidth="1"/>
    <col min="16" max="16" width="11.140625" style="21" customWidth="1"/>
    <col min="17" max="17" width="13.28125" style="21" customWidth="1"/>
    <col min="18" max="18" width="13.57421875" style="21" customWidth="1"/>
    <col min="19" max="19" width="11.140625" style="21" bestFit="1" customWidth="1"/>
    <col min="20" max="20" width="11.00390625" style="56" customWidth="1"/>
    <col min="21" max="21" width="10.7109375" style="21" customWidth="1"/>
    <col min="22" max="22" width="10.421875" style="21" customWidth="1"/>
    <col min="23" max="16384" width="9.140625" style="21" customWidth="1"/>
  </cols>
  <sheetData>
    <row r="1" spans="1:22" s="36" customFormat="1" ht="11.25">
      <c r="A1" s="125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35"/>
      <c r="V1" s="35"/>
    </row>
    <row r="2" spans="1:22" ht="11.25">
      <c r="A2" s="129"/>
      <c r="B2" s="130"/>
      <c r="C2" s="38" t="s">
        <v>0</v>
      </c>
      <c r="D2" s="39" t="s">
        <v>27</v>
      </c>
      <c r="E2" s="40" t="s">
        <v>93</v>
      </c>
      <c r="F2" s="40"/>
      <c r="G2" s="40">
        <f>M10+M27+M57+M70+M85+M103+M117</f>
        <v>333175</v>
      </c>
      <c r="H2" s="41">
        <f>(+M3+M4+M5+M6+V6)/G2</f>
        <v>1</v>
      </c>
      <c r="I2" s="21" t="s">
        <v>197</v>
      </c>
      <c r="K2" s="42"/>
      <c r="L2" s="36" t="s">
        <v>69</v>
      </c>
      <c r="M2" s="43">
        <f>SUM(M3:M7)</f>
        <v>333175</v>
      </c>
      <c r="N2" s="43">
        <f aca="true" t="shared" si="0" ref="N2:T2">SUM(N3:N7)</f>
        <v>40617.58066666666</v>
      </c>
      <c r="O2" s="43">
        <f t="shared" si="0"/>
        <v>373792.5806666667</v>
      </c>
      <c r="P2" s="43">
        <f t="shared" si="0"/>
        <v>166587.5</v>
      </c>
      <c r="Q2" s="43">
        <f t="shared" si="0"/>
        <v>20308.79033333333</v>
      </c>
      <c r="R2" s="43">
        <f t="shared" si="0"/>
        <v>186896.29033333334</v>
      </c>
      <c r="S2" s="43">
        <f t="shared" si="0"/>
        <v>58423.5</v>
      </c>
      <c r="T2" s="43">
        <f t="shared" si="0"/>
        <v>128472.79033333334</v>
      </c>
      <c r="U2" s="44">
        <v>58423.5</v>
      </c>
      <c r="V2" s="45" t="s">
        <v>175</v>
      </c>
    </row>
    <row r="3" spans="1:22" s="36" customFormat="1" ht="11.25">
      <c r="A3" s="131"/>
      <c r="B3" s="130"/>
      <c r="C3" s="47" t="s">
        <v>72</v>
      </c>
      <c r="D3" s="48"/>
      <c r="E3" s="49" t="s">
        <v>94</v>
      </c>
      <c r="F3" s="50"/>
      <c r="G3" s="40">
        <v>166587.5</v>
      </c>
      <c r="H3" s="41">
        <f>(+P3+P4+P5+P6+V7)/G3</f>
        <v>1</v>
      </c>
      <c r="I3" s="36" t="s">
        <v>147</v>
      </c>
      <c r="J3" s="42"/>
      <c r="K3" s="42"/>
      <c r="L3" s="36" t="s">
        <v>70</v>
      </c>
      <c r="M3" s="51">
        <f aca="true" t="shared" si="1" ref="M3:T6">M11+M28+M58+M71+M86+M104+M118</f>
        <v>105630.35</v>
      </c>
      <c r="N3" s="51">
        <f t="shared" si="1"/>
        <v>8705.114</v>
      </c>
      <c r="O3" s="51">
        <f t="shared" si="1"/>
        <v>114335.464</v>
      </c>
      <c r="P3" s="51">
        <f t="shared" si="1"/>
        <v>52815.175</v>
      </c>
      <c r="Q3" s="51">
        <f t="shared" si="1"/>
        <v>4352.557</v>
      </c>
      <c r="R3" s="51">
        <f t="shared" si="1"/>
        <v>57167.732</v>
      </c>
      <c r="S3" s="51">
        <f t="shared" si="1"/>
        <v>21437.8995</v>
      </c>
      <c r="T3" s="51">
        <f t="shared" si="1"/>
        <v>35729.832500000004</v>
      </c>
      <c r="U3" s="44">
        <v>35729.83</v>
      </c>
      <c r="V3" s="42"/>
    </row>
    <row r="4" spans="1:22" s="36" customFormat="1" ht="11.25">
      <c r="A4" s="46"/>
      <c r="B4" s="54"/>
      <c r="C4" s="47" t="s">
        <v>73</v>
      </c>
      <c r="D4" s="48"/>
      <c r="E4" s="49" t="s">
        <v>95</v>
      </c>
      <c r="F4" s="50"/>
      <c r="G4" s="40">
        <v>28157.5</v>
      </c>
      <c r="H4" s="41">
        <f>+Q2/G4</f>
        <v>0.7212568705791825</v>
      </c>
      <c r="K4" s="42"/>
      <c r="L4" s="36" t="s">
        <v>71</v>
      </c>
      <c r="M4" s="51">
        <f t="shared" si="1"/>
        <v>23748.513333333332</v>
      </c>
      <c r="N4" s="51">
        <f t="shared" si="1"/>
        <v>1666.6666666666667</v>
      </c>
      <c r="O4" s="51">
        <f t="shared" si="1"/>
        <v>25415.18</v>
      </c>
      <c r="P4" s="51">
        <f t="shared" si="1"/>
        <v>11874.256666666666</v>
      </c>
      <c r="Q4" s="51">
        <f t="shared" si="1"/>
        <v>833.3333333333334</v>
      </c>
      <c r="R4" s="51">
        <f t="shared" si="1"/>
        <v>12707.59</v>
      </c>
      <c r="S4" s="51">
        <f t="shared" si="1"/>
        <v>4765.3462500000005</v>
      </c>
      <c r="T4" s="51">
        <f t="shared" si="1"/>
        <v>7942.24375</v>
      </c>
      <c r="U4" s="44">
        <v>7942.25</v>
      </c>
      <c r="V4" s="21"/>
    </row>
    <row r="5" spans="1:21" s="36" customFormat="1" ht="11.25">
      <c r="A5" s="37"/>
      <c r="B5" s="54"/>
      <c r="C5" s="47" t="s">
        <v>89</v>
      </c>
      <c r="D5" s="48"/>
      <c r="E5" s="49" t="s">
        <v>96</v>
      </c>
      <c r="F5" s="50"/>
      <c r="G5" s="40">
        <f>SUM(G3:G4)</f>
        <v>194745</v>
      </c>
      <c r="H5" s="41">
        <f>(+R3+R4+R5+R6+V7+Q7)/G5</f>
        <v>0.9596975035730485</v>
      </c>
      <c r="K5" s="42"/>
      <c r="L5" s="36" t="s">
        <v>91</v>
      </c>
      <c r="M5" s="51">
        <f t="shared" si="1"/>
        <v>55186.11</v>
      </c>
      <c r="N5" s="51">
        <f t="shared" si="1"/>
        <v>3420</v>
      </c>
      <c r="O5" s="51">
        <f t="shared" si="1"/>
        <v>58606.11</v>
      </c>
      <c r="P5" s="51">
        <f t="shared" si="1"/>
        <v>27593.055</v>
      </c>
      <c r="Q5" s="51">
        <f t="shared" si="1"/>
        <v>1710</v>
      </c>
      <c r="R5" s="51">
        <f t="shared" si="1"/>
        <v>29303.055</v>
      </c>
      <c r="S5" s="51">
        <f t="shared" si="1"/>
        <v>10988.645625</v>
      </c>
      <c r="T5" s="51">
        <f t="shared" si="1"/>
        <v>18314.409375</v>
      </c>
      <c r="U5" s="44">
        <v>18314.41</v>
      </c>
    </row>
    <row r="6" spans="1:22" s="36" customFormat="1" ht="11.25">
      <c r="A6" s="37"/>
      <c r="B6" s="54"/>
      <c r="C6" s="47" t="s">
        <v>121</v>
      </c>
      <c r="D6" s="48"/>
      <c r="E6" s="49"/>
      <c r="F6" s="50"/>
      <c r="G6" s="40"/>
      <c r="H6" s="41"/>
      <c r="K6" s="42"/>
      <c r="L6" s="36" t="s">
        <v>120</v>
      </c>
      <c r="M6" s="51">
        <f t="shared" si="1"/>
        <v>108353.26299999999</v>
      </c>
      <c r="N6" s="51">
        <f t="shared" si="1"/>
        <v>0</v>
      </c>
      <c r="O6" s="51">
        <f t="shared" si="1"/>
        <v>108353.26299999999</v>
      </c>
      <c r="P6" s="51">
        <f t="shared" si="1"/>
        <v>54176.631499999996</v>
      </c>
      <c r="Q6" s="51">
        <f t="shared" si="1"/>
        <v>0</v>
      </c>
      <c r="R6" s="51">
        <f t="shared" si="1"/>
        <v>54176.631499999996</v>
      </c>
      <c r="S6" s="51">
        <f t="shared" si="1"/>
        <v>20316.2368125</v>
      </c>
      <c r="T6" s="51">
        <f t="shared" si="1"/>
        <v>33860.394687500004</v>
      </c>
      <c r="U6" s="44">
        <v>33860.4</v>
      </c>
      <c r="V6" s="42">
        <f>+G2-M3-M4-M5-M6</f>
        <v>40256.76366666668</v>
      </c>
    </row>
    <row r="7" spans="1:22" s="36" customFormat="1" ht="11.25">
      <c r="A7" s="37"/>
      <c r="B7" s="54"/>
      <c r="C7" s="47" t="s">
        <v>179</v>
      </c>
      <c r="D7" s="48"/>
      <c r="E7" s="49"/>
      <c r="F7" s="50"/>
      <c r="G7" s="40"/>
      <c r="H7" s="41"/>
      <c r="K7" s="42"/>
      <c r="L7" s="36" t="s">
        <v>124</v>
      </c>
      <c r="M7" s="51">
        <v>40256.76366666668</v>
      </c>
      <c r="N7" s="51">
        <v>26825.8</v>
      </c>
      <c r="O7" s="51">
        <v>67082.56366666668</v>
      </c>
      <c r="P7" s="51">
        <v>20128.38183333334</v>
      </c>
      <c r="Q7" s="51">
        <v>13412.9</v>
      </c>
      <c r="R7" s="51">
        <v>33541.28183333334</v>
      </c>
      <c r="S7" s="51">
        <f>58423.5-S6-S5-S4-S3</f>
        <v>915.3718125000014</v>
      </c>
      <c r="T7" s="51">
        <f>R7-S7</f>
        <v>32625.91002083334</v>
      </c>
      <c r="U7" s="42">
        <f>+G3-U6-U5-U4-U3-U2</f>
        <v>12317.11</v>
      </c>
      <c r="V7" s="42">
        <f>+G3-P3-P4-P5-P6</f>
        <v>20128.38183333334</v>
      </c>
    </row>
    <row r="8" ht="11.25">
      <c r="B8" s="55"/>
    </row>
    <row r="9" spans="1:20" ht="11.25">
      <c r="A9" s="57"/>
      <c r="B9" s="58"/>
      <c r="C9" s="152" t="s">
        <v>6</v>
      </c>
      <c r="D9" s="152"/>
      <c r="E9" s="152"/>
      <c r="F9" s="152"/>
      <c r="G9" s="152"/>
      <c r="H9" s="152"/>
      <c r="I9" s="152"/>
      <c r="J9" s="152"/>
      <c r="K9" s="152"/>
      <c r="L9" s="204"/>
      <c r="M9" s="34" t="s">
        <v>26</v>
      </c>
      <c r="N9" s="34"/>
      <c r="O9" s="34"/>
      <c r="P9" s="34" t="s">
        <v>21</v>
      </c>
      <c r="Q9" s="34"/>
      <c r="R9" s="34"/>
      <c r="S9" s="59" t="s">
        <v>24</v>
      </c>
      <c r="T9" s="60" t="s">
        <v>25</v>
      </c>
    </row>
    <row r="10" spans="1:18" s="36" customFormat="1" ht="11.25">
      <c r="A10" s="134"/>
      <c r="B10" s="135"/>
      <c r="C10" s="32"/>
      <c r="D10" s="61"/>
      <c r="E10" s="61"/>
      <c r="F10" s="61"/>
      <c r="G10" s="61"/>
      <c r="H10" s="61"/>
      <c r="I10" s="61"/>
      <c r="J10" s="61"/>
      <c r="K10" s="62"/>
      <c r="L10" s="205" t="s">
        <v>12</v>
      </c>
      <c r="M10" s="43">
        <v>51600</v>
      </c>
      <c r="N10" s="43"/>
      <c r="O10" s="43"/>
      <c r="P10" s="43">
        <f>M10*0.5</f>
        <v>25800</v>
      </c>
      <c r="Q10" s="42"/>
      <c r="R10" s="42"/>
    </row>
    <row r="11" spans="1:20" s="36" customFormat="1" ht="11.25">
      <c r="A11" s="134"/>
      <c r="B11" s="135"/>
      <c r="C11" s="32"/>
      <c r="D11" s="61"/>
      <c r="E11" s="61"/>
      <c r="F11" s="61"/>
      <c r="G11" s="61"/>
      <c r="H11" s="61"/>
      <c r="I11" s="61"/>
      <c r="J11" s="61"/>
      <c r="K11" s="42">
        <f>SUM(K18)</f>
        <v>0</v>
      </c>
      <c r="L11" s="206" t="s">
        <v>67</v>
      </c>
      <c r="M11" s="51">
        <f aca="true" t="shared" si="2" ref="M11:R11">SUM(M18)</f>
        <v>18562.33</v>
      </c>
      <c r="N11" s="51">
        <f t="shared" si="2"/>
        <v>0</v>
      </c>
      <c r="O11" s="51">
        <f t="shared" si="2"/>
        <v>18562.33</v>
      </c>
      <c r="P11" s="51">
        <f t="shared" si="2"/>
        <v>9281.165</v>
      </c>
      <c r="Q11" s="51">
        <f t="shared" si="2"/>
        <v>0</v>
      </c>
      <c r="R11" s="51">
        <f t="shared" si="2"/>
        <v>9281.165</v>
      </c>
      <c r="S11" s="51">
        <f>R11*0.375</f>
        <v>3480.4368750000003</v>
      </c>
      <c r="T11" s="51">
        <f>R11-S11</f>
        <v>5800.728125000001</v>
      </c>
    </row>
    <row r="12" spans="1:20" s="36" customFormat="1" ht="11.25">
      <c r="A12" s="134"/>
      <c r="B12" s="135"/>
      <c r="C12" s="32"/>
      <c r="D12" s="61"/>
      <c r="E12" s="61"/>
      <c r="F12" s="61"/>
      <c r="G12" s="61"/>
      <c r="H12" s="61"/>
      <c r="I12" s="61"/>
      <c r="J12" s="61"/>
      <c r="K12" s="62"/>
      <c r="L12" s="206" t="s">
        <v>68</v>
      </c>
      <c r="M12" s="51">
        <f aca="true" t="shared" si="3" ref="M12:R12">SUM(M19:M19)</f>
        <v>6805.18</v>
      </c>
      <c r="N12" s="51">
        <f t="shared" si="3"/>
        <v>0</v>
      </c>
      <c r="O12" s="51">
        <f t="shared" si="3"/>
        <v>6805.18</v>
      </c>
      <c r="P12" s="51">
        <f t="shared" si="3"/>
        <v>3402.59</v>
      </c>
      <c r="Q12" s="51">
        <f t="shared" si="3"/>
        <v>0</v>
      </c>
      <c r="R12" s="51">
        <f t="shared" si="3"/>
        <v>3402.59</v>
      </c>
      <c r="S12" s="51">
        <f>R12*0.375</f>
        <v>1275.97125</v>
      </c>
      <c r="T12" s="51">
        <f>R12-S12</f>
        <v>2126.61875</v>
      </c>
    </row>
    <row r="13" spans="1:20" s="36" customFormat="1" ht="11.25">
      <c r="A13" s="134"/>
      <c r="B13" s="135"/>
      <c r="C13" s="32"/>
      <c r="D13" s="61"/>
      <c r="E13" s="61"/>
      <c r="F13" s="61"/>
      <c r="G13" s="61"/>
      <c r="H13" s="61"/>
      <c r="I13" s="61"/>
      <c r="J13" s="61"/>
      <c r="K13" s="62"/>
      <c r="L13" s="206" t="s">
        <v>92</v>
      </c>
      <c r="M13" s="51">
        <f aca="true" t="shared" si="4" ref="M13:R14">SUM(M20)</f>
        <v>10163.08</v>
      </c>
      <c r="N13" s="51">
        <f t="shared" si="4"/>
        <v>0</v>
      </c>
      <c r="O13" s="51">
        <f t="shared" si="4"/>
        <v>10163.08</v>
      </c>
      <c r="P13" s="51">
        <f t="shared" si="4"/>
        <v>5081.54</v>
      </c>
      <c r="Q13" s="51">
        <f t="shared" si="4"/>
        <v>0</v>
      </c>
      <c r="R13" s="51">
        <f t="shared" si="4"/>
        <v>5081.54</v>
      </c>
      <c r="S13" s="51">
        <f>R13*0.375</f>
        <v>1905.5774999999999</v>
      </c>
      <c r="T13" s="51">
        <f>R13-S13</f>
        <v>3175.9625</v>
      </c>
    </row>
    <row r="14" spans="1:20" s="36" customFormat="1" ht="11.25">
      <c r="A14" s="134"/>
      <c r="B14" s="135"/>
      <c r="C14" s="32"/>
      <c r="D14" s="61"/>
      <c r="E14" s="61"/>
      <c r="F14" s="61"/>
      <c r="G14" s="61"/>
      <c r="H14" s="61"/>
      <c r="I14" s="61"/>
      <c r="J14" s="61"/>
      <c r="K14" s="62"/>
      <c r="L14" s="206" t="s">
        <v>105</v>
      </c>
      <c r="M14" s="51">
        <f t="shared" si="4"/>
        <v>17994.6</v>
      </c>
      <c r="N14" s="51">
        <f t="shared" si="4"/>
        <v>0</v>
      </c>
      <c r="O14" s="51">
        <f t="shared" si="4"/>
        <v>17994.6</v>
      </c>
      <c r="P14" s="51">
        <f t="shared" si="4"/>
        <v>8997.3</v>
      </c>
      <c r="Q14" s="51">
        <f t="shared" si="4"/>
        <v>0</v>
      </c>
      <c r="R14" s="51">
        <f t="shared" si="4"/>
        <v>8997.3</v>
      </c>
      <c r="S14" s="51">
        <f>R14*0.375</f>
        <v>3373.9874999999997</v>
      </c>
      <c r="T14" s="51">
        <f>R14-S14</f>
        <v>5623.3125</v>
      </c>
    </row>
    <row r="15" spans="1:20" s="36" customFormat="1" ht="11.25">
      <c r="A15" s="134"/>
      <c r="B15" s="135"/>
      <c r="C15" s="32"/>
      <c r="D15" s="61"/>
      <c r="E15" s="61"/>
      <c r="F15" s="61"/>
      <c r="G15" s="61"/>
      <c r="H15" s="61"/>
      <c r="I15" s="61"/>
      <c r="J15" s="61"/>
      <c r="K15" s="62"/>
      <c r="L15" s="206" t="s">
        <v>125</v>
      </c>
      <c r="M15" s="51">
        <f>SUM(M22:M23)</f>
        <v>10800</v>
      </c>
      <c r="N15" s="51">
        <f>SUM(N22)</f>
        <v>0</v>
      </c>
      <c r="O15" s="51">
        <f>+N15+M15</f>
        <v>10800</v>
      </c>
      <c r="P15" s="51">
        <f>SUM(P22:P23)</f>
        <v>5400</v>
      </c>
      <c r="Q15" s="51">
        <f>SUM(Q22)</f>
        <v>0</v>
      </c>
      <c r="R15" s="51">
        <f>+Q15+P15</f>
        <v>5400</v>
      </c>
      <c r="S15" s="51">
        <f>R15*0.375</f>
        <v>2025</v>
      </c>
      <c r="T15" s="51">
        <f>R15-S15</f>
        <v>3375</v>
      </c>
    </row>
    <row r="16" spans="1:20" s="36" customFormat="1" ht="11.25">
      <c r="A16" s="136"/>
      <c r="B16" s="137"/>
      <c r="C16" s="63"/>
      <c r="D16" s="52"/>
      <c r="E16" s="52"/>
      <c r="F16" s="52"/>
      <c r="G16" s="52"/>
      <c r="H16" s="52"/>
      <c r="I16" s="52"/>
      <c r="J16" s="52"/>
      <c r="K16" s="53"/>
      <c r="L16" s="206" t="s">
        <v>13</v>
      </c>
      <c r="M16" s="51">
        <f>M10-M11-M12-M13-M14-M15</f>
        <v>-12725.19</v>
      </c>
      <c r="N16" s="51"/>
      <c r="O16" s="51"/>
      <c r="P16" s="51">
        <f>P10-P11-P12-P13-P14-P15</f>
        <v>-6362.595</v>
      </c>
      <c r="Q16" s="42"/>
      <c r="R16" s="42"/>
      <c r="S16" s="42"/>
      <c r="T16" s="42"/>
    </row>
    <row r="17" spans="1:20" ht="36.75" customHeight="1">
      <c r="A17" s="64" t="s">
        <v>14</v>
      </c>
      <c r="B17" s="64" t="s">
        <v>11</v>
      </c>
      <c r="C17" s="65" t="s">
        <v>23</v>
      </c>
      <c r="D17" s="65" t="s">
        <v>20</v>
      </c>
      <c r="E17" s="65" t="s">
        <v>2</v>
      </c>
      <c r="F17" s="65" t="s">
        <v>19</v>
      </c>
      <c r="G17" s="65" t="s">
        <v>18</v>
      </c>
      <c r="H17" s="65" t="s">
        <v>17</v>
      </c>
      <c r="I17" s="65" t="s">
        <v>16</v>
      </c>
      <c r="J17" s="65" t="s">
        <v>3</v>
      </c>
      <c r="K17" s="65" t="s">
        <v>4</v>
      </c>
      <c r="L17" s="64" t="s">
        <v>5</v>
      </c>
      <c r="M17" s="64" t="s">
        <v>102</v>
      </c>
      <c r="N17" s="64" t="s">
        <v>98</v>
      </c>
      <c r="O17" s="64" t="s">
        <v>99</v>
      </c>
      <c r="P17" s="64" t="s">
        <v>21</v>
      </c>
      <c r="Q17" s="64" t="s">
        <v>100</v>
      </c>
      <c r="R17" s="64" t="s">
        <v>101</v>
      </c>
      <c r="S17" s="111" t="s">
        <v>65</v>
      </c>
      <c r="T17" s="111"/>
    </row>
    <row r="18" spans="1:20" ht="23.25" customHeight="1">
      <c r="A18" s="7" t="s">
        <v>15</v>
      </c>
      <c r="B18" s="2">
        <v>1</v>
      </c>
      <c r="C18" s="8" t="s">
        <v>31</v>
      </c>
      <c r="D18" s="24" t="s">
        <v>28</v>
      </c>
      <c r="E18" s="8"/>
      <c r="F18" s="8"/>
      <c r="G18" s="25"/>
      <c r="H18" s="26"/>
      <c r="I18" s="26"/>
      <c r="J18" s="5">
        <v>18562.33</v>
      </c>
      <c r="K18" s="5"/>
      <c r="L18" s="5">
        <v>18562.33</v>
      </c>
      <c r="M18" s="5">
        <f>L18</f>
        <v>18562.33</v>
      </c>
      <c r="N18" s="5"/>
      <c r="O18" s="5">
        <f aca="true" t="shared" si="5" ref="O18:O23">+N18+M18</f>
        <v>18562.33</v>
      </c>
      <c r="P18" s="5">
        <f aca="true" t="shared" si="6" ref="P18:P23">M18*0.5</f>
        <v>9281.165</v>
      </c>
      <c r="Q18" s="66"/>
      <c r="R18" s="66">
        <f>+Q18+P18</f>
        <v>9281.165</v>
      </c>
      <c r="S18" s="153"/>
      <c r="T18" s="154"/>
    </row>
    <row r="19" spans="1:20" ht="33.75">
      <c r="A19" s="7" t="s">
        <v>66</v>
      </c>
      <c r="B19" s="2">
        <v>1</v>
      </c>
      <c r="C19" s="8" t="s">
        <v>31</v>
      </c>
      <c r="D19" s="24" t="s">
        <v>81</v>
      </c>
      <c r="E19" s="8"/>
      <c r="F19" s="8"/>
      <c r="G19" s="25"/>
      <c r="H19" s="67"/>
      <c r="I19" s="26"/>
      <c r="J19" s="5">
        <v>6805.18</v>
      </c>
      <c r="K19" s="5"/>
      <c r="L19" s="5">
        <v>6805.18</v>
      </c>
      <c r="M19" s="5">
        <v>6805.18</v>
      </c>
      <c r="N19" s="5"/>
      <c r="O19" s="5">
        <f t="shared" si="5"/>
        <v>6805.18</v>
      </c>
      <c r="P19" s="5">
        <f t="shared" si="6"/>
        <v>3402.59</v>
      </c>
      <c r="Q19" s="9"/>
      <c r="R19" s="66">
        <f>+Q19+P19</f>
        <v>3402.59</v>
      </c>
      <c r="S19" s="148"/>
      <c r="T19" s="149"/>
    </row>
    <row r="20" spans="1:22" ht="33.75">
      <c r="A20" s="7" t="s">
        <v>90</v>
      </c>
      <c r="B20" s="2"/>
      <c r="C20" s="8" t="s">
        <v>31</v>
      </c>
      <c r="D20" s="24" t="s">
        <v>122</v>
      </c>
      <c r="E20" s="8"/>
      <c r="F20" s="8"/>
      <c r="G20" s="25"/>
      <c r="H20" s="26"/>
      <c r="I20" s="26"/>
      <c r="J20" s="5">
        <f>10.26*327.6+10.25*168+10.25*168+10.25*327.6</f>
        <v>10163.076000000001</v>
      </c>
      <c r="K20" s="5"/>
      <c r="L20" s="5">
        <v>10163.08</v>
      </c>
      <c r="M20" s="5">
        <v>10163.08</v>
      </c>
      <c r="N20" s="5"/>
      <c r="O20" s="5">
        <f t="shared" si="5"/>
        <v>10163.08</v>
      </c>
      <c r="P20" s="5">
        <f t="shared" si="6"/>
        <v>5081.54</v>
      </c>
      <c r="Q20" s="9"/>
      <c r="R20" s="66">
        <f>+Q20+P20</f>
        <v>5081.54</v>
      </c>
      <c r="S20" s="114"/>
      <c r="T20" s="115"/>
      <c r="U20" s="29"/>
      <c r="V20" s="29"/>
    </row>
    <row r="21" spans="1:22" ht="22.5">
      <c r="A21" s="7" t="s">
        <v>104</v>
      </c>
      <c r="B21" s="2"/>
      <c r="C21" s="8" t="s">
        <v>31</v>
      </c>
      <c r="D21" s="24" t="s">
        <v>103</v>
      </c>
      <c r="E21" s="8"/>
      <c r="F21" s="8"/>
      <c r="G21" s="25"/>
      <c r="H21" s="26"/>
      <c r="I21" s="26"/>
      <c r="J21" s="5">
        <v>17994.6</v>
      </c>
      <c r="K21" s="5"/>
      <c r="L21" s="5">
        <f>7.69*2340</f>
        <v>17994.600000000002</v>
      </c>
      <c r="M21" s="5">
        <v>17994.6</v>
      </c>
      <c r="N21" s="5"/>
      <c r="O21" s="5">
        <f t="shared" si="5"/>
        <v>17994.6</v>
      </c>
      <c r="P21" s="5">
        <f t="shared" si="6"/>
        <v>8997.3</v>
      </c>
      <c r="Q21" s="9"/>
      <c r="R21" s="5">
        <f>SUM(P21:Q21)</f>
        <v>8997.3</v>
      </c>
      <c r="S21" s="114"/>
      <c r="T21" s="115"/>
      <c r="U21" s="29"/>
      <c r="V21" s="29"/>
    </row>
    <row r="22" spans="1:22" ht="33" customHeight="1">
      <c r="A22" s="7" t="s">
        <v>123</v>
      </c>
      <c r="B22" s="2"/>
      <c r="C22" s="8" t="s">
        <v>31</v>
      </c>
      <c r="D22" s="24"/>
      <c r="E22" s="8"/>
      <c r="F22" s="8"/>
      <c r="G22" s="25"/>
      <c r="H22" s="26"/>
      <c r="I22" s="26"/>
      <c r="J22" s="5">
        <v>-6000</v>
      </c>
      <c r="K22" s="5"/>
      <c r="L22" s="5">
        <v>-6000</v>
      </c>
      <c r="M22" s="5">
        <v>-6000</v>
      </c>
      <c r="N22" s="5"/>
      <c r="O22" s="5">
        <f t="shared" si="5"/>
        <v>-6000</v>
      </c>
      <c r="P22" s="5">
        <f t="shared" si="6"/>
        <v>-3000</v>
      </c>
      <c r="Q22" s="9"/>
      <c r="R22" s="5">
        <f>+Q22+P22</f>
        <v>-3000</v>
      </c>
      <c r="S22" s="114" t="s">
        <v>176</v>
      </c>
      <c r="T22" s="115"/>
      <c r="U22" s="29"/>
      <c r="V22" s="29"/>
    </row>
    <row r="23" spans="1:22" ht="33" customHeight="1">
      <c r="A23" s="7" t="s">
        <v>123</v>
      </c>
      <c r="B23" s="2"/>
      <c r="C23" s="8" t="s">
        <v>31</v>
      </c>
      <c r="D23" s="24" t="s">
        <v>181</v>
      </c>
      <c r="E23" s="8"/>
      <c r="F23" s="8"/>
      <c r="G23" s="25"/>
      <c r="H23" s="26"/>
      <c r="I23" s="26"/>
      <c r="J23" s="5">
        <v>16800</v>
      </c>
      <c r="K23" s="5"/>
      <c r="L23" s="5">
        <f>+K23+J23</f>
        <v>16800</v>
      </c>
      <c r="M23" s="5">
        <v>16800</v>
      </c>
      <c r="N23" s="5"/>
      <c r="O23" s="5">
        <f t="shared" si="5"/>
        <v>16800</v>
      </c>
      <c r="P23" s="5">
        <f t="shared" si="6"/>
        <v>8400</v>
      </c>
      <c r="Q23" s="9"/>
      <c r="R23" s="5">
        <f>+Q23+P23</f>
        <v>8400</v>
      </c>
      <c r="S23" s="19"/>
      <c r="T23" s="20"/>
      <c r="U23" s="29"/>
      <c r="V23" s="29"/>
    </row>
    <row r="24" spans="1:20" ht="11.25">
      <c r="A24" s="68"/>
      <c r="B24" s="2"/>
      <c r="C24" s="8"/>
      <c r="D24" s="8"/>
      <c r="E24" s="8"/>
      <c r="F24" s="8"/>
      <c r="G24" s="25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128"/>
      <c r="T24" s="128"/>
    </row>
    <row r="25" ht="11.25"/>
    <row r="26" spans="1:20" ht="11.25">
      <c r="A26" s="125" t="s">
        <v>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7"/>
      <c r="M26" s="34" t="s">
        <v>26</v>
      </c>
      <c r="N26" s="34"/>
      <c r="O26" s="34"/>
      <c r="P26" s="34" t="s">
        <v>21</v>
      </c>
      <c r="Q26" s="34"/>
      <c r="R26" s="34"/>
      <c r="S26" s="59" t="s">
        <v>24</v>
      </c>
      <c r="T26" s="60" t="s">
        <v>25</v>
      </c>
    </row>
    <row r="27" spans="1:20" ht="11.25">
      <c r="A27" s="132"/>
      <c r="B27" s="133"/>
      <c r="C27" s="141"/>
      <c r="D27" s="142"/>
      <c r="E27" s="142"/>
      <c r="F27" s="142"/>
      <c r="G27" s="142"/>
      <c r="H27" s="142"/>
      <c r="I27" s="142"/>
      <c r="J27" s="142"/>
      <c r="K27" s="143"/>
      <c r="L27" s="207" t="s">
        <v>12</v>
      </c>
      <c r="M27" s="43">
        <v>153000</v>
      </c>
      <c r="N27" s="43"/>
      <c r="O27" s="43"/>
      <c r="P27" s="43">
        <f>M27*0.5</f>
        <v>76500</v>
      </c>
      <c r="Q27" s="42"/>
      <c r="R27" s="42"/>
      <c r="S27" s="69"/>
      <c r="T27" s="69"/>
    </row>
    <row r="28" spans="1:20" ht="11.25">
      <c r="A28" s="134"/>
      <c r="B28" s="135"/>
      <c r="C28" s="32"/>
      <c r="D28" s="61"/>
      <c r="E28" s="61"/>
      <c r="F28" s="61"/>
      <c r="G28" s="61"/>
      <c r="H28" s="61"/>
      <c r="I28" s="61"/>
      <c r="J28" s="61"/>
      <c r="K28" s="42"/>
      <c r="L28" s="208" t="s">
        <v>67</v>
      </c>
      <c r="M28" s="51">
        <f aca="true" t="shared" si="7" ref="M28:R28">SUM(M35:M38)</f>
        <v>47250</v>
      </c>
      <c r="N28" s="51">
        <f t="shared" si="7"/>
        <v>1890</v>
      </c>
      <c r="O28" s="51">
        <f t="shared" si="7"/>
        <v>49140</v>
      </c>
      <c r="P28" s="51">
        <f t="shared" si="7"/>
        <v>23625</v>
      </c>
      <c r="Q28" s="51">
        <f t="shared" si="7"/>
        <v>945</v>
      </c>
      <c r="R28" s="51">
        <f t="shared" si="7"/>
        <v>24570</v>
      </c>
      <c r="S28" s="51">
        <f>R28*0.375</f>
        <v>9213.75</v>
      </c>
      <c r="T28" s="51">
        <f>R28-S28</f>
        <v>15356.25</v>
      </c>
    </row>
    <row r="29" spans="1:20" ht="11.25">
      <c r="A29" s="134"/>
      <c r="B29" s="135"/>
      <c r="C29" s="32"/>
      <c r="D29" s="61"/>
      <c r="E29" s="61"/>
      <c r="F29" s="70"/>
      <c r="G29" s="71"/>
      <c r="H29" s="61"/>
      <c r="I29" s="61"/>
      <c r="J29" s="61"/>
      <c r="K29" s="42"/>
      <c r="L29" s="208" t="s">
        <v>68</v>
      </c>
      <c r="M29" s="51">
        <f aca="true" t="shared" si="8" ref="M29:R29">SUM(M39:M41)</f>
        <v>8610</v>
      </c>
      <c r="N29" s="51">
        <f t="shared" si="8"/>
        <v>0</v>
      </c>
      <c r="O29" s="51">
        <f t="shared" si="8"/>
        <v>8610</v>
      </c>
      <c r="P29" s="51">
        <f t="shared" si="8"/>
        <v>4305</v>
      </c>
      <c r="Q29" s="51">
        <f t="shared" si="8"/>
        <v>0</v>
      </c>
      <c r="R29" s="51">
        <f t="shared" si="8"/>
        <v>4305</v>
      </c>
      <c r="S29" s="51">
        <f>R29*0.375</f>
        <v>1614.375</v>
      </c>
      <c r="T29" s="51">
        <f>R29-S29</f>
        <v>2690.625</v>
      </c>
    </row>
    <row r="30" spans="1:20" ht="11.25">
      <c r="A30" s="134"/>
      <c r="B30" s="135"/>
      <c r="C30" s="32"/>
      <c r="D30" s="61"/>
      <c r="E30" s="61"/>
      <c r="F30" s="61"/>
      <c r="G30" s="61"/>
      <c r="H30" s="61"/>
      <c r="I30" s="61"/>
      <c r="J30" s="61"/>
      <c r="K30" s="42"/>
      <c r="L30" s="206" t="s">
        <v>92</v>
      </c>
      <c r="M30" s="51">
        <f>SUM(M42:M44)</f>
        <v>22099.17</v>
      </c>
      <c r="N30" s="51">
        <f>SUM(N42:N44)</f>
        <v>0</v>
      </c>
      <c r="O30" s="51">
        <f>+N30+M30</f>
        <v>22099.17</v>
      </c>
      <c r="P30" s="51">
        <f>SUM(P42:P44)</f>
        <v>11049.585</v>
      </c>
      <c r="Q30" s="51">
        <f>SUM(Q42:Q44)</f>
        <v>0</v>
      </c>
      <c r="R30" s="51">
        <f>+Q30+P30</f>
        <v>11049.585</v>
      </c>
      <c r="S30" s="51">
        <f>R30*0.375</f>
        <v>4143.594375</v>
      </c>
      <c r="T30" s="51">
        <f>R30-S30</f>
        <v>6905.990624999999</v>
      </c>
    </row>
    <row r="31" spans="1:20" ht="11.25">
      <c r="A31" s="134"/>
      <c r="B31" s="135"/>
      <c r="C31" s="32"/>
      <c r="D31" s="61"/>
      <c r="E31" s="61"/>
      <c r="F31" s="61"/>
      <c r="G31" s="61"/>
      <c r="H31" s="61"/>
      <c r="I31" s="61"/>
      <c r="J31" s="61"/>
      <c r="K31" s="42"/>
      <c r="L31" s="206" t="s">
        <v>105</v>
      </c>
      <c r="M31" s="51">
        <f>SUM(M45:M48)</f>
        <v>57979.33</v>
      </c>
      <c r="N31" s="51">
        <f>SUM(N45:N48)</f>
        <v>0</v>
      </c>
      <c r="O31" s="51">
        <f>+N31+M31</f>
        <v>57979.33</v>
      </c>
      <c r="P31" s="51">
        <f>SUM(P45:P48)</f>
        <v>28989.665</v>
      </c>
      <c r="Q31" s="51">
        <f>SUM(Q45:Q48)</f>
        <v>0</v>
      </c>
      <c r="R31" s="51">
        <f>+Q31+P31</f>
        <v>28989.665</v>
      </c>
      <c r="S31" s="51">
        <f>R31*0.375</f>
        <v>10871.124375</v>
      </c>
      <c r="T31" s="51">
        <f>R31-S31</f>
        <v>18118.540625</v>
      </c>
    </row>
    <row r="32" spans="1:20" ht="11.25">
      <c r="A32" s="134"/>
      <c r="B32" s="135"/>
      <c r="C32" s="32"/>
      <c r="D32" s="61"/>
      <c r="E32" s="61"/>
      <c r="F32" s="61"/>
      <c r="G32" s="61"/>
      <c r="H32" s="61"/>
      <c r="I32" s="61"/>
      <c r="J32" s="61"/>
      <c r="K32" s="42"/>
      <c r="L32" s="206" t="s">
        <v>125</v>
      </c>
      <c r="M32" s="51">
        <f>SUM(M49:M53)</f>
        <v>9660</v>
      </c>
      <c r="N32" s="51">
        <f>SUM(N49:N53)</f>
        <v>14629.7</v>
      </c>
      <c r="O32" s="51">
        <f>+N32+M32</f>
        <v>24289.7</v>
      </c>
      <c r="P32" s="51">
        <f>SUM(P49:P53)</f>
        <v>4830</v>
      </c>
      <c r="Q32" s="51">
        <f>SUM(Q49:Q53)</f>
        <v>7314.85</v>
      </c>
      <c r="R32" s="51">
        <f>+Q32+P32</f>
        <v>12144.85</v>
      </c>
      <c r="S32" s="51">
        <f>R32*0.375</f>
        <v>4554.31875</v>
      </c>
      <c r="T32" s="51">
        <f>R32-S32</f>
        <v>7590.53125</v>
      </c>
    </row>
    <row r="33" spans="1:20" ht="11.25">
      <c r="A33" s="136"/>
      <c r="B33" s="137"/>
      <c r="C33" s="138"/>
      <c r="D33" s="139"/>
      <c r="E33" s="139"/>
      <c r="F33" s="139"/>
      <c r="G33" s="139"/>
      <c r="H33" s="139"/>
      <c r="I33" s="139"/>
      <c r="J33" s="139"/>
      <c r="K33" s="140"/>
      <c r="L33" s="207" t="s">
        <v>13</v>
      </c>
      <c r="M33" s="51">
        <f>M27-M28-M29-M30-M31-M32</f>
        <v>7401.5</v>
      </c>
      <c r="N33" s="51"/>
      <c r="O33" s="51"/>
      <c r="P33" s="51">
        <f>P27-P28-P29-P30-P31-P32</f>
        <v>3700.75</v>
      </c>
      <c r="Q33" s="42"/>
      <c r="R33" s="42"/>
      <c r="S33" s="42"/>
      <c r="T33" s="36"/>
    </row>
    <row r="34" spans="1:20" ht="32.25" customHeight="1">
      <c r="A34" s="64" t="s">
        <v>14</v>
      </c>
      <c r="B34" s="64" t="s">
        <v>11</v>
      </c>
      <c r="C34" s="65" t="s">
        <v>23</v>
      </c>
      <c r="D34" s="65" t="s">
        <v>20</v>
      </c>
      <c r="E34" s="65" t="s">
        <v>2</v>
      </c>
      <c r="F34" s="65" t="s">
        <v>19</v>
      </c>
      <c r="G34" s="65" t="s">
        <v>18</v>
      </c>
      <c r="H34" s="65" t="s">
        <v>17</v>
      </c>
      <c r="I34" s="65" t="s">
        <v>16</v>
      </c>
      <c r="J34" s="65" t="s">
        <v>3</v>
      </c>
      <c r="K34" s="65" t="s">
        <v>4</v>
      </c>
      <c r="L34" s="64" t="s">
        <v>5</v>
      </c>
      <c r="M34" s="64" t="s">
        <v>102</v>
      </c>
      <c r="N34" s="64" t="s">
        <v>98</v>
      </c>
      <c r="O34" s="64" t="s">
        <v>99</v>
      </c>
      <c r="P34" s="64" t="s">
        <v>21</v>
      </c>
      <c r="Q34" s="64" t="s">
        <v>100</v>
      </c>
      <c r="R34" s="64" t="s">
        <v>101</v>
      </c>
      <c r="S34" s="111" t="s">
        <v>65</v>
      </c>
      <c r="T34" s="111"/>
    </row>
    <row r="35" spans="1:20" ht="33.75">
      <c r="A35" s="7" t="s">
        <v>15</v>
      </c>
      <c r="B35" s="2">
        <v>1</v>
      </c>
      <c r="C35" s="8" t="s">
        <v>31</v>
      </c>
      <c r="D35" s="24" t="s">
        <v>30</v>
      </c>
      <c r="E35" s="8" t="s">
        <v>29</v>
      </c>
      <c r="F35" s="24">
        <v>1</v>
      </c>
      <c r="G35" s="25">
        <v>38351</v>
      </c>
      <c r="H35" s="4" t="s">
        <v>33</v>
      </c>
      <c r="I35" s="4" t="s">
        <v>32</v>
      </c>
      <c r="J35" s="5">
        <v>13860</v>
      </c>
      <c r="K35" s="5">
        <v>0</v>
      </c>
      <c r="L35" s="5">
        <f aca="true" t="shared" si="9" ref="L35:L41">SUM(J35:K35)</f>
        <v>13860</v>
      </c>
      <c r="M35" s="5">
        <f aca="true" t="shared" si="10" ref="M35:M40">+L35</f>
        <v>13860</v>
      </c>
      <c r="N35" s="5"/>
      <c r="O35" s="5">
        <f>+N35+M35</f>
        <v>13860</v>
      </c>
      <c r="P35" s="5">
        <f aca="true" t="shared" si="11" ref="P35:P48">M35*0.5</f>
        <v>6930</v>
      </c>
      <c r="Q35" s="5"/>
      <c r="R35" s="5">
        <f>+Q35+P35</f>
        <v>6930</v>
      </c>
      <c r="S35" s="110"/>
      <c r="T35" s="110"/>
    </row>
    <row r="36" spans="1:20" ht="45">
      <c r="A36" s="7" t="s">
        <v>15</v>
      </c>
      <c r="B36" s="2">
        <v>1</v>
      </c>
      <c r="C36" s="8" t="s">
        <v>31</v>
      </c>
      <c r="D36" s="24" t="s">
        <v>30</v>
      </c>
      <c r="E36" s="8" t="s">
        <v>182</v>
      </c>
      <c r="F36" s="24">
        <v>1</v>
      </c>
      <c r="G36" s="25">
        <v>38351</v>
      </c>
      <c r="H36" s="4" t="s">
        <v>34</v>
      </c>
      <c r="I36" s="4" t="s">
        <v>32</v>
      </c>
      <c r="J36" s="5">
        <v>13860</v>
      </c>
      <c r="K36" s="5">
        <v>0</v>
      </c>
      <c r="L36" s="5">
        <f t="shared" si="9"/>
        <v>13860</v>
      </c>
      <c r="M36" s="5">
        <f t="shared" si="10"/>
        <v>13860</v>
      </c>
      <c r="N36" s="5"/>
      <c r="O36" s="5">
        <f aca="true" t="shared" si="12" ref="O36:O41">+N36+M36</f>
        <v>13860</v>
      </c>
      <c r="P36" s="5">
        <f t="shared" si="11"/>
        <v>6930</v>
      </c>
      <c r="Q36" s="5"/>
      <c r="R36" s="5">
        <f aca="true" t="shared" si="13" ref="R36:R42">+Q36+P36</f>
        <v>6930</v>
      </c>
      <c r="S36" s="110"/>
      <c r="T36" s="110"/>
    </row>
    <row r="37" spans="1:20" ht="33.75">
      <c r="A37" s="7" t="s">
        <v>15</v>
      </c>
      <c r="B37" s="2">
        <v>1</v>
      </c>
      <c r="C37" s="8" t="s">
        <v>31</v>
      </c>
      <c r="D37" s="24" t="s">
        <v>30</v>
      </c>
      <c r="E37" s="24" t="s">
        <v>35</v>
      </c>
      <c r="F37" s="24">
        <v>1</v>
      </c>
      <c r="G37" s="25">
        <v>38351</v>
      </c>
      <c r="H37" s="4" t="s">
        <v>33</v>
      </c>
      <c r="I37" s="4" t="s">
        <v>32</v>
      </c>
      <c r="J37" s="5">
        <v>10080</v>
      </c>
      <c r="K37" s="5">
        <v>0</v>
      </c>
      <c r="L37" s="5">
        <f t="shared" si="9"/>
        <v>10080</v>
      </c>
      <c r="M37" s="5">
        <f t="shared" si="10"/>
        <v>10080</v>
      </c>
      <c r="N37" s="5"/>
      <c r="O37" s="5">
        <f t="shared" si="12"/>
        <v>10080</v>
      </c>
      <c r="P37" s="5">
        <f t="shared" si="11"/>
        <v>5040</v>
      </c>
      <c r="Q37" s="5"/>
      <c r="R37" s="5">
        <f t="shared" si="13"/>
        <v>5040</v>
      </c>
      <c r="S37" s="110"/>
      <c r="T37" s="110"/>
    </row>
    <row r="38" spans="1:20" ht="21.75" customHeight="1">
      <c r="A38" s="7" t="s">
        <v>15</v>
      </c>
      <c r="B38" s="2">
        <v>1</v>
      </c>
      <c r="C38" s="8" t="s">
        <v>31</v>
      </c>
      <c r="D38" s="24" t="s">
        <v>37</v>
      </c>
      <c r="E38" s="24" t="s">
        <v>36</v>
      </c>
      <c r="F38" s="24">
        <v>60</v>
      </c>
      <c r="G38" s="25">
        <v>38350</v>
      </c>
      <c r="H38" s="26">
        <v>38350</v>
      </c>
      <c r="I38" s="4" t="s">
        <v>38</v>
      </c>
      <c r="J38" s="5">
        <v>9450</v>
      </c>
      <c r="K38" s="5">
        <f>J38*0.2</f>
        <v>1890</v>
      </c>
      <c r="L38" s="5">
        <f t="shared" si="9"/>
        <v>11340</v>
      </c>
      <c r="M38" s="5">
        <v>9450</v>
      </c>
      <c r="N38" s="5">
        <v>1890</v>
      </c>
      <c r="O38" s="5">
        <f t="shared" si="12"/>
        <v>11340</v>
      </c>
      <c r="P38" s="5">
        <f t="shared" si="11"/>
        <v>4725</v>
      </c>
      <c r="Q38" s="5">
        <f>+N38*0.5</f>
        <v>945</v>
      </c>
      <c r="R38" s="5">
        <f t="shared" si="13"/>
        <v>5670</v>
      </c>
      <c r="S38" s="110"/>
      <c r="T38" s="110"/>
    </row>
    <row r="39" spans="1:20" ht="22.5">
      <c r="A39" s="7" t="s">
        <v>66</v>
      </c>
      <c r="B39" s="2"/>
      <c r="C39" s="8" t="s">
        <v>31</v>
      </c>
      <c r="D39" s="24" t="s">
        <v>84</v>
      </c>
      <c r="E39" s="8" t="s">
        <v>74</v>
      </c>
      <c r="F39" s="8" t="s">
        <v>85</v>
      </c>
      <c r="G39" s="25">
        <v>38411</v>
      </c>
      <c r="H39" s="72" t="s">
        <v>86</v>
      </c>
      <c r="I39" s="4" t="s">
        <v>87</v>
      </c>
      <c r="J39" s="5">
        <v>4620</v>
      </c>
      <c r="K39" s="5">
        <v>0</v>
      </c>
      <c r="L39" s="5">
        <f t="shared" si="9"/>
        <v>4620</v>
      </c>
      <c r="M39" s="73">
        <f>L39/2</f>
        <v>2310</v>
      </c>
      <c r="N39" s="73"/>
      <c r="O39" s="5">
        <f t="shared" si="12"/>
        <v>2310</v>
      </c>
      <c r="P39" s="73">
        <f t="shared" si="11"/>
        <v>1155</v>
      </c>
      <c r="Q39" s="73"/>
      <c r="R39" s="5">
        <f t="shared" si="13"/>
        <v>1155</v>
      </c>
      <c r="S39" s="110"/>
      <c r="T39" s="110"/>
    </row>
    <row r="40" spans="1:20" ht="22.5">
      <c r="A40" s="7" t="s">
        <v>66</v>
      </c>
      <c r="B40" s="2"/>
      <c r="C40" s="8" t="s">
        <v>31</v>
      </c>
      <c r="D40" s="24" t="s">
        <v>84</v>
      </c>
      <c r="E40" s="8" t="s">
        <v>182</v>
      </c>
      <c r="F40" s="8" t="s">
        <v>85</v>
      </c>
      <c r="G40" s="25">
        <v>38411</v>
      </c>
      <c r="H40" s="72" t="s">
        <v>88</v>
      </c>
      <c r="I40" s="4" t="s">
        <v>87</v>
      </c>
      <c r="J40" s="5">
        <v>4620</v>
      </c>
      <c r="K40" s="5"/>
      <c r="L40" s="5">
        <f t="shared" si="9"/>
        <v>4620</v>
      </c>
      <c r="M40" s="5">
        <f t="shared" si="10"/>
        <v>4620</v>
      </c>
      <c r="N40" s="5"/>
      <c r="O40" s="5">
        <f t="shared" si="12"/>
        <v>4620</v>
      </c>
      <c r="P40" s="5">
        <f t="shared" si="11"/>
        <v>2310</v>
      </c>
      <c r="Q40" s="9"/>
      <c r="R40" s="5">
        <f t="shared" si="13"/>
        <v>2310</v>
      </c>
      <c r="S40" s="150"/>
      <c r="T40" s="151"/>
    </row>
    <row r="41" spans="1:20" ht="22.5">
      <c r="A41" s="7" t="s">
        <v>66</v>
      </c>
      <c r="B41" s="2"/>
      <c r="C41" s="8" t="s">
        <v>31</v>
      </c>
      <c r="D41" s="24" t="s">
        <v>84</v>
      </c>
      <c r="E41" s="8" t="s">
        <v>75</v>
      </c>
      <c r="F41" s="8" t="s">
        <v>85</v>
      </c>
      <c r="G41" s="25">
        <v>38411</v>
      </c>
      <c r="H41" s="72" t="s">
        <v>86</v>
      </c>
      <c r="I41" s="4" t="s">
        <v>87</v>
      </c>
      <c r="J41" s="5">
        <v>3360</v>
      </c>
      <c r="K41" s="5"/>
      <c r="L41" s="5">
        <f t="shared" si="9"/>
        <v>3360</v>
      </c>
      <c r="M41" s="5">
        <f>+L41/2</f>
        <v>1680</v>
      </c>
      <c r="N41" s="5"/>
      <c r="O41" s="5">
        <f t="shared" si="12"/>
        <v>1680</v>
      </c>
      <c r="P41" s="5">
        <f t="shared" si="11"/>
        <v>840</v>
      </c>
      <c r="Q41" s="5"/>
      <c r="R41" s="5">
        <f t="shared" si="13"/>
        <v>840</v>
      </c>
      <c r="S41" s="110"/>
      <c r="T41" s="110"/>
    </row>
    <row r="42" spans="1:20" ht="33.75">
      <c r="A42" s="7" t="s">
        <v>90</v>
      </c>
      <c r="B42" s="2"/>
      <c r="C42" s="8" t="s">
        <v>31</v>
      </c>
      <c r="D42" s="74" t="s">
        <v>126</v>
      </c>
      <c r="E42" s="8" t="s">
        <v>182</v>
      </c>
      <c r="F42" s="8" t="s">
        <v>127</v>
      </c>
      <c r="G42" s="25">
        <v>38472</v>
      </c>
      <c r="H42" s="4" t="s">
        <v>183</v>
      </c>
      <c r="I42" s="75" t="s">
        <v>184</v>
      </c>
      <c r="J42" s="76">
        <v>4620</v>
      </c>
      <c r="K42" s="77"/>
      <c r="L42" s="77">
        <f>+K42+J42</f>
        <v>4620</v>
      </c>
      <c r="M42" s="78">
        <f>1774+1774.02+1071.98</f>
        <v>4620</v>
      </c>
      <c r="N42" s="5"/>
      <c r="O42" s="5">
        <f>+N42+M42</f>
        <v>4620</v>
      </c>
      <c r="P42" s="5">
        <f>+M42*0.5</f>
        <v>2310</v>
      </c>
      <c r="Q42" s="9"/>
      <c r="R42" s="9">
        <f t="shared" si="13"/>
        <v>2310</v>
      </c>
      <c r="S42" s="114"/>
      <c r="T42" s="115"/>
    </row>
    <row r="43" spans="1:20" ht="33.75">
      <c r="A43" s="7" t="s">
        <v>90</v>
      </c>
      <c r="B43" s="2"/>
      <c r="C43" s="8" t="s">
        <v>31</v>
      </c>
      <c r="D43" s="74" t="s">
        <v>128</v>
      </c>
      <c r="E43" s="8" t="s">
        <v>77</v>
      </c>
      <c r="F43" s="8" t="s">
        <v>129</v>
      </c>
      <c r="G43" s="25">
        <v>38443</v>
      </c>
      <c r="H43" s="4" t="s">
        <v>187</v>
      </c>
      <c r="I43" s="75" t="s">
        <v>186</v>
      </c>
      <c r="J43" s="79">
        <v>13312.5</v>
      </c>
      <c r="K43" s="78">
        <v>2662.5</v>
      </c>
      <c r="L43" s="78">
        <v>15975</v>
      </c>
      <c r="M43" s="78">
        <v>13312.5</v>
      </c>
      <c r="N43" s="5"/>
      <c r="O43" s="5">
        <f>+N43+M43</f>
        <v>13312.5</v>
      </c>
      <c r="P43" s="5">
        <f>+M43*0.5</f>
        <v>6656.25</v>
      </c>
      <c r="Q43" s="9"/>
      <c r="R43" s="9">
        <f>+P43+Q43</f>
        <v>6656.25</v>
      </c>
      <c r="S43" s="113"/>
      <c r="T43" s="107"/>
    </row>
    <row r="44" spans="1:20" ht="33.75">
      <c r="A44" s="7" t="s">
        <v>90</v>
      </c>
      <c r="B44" s="2"/>
      <c r="C44" s="8" t="s">
        <v>31</v>
      </c>
      <c r="D44" s="74" t="s">
        <v>128</v>
      </c>
      <c r="E44" s="8" t="s">
        <v>77</v>
      </c>
      <c r="F44" s="8" t="s">
        <v>130</v>
      </c>
      <c r="G44" s="25">
        <v>38446</v>
      </c>
      <c r="H44" s="4" t="s">
        <v>188</v>
      </c>
      <c r="I44" s="4" t="s">
        <v>185</v>
      </c>
      <c r="J44" s="78">
        <v>10000</v>
      </c>
      <c r="K44" s="78">
        <v>2000</v>
      </c>
      <c r="L44" s="78">
        <v>12000</v>
      </c>
      <c r="M44" s="80">
        <v>4166.67</v>
      </c>
      <c r="N44" s="5"/>
      <c r="O44" s="5">
        <f>+N44+M44</f>
        <v>4166.67</v>
      </c>
      <c r="P44" s="5">
        <f>+O44*0.5</f>
        <v>2083.335</v>
      </c>
      <c r="Q44" s="9"/>
      <c r="R44" s="9">
        <f>+Q44+P44</f>
        <v>2083.335</v>
      </c>
      <c r="S44" s="108"/>
      <c r="T44" s="109"/>
    </row>
    <row r="45" spans="1:20" ht="22.5">
      <c r="A45" s="7" t="s">
        <v>104</v>
      </c>
      <c r="B45" s="2"/>
      <c r="C45" s="8" t="s">
        <v>31</v>
      </c>
      <c r="D45" s="10" t="s">
        <v>106</v>
      </c>
      <c r="E45" s="11" t="s">
        <v>74</v>
      </c>
      <c r="F45" s="11">
        <v>2</v>
      </c>
      <c r="G45" s="12">
        <v>38625</v>
      </c>
      <c r="H45" s="13">
        <v>38622</v>
      </c>
      <c r="I45" s="14" t="s">
        <v>109</v>
      </c>
      <c r="J45" s="15">
        <v>4620</v>
      </c>
      <c r="K45" s="16"/>
      <c r="L45" s="17">
        <v>4620</v>
      </c>
      <c r="M45" s="18">
        <v>2310</v>
      </c>
      <c r="N45" s="5"/>
      <c r="O45" s="5">
        <f>SUM(M45:N45)</f>
        <v>2310</v>
      </c>
      <c r="P45" s="5">
        <f t="shared" si="11"/>
        <v>1155</v>
      </c>
      <c r="Q45" s="9"/>
      <c r="R45" s="9">
        <f aca="true" t="shared" si="14" ref="R45:R53">SUM(P45:Q45)</f>
        <v>1155</v>
      </c>
      <c r="S45" s="114"/>
      <c r="T45" s="115"/>
    </row>
    <row r="46" spans="1:20" ht="45">
      <c r="A46" s="7" t="s">
        <v>104</v>
      </c>
      <c r="B46" s="2"/>
      <c r="C46" s="8" t="s">
        <v>31</v>
      </c>
      <c r="D46" s="10" t="s">
        <v>107</v>
      </c>
      <c r="E46" s="11" t="s">
        <v>110</v>
      </c>
      <c r="F46" s="11" t="s">
        <v>111</v>
      </c>
      <c r="G46" s="12">
        <v>38607</v>
      </c>
      <c r="H46" s="22" t="s">
        <v>141</v>
      </c>
      <c r="I46" s="14" t="s">
        <v>112</v>
      </c>
      <c r="J46" s="15">
        <v>35550</v>
      </c>
      <c r="K46" s="23">
        <v>7110</v>
      </c>
      <c r="L46" s="17">
        <f>SUM(J46:K46)</f>
        <v>42660</v>
      </c>
      <c r="M46" s="18">
        <v>35550</v>
      </c>
      <c r="N46" s="5"/>
      <c r="O46" s="5">
        <f>SUM(M46:N46)</f>
        <v>35550</v>
      </c>
      <c r="P46" s="5">
        <f t="shared" si="11"/>
        <v>17775</v>
      </c>
      <c r="Q46" s="9"/>
      <c r="R46" s="9">
        <f t="shared" si="14"/>
        <v>17775</v>
      </c>
      <c r="S46" s="114"/>
      <c r="T46" s="115"/>
    </row>
    <row r="47" spans="1:20" ht="33.75">
      <c r="A47" s="7" t="s">
        <v>104</v>
      </c>
      <c r="B47" s="2"/>
      <c r="C47" s="8" t="s">
        <v>31</v>
      </c>
      <c r="D47" s="74" t="s">
        <v>128</v>
      </c>
      <c r="E47" s="8" t="s">
        <v>77</v>
      </c>
      <c r="F47" s="8" t="s">
        <v>130</v>
      </c>
      <c r="G47" s="25">
        <v>38446</v>
      </c>
      <c r="H47" s="4" t="s">
        <v>188</v>
      </c>
      <c r="I47" s="4" t="s">
        <v>185</v>
      </c>
      <c r="J47" s="78">
        <v>10000</v>
      </c>
      <c r="K47" s="78">
        <v>2000</v>
      </c>
      <c r="L47" s="78">
        <v>12000</v>
      </c>
      <c r="M47" s="18">
        <f>+J47-M44</f>
        <v>5833.33</v>
      </c>
      <c r="N47" s="5"/>
      <c r="O47" s="5">
        <f>SUM(M47:N47)</f>
        <v>5833.33</v>
      </c>
      <c r="P47" s="5">
        <f>M47*0.5</f>
        <v>2916.665</v>
      </c>
      <c r="Q47" s="9"/>
      <c r="R47" s="9">
        <f t="shared" si="14"/>
        <v>2916.665</v>
      </c>
      <c r="S47" s="19"/>
      <c r="T47" s="20"/>
    </row>
    <row r="48" spans="1:20" ht="45">
      <c r="A48" s="7" t="s">
        <v>104</v>
      </c>
      <c r="B48" s="2"/>
      <c r="C48" s="8" t="s">
        <v>31</v>
      </c>
      <c r="D48" s="10" t="s">
        <v>108</v>
      </c>
      <c r="E48" s="11" t="s">
        <v>113</v>
      </c>
      <c r="F48" s="11" t="s">
        <v>114</v>
      </c>
      <c r="G48" s="12">
        <v>38565</v>
      </c>
      <c r="H48" s="13" t="s">
        <v>115</v>
      </c>
      <c r="I48" s="14" t="s">
        <v>112</v>
      </c>
      <c r="J48" s="17">
        <v>14286</v>
      </c>
      <c r="K48" s="17">
        <f>J48*20%</f>
        <v>2857.2000000000003</v>
      </c>
      <c r="L48" s="17">
        <f>SUM(J48:K48)</f>
        <v>17143.2</v>
      </c>
      <c r="M48" s="18">
        <v>14286</v>
      </c>
      <c r="N48" s="5"/>
      <c r="O48" s="5">
        <f>SUM(M48:N48)</f>
        <v>14286</v>
      </c>
      <c r="P48" s="5">
        <f t="shared" si="11"/>
        <v>7143</v>
      </c>
      <c r="Q48" s="5"/>
      <c r="R48" s="9">
        <f t="shared" si="14"/>
        <v>7143</v>
      </c>
      <c r="S48" s="114"/>
      <c r="T48" s="115"/>
    </row>
    <row r="49" spans="1:20" ht="22.5">
      <c r="A49" s="7" t="s">
        <v>123</v>
      </c>
      <c r="B49" s="2"/>
      <c r="C49" s="8" t="s">
        <v>31</v>
      </c>
      <c r="D49" s="24" t="s">
        <v>84</v>
      </c>
      <c r="E49" s="8" t="s">
        <v>74</v>
      </c>
      <c r="F49" s="8" t="s">
        <v>85</v>
      </c>
      <c r="G49" s="25">
        <v>38411</v>
      </c>
      <c r="H49" s="72" t="s">
        <v>86</v>
      </c>
      <c r="I49" s="4" t="s">
        <v>87</v>
      </c>
      <c r="J49" s="5">
        <v>4620</v>
      </c>
      <c r="K49" s="5">
        <v>0</v>
      </c>
      <c r="L49" s="5">
        <f>SUM(J49:K49)</f>
        <v>4620</v>
      </c>
      <c r="M49" s="18">
        <v>2310</v>
      </c>
      <c r="N49" s="5"/>
      <c r="O49" s="5">
        <f>+N49+M49</f>
        <v>2310</v>
      </c>
      <c r="P49" s="5">
        <f>M49*0.5</f>
        <v>1155</v>
      </c>
      <c r="Q49" s="9"/>
      <c r="R49" s="9">
        <f t="shared" si="14"/>
        <v>1155</v>
      </c>
      <c r="S49" s="114" t="s">
        <v>189</v>
      </c>
      <c r="T49" s="115"/>
    </row>
    <row r="50" spans="1:20" ht="22.5">
      <c r="A50" s="7" t="s">
        <v>123</v>
      </c>
      <c r="B50" s="2"/>
      <c r="C50" s="8" t="s">
        <v>31</v>
      </c>
      <c r="D50" s="24" t="s">
        <v>84</v>
      </c>
      <c r="E50" s="8" t="s">
        <v>75</v>
      </c>
      <c r="F50" s="8" t="s">
        <v>85</v>
      </c>
      <c r="G50" s="25">
        <v>38411</v>
      </c>
      <c r="H50" s="72" t="s">
        <v>86</v>
      </c>
      <c r="I50" s="4" t="s">
        <v>87</v>
      </c>
      <c r="J50" s="5">
        <v>3360</v>
      </c>
      <c r="K50" s="5"/>
      <c r="L50" s="5">
        <f>SUM(J50:K50)</f>
        <v>3360</v>
      </c>
      <c r="M50" s="18">
        <v>1680</v>
      </c>
      <c r="N50" s="5"/>
      <c r="O50" s="5">
        <f>+N50+M50</f>
        <v>1680</v>
      </c>
      <c r="P50" s="5">
        <f>M50*0.5</f>
        <v>840</v>
      </c>
      <c r="Q50" s="9"/>
      <c r="R50" s="9">
        <f t="shared" si="14"/>
        <v>840</v>
      </c>
      <c r="S50" s="114" t="s">
        <v>189</v>
      </c>
      <c r="T50" s="115"/>
    </row>
    <row r="51" spans="1:20" ht="22.5">
      <c r="A51" s="7" t="s">
        <v>123</v>
      </c>
      <c r="B51" s="2"/>
      <c r="C51" s="8" t="s">
        <v>31</v>
      </c>
      <c r="D51" s="81" t="s">
        <v>126</v>
      </c>
      <c r="E51" s="8" t="s">
        <v>29</v>
      </c>
      <c r="F51" s="8" t="s">
        <v>127</v>
      </c>
      <c r="G51" s="25">
        <v>38625</v>
      </c>
      <c r="H51" s="72">
        <v>38708</v>
      </c>
      <c r="I51" s="4" t="s">
        <v>190</v>
      </c>
      <c r="J51" s="5">
        <v>4620</v>
      </c>
      <c r="K51" s="5"/>
      <c r="L51" s="5">
        <v>4620</v>
      </c>
      <c r="M51" s="18">
        <v>2310</v>
      </c>
      <c r="N51" s="5"/>
      <c r="O51" s="5">
        <f>+N51+M51</f>
        <v>2310</v>
      </c>
      <c r="P51" s="5">
        <f>M51*0.5</f>
        <v>1155</v>
      </c>
      <c r="Q51" s="9"/>
      <c r="R51" s="9">
        <f t="shared" si="14"/>
        <v>1155</v>
      </c>
      <c r="S51" s="19"/>
      <c r="T51" s="20"/>
    </row>
    <row r="52" spans="1:20" ht="22.5">
      <c r="A52" s="7" t="s">
        <v>123</v>
      </c>
      <c r="B52" s="2"/>
      <c r="C52" s="8" t="s">
        <v>31</v>
      </c>
      <c r="D52" s="10" t="s">
        <v>191</v>
      </c>
      <c r="E52" s="11" t="s">
        <v>35</v>
      </c>
      <c r="F52" s="11" t="s">
        <v>127</v>
      </c>
      <c r="G52" s="12">
        <v>38625</v>
      </c>
      <c r="H52" s="13">
        <v>38804</v>
      </c>
      <c r="I52" s="14" t="s">
        <v>190</v>
      </c>
      <c r="J52" s="17">
        <v>3360</v>
      </c>
      <c r="K52" s="17"/>
      <c r="L52" s="17">
        <v>3360</v>
      </c>
      <c r="M52" s="18">
        <v>3360</v>
      </c>
      <c r="N52" s="5"/>
      <c r="O52" s="5">
        <f>+N52+M52</f>
        <v>3360</v>
      </c>
      <c r="P52" s="5">
        <f>M52*0.5</f>
        <v>1680</v>
      </c>
      <c r="Q52" s="9"/>
      <c r="R52" s="9">
        <f t="shared" si="14"/>
        <v>1680</v>
      </c>
      <c r="S52" s="27"/>
      <c r="T52" s="28"/>
    </row>
    <row r="53" spans="1:20" ht="11.25">
      <c r="A53" s="7" t="s">
        <v>123</v>
      </c>
      <c r="B53" s="2"/>
      <c r="C53" s="8" t="s">
        <v>31</v>
      </c>
      <c r="D53" s="82" t="s">
        <v>196</v>
      </c>
      <c r="E53" s="11"/>
      <c r="F53" s="11"/>
      <c r="G53" s="12"/>
      <c r="H53" s="13"/>
      <c r="I53" s="14"/>
      <c r="J53" s="17"/>
      <c r="K53" s="17"/>
      <c r="L53" s="17"/>
      <c r="M53" s="18"/>
      <c r="N53" s="5">
        <f>+K48+M47*0.2+K46+M44*0.2+K43</f>
        <v>14629.7</v>
      </c>
      <c r="O53" s="5">
        <f>+N53+M53</f>
        <v>14629.7</v>
      </c>
      <c r="P53" s="5">
        <f>M53*0.5</f>
        <v>0</v>
      </c>
      <c r="Q53" s="5">
        <f>N53*0.5</f>
        <v>7314.85</v>
      </c>
      <c r="R53" s="9">
        <f t="shared" si="14"/>
        <v>7314.85</v>
      </c>
      <c r="S53" s="27"/>
      <c r="T53" s="28"/>
    </row>
    <row r="54" spans="1:20" ht="10.5" customHeight="1">
      <c r="A54" s="7"/>
      <c r="B54" s="2"/>
      <c r="C54" s="8"/>
      <c r="D54" s="24"/>
      <c r="E54" s="24"/>
      <c r="F54" s="24"/>
      <c r="G54" s="25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110"/>
      <c r="T54" s="110"/>
    </row>
    <row r="55" ht="11.25"/>
    <row r="56" spans="1:20" ht="11.25">
      <c r="A56" s="116" t="s">
        <v>1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17"/>
      <c r="M56" s="34" t="s">
        <v>26</v>
      </c>
      <c r="N56" s="34"/>
      <c r="O56" s="34"/>
      <c r="P56" s="34" t="s">
        <v>21</v>
      </c>
      <c r="Q56" s="34"/>
      <c r="R56" s="34"/>
      <c r="S56" s="59" t="s">
        <v>24</v>
      </c>
      <c r="T56" s="60" t="s">
        <v>25</v>
      </c>
    </row>
    <row r="57" spans="1:20" ht="11.25">
      <c r="A57" s="134"/>
      <c r="B57" s="135"/>
      <c r="C57" s="144"/>
      <c r="D57" s="145"/>
      <c r="E57" s="145"/>
      <c r="F57" s="145"/>
      <c r="G57" s="145"/>
      <c r="H57" s="145"/>
      <c r="I57" s="145"/>
      <c r="J57" s="145"/>
      <c r="K57" s="146"/>
      <c r="L57" s="205" t="s">
        <v>12</v>
      </c>
      <c r="M57" s="43">
        <v>7500</v>
      </c>
      <c r="N57" s="43"/>
      <c r="O57" s="43"/>
      <c r="P57" s="51">
        <f>M57*0.5</f>
        <v>3750</v>
      </c>
      <c r="Q57" s="42"/>
      <c r="R57" s="42"/>
      <c r="S57" s="69"/>
      <c r="T57" s="69"/>
    </row>
    <row r="58" spans="1:20" ht="11.25">
      <c r="A58" s="134"/>
      <c r="B58" s="135"/>
      <c r="C58" s="32"/>
      <c r="D58" s="61"/>
      <c r="E58" s="61"/>
      <c r="F58" s="61"/>
      <c r="G58" s="61"/>
      <c r="H58" s="61"/>
      <c r="I58" s="61"/>
      <c r="J58" s="61"/>
      <c r="K58" s="85"/>
      <c r="L58" s="206" t="s">
        <v>67</v>
      </c>
      <c r="M58" s="51">
        <f>SUM(M65:M67)</f>
        <v>7500</v>
      </c>
      <c r="N58" s="51">
        <f>SUM(N65:N67)</f>
        <v>1500</v>
      </c>
      <c r="O58" s="51">
        <f>+N58+M58</f>
        <v>9000</v>
      </c>
      <c r="P58" s="51">
        <f>SUM(P65:P67)</f>
        <v>3750</v>
      </c>
      <c r="Q58" s="51">
        <f>SUM(Q65:Q67)</f>
        <v>750</v>
      </c>
      <c r="R58" s="86">
        <f>+Q58+P58</f>
        <v>4500</v>
      </c>
      <c r="S58" s="51">
        <f>R58*0.375</f>
        <v>1687.5</v>
      </c>
      <c r="T58" s="51">
        <f>R58-S58</f>
        <v>2812.5</v>
      </c>
    </row>
    <row r="59" spans="1:20" ht="11.25">
      <c r="A59" s="134"/>
      <c r="B59" s="135"/>
      <c r="C59" s="32"/>
      <c r="D59" s="61"/>
      <c r="E59" s="61"/>
      <c r="F59" s="61"/>
      <c r="G59" s="61"/>
      <c r="H59" s="61"/>
      <c r="I59" s="61"/>
      <c r="J59" s="61"/>
      <c r="K59" s="62"/>
      <c r="L59" s="207" t="s">
        <v>68</v>
      </c>
      <c r="M59" s="51">
        <v>0</v>
      </c>
      <c r="N59" s="51"/>
      <c r="O59" s="51"/>
      <c r="P59" s="51">
        <v>0</v>
      </c>
      <c r="Q59" s="86"/>
      <c r="R59" s="86"/>
      <c r="S59" s="86">
        <f>P59*0.375</f>
        <v>0</v>
      </c>
      <c r="T59" s="51">
        <f>P59-S59</f>
        <v>0</v>
      </c>
    </row>
    <row r="60" spans="1:20" ht="11.25">
      <c r="A60" s="134"/>
      <c r="B60" s="135"/>
      <c r="C60" s="32"/>
      <c r="D60" s="61"/>
      <c r="E60" s="61"/>
      <c r="F60" s="61"/>
      <c r="G60" s="61"/>
      <c r="H60" s="61"/>
      <c r="I60" s="61"/>
      <c r="J60" s="61"/>
      <c r="K60" s="62"/>
      <c r="L60" s="206" t="s">
        <v>92</v>
      </c>
      <c r="M60" s="51"/>
      <c r="N60" s="51"/>
      <c r="O60" s="51"/>
      <c r="P60" s="51"/>
      <c r="Q60" s="51"/>
      <c r="R60" s="51"/>
      <c r="S60" s="51"/>
      <c r="T60" s="51"/>
    </row>
    <row r="61" spans="1:20" ht="11.25">
      <c r="A61" s="134"/>
      <c r="B61" s="135"/>
      <c r="C61" s="32"/>
      <c r="D61" s="61"/>
      <c r="E61" s="61"/>
      <c r="F61" s="61"/>
      <c r="G61" s="61"/>
      <c r="H61" s="61"/>
      <c r="I61" s="61"/>
      <c r="J61" s="61"/>
      <c r="K61" s="62"/>
      <c r="L61" s="206" t="s">
        <v>105</v>
      </c>
      <c r="M61" s="51"/>
      <c r="N61" s="51"/>
      <c r="O61" s="51"/>
      <c r="P61" s="51"/>
      <c r="Q61" s="51"/>
      <c r="R61" s="51"/>
      <c r="S61" s="51"/>
      <c r="T61" s="51"/>
    </row>
    <row r="62" spans="1:20" ht="11.25">
      <c r="A62" s="134"/>
      <c r="B62" s="135"/>
      <c r="C62" s="32"/>
      <c r="D62" s="61"/>
      <c r="E62" s="61"/>
      <c r="F62" s="61"/>
      <c r="G62" s="61"/>
      <c r="H62" s="61"/>
      <c r="I62" s="61"/>
      <c r="J62" s="61"/>
      <c r="K62" s="62"/>
      <c r="L62" s="206" t="s">
        <v>125</v>
      </c>
      <c r="M62" s="51"/>
      <c r="N62" s="51"/>
      <c r="O62" s="51"/>
      <c r="P62" s="51"/>
      <c r="Q62" s="42"/>
      <c r="R62" s="42"/>
      <c r="S62" s="42"/>
      <c r="T62" s="42"/>
    </row>
    <row r="63" spans="1:20" ht="11.25">
      <c r="A63" s="136"/>
      <c r="B63" s="137"/>
      <c r="C63" s="138"/>
      <c r="D63" s="139"/>
      <c r="E63" s="139"/>
      <c r="F63" s="139"/>
      <c r="G63" s="139"/>
      <c r="H63" s="139"/>
      <c r="I63" s="139"/>
      <c r="J63" s="139"/>
      <c r="K63" s="140"/>
      <c r="L63" s="206" t="s">
        <v>13</v>
      </c>
      <c r="M63" s="51">
        <f>M57-M58-M59-M60</f>
        <v>0</v>
      </c>
      <c r="N63" s="51"/>
      <c r="O63" s="51"/>
      <c r="P63" s="51">
        <f>P57-P58-P59-P60</f>
        <v>0</v>
      </c>
      <c r="Q63" s="42"/>
      <c r="R63" s="42"/>
      <c r="S63" s="36"/>
      <c r="T63" s="36"/>
    </row>
    <row r="64" spans="1:20" ht="38.25" customHeight="1">
      <c r="A64" s="64" t="s">
        <v>14</v>
      </c>
      <c r="B64" s="64" t="s">
        <v>11</v>
      </c>
      <c r="C64" s="65" t="s">
        <v>23</v>
      </c>
      <c r="D64" s="65" t="s">
        <v>20</v>
      </c>
      <c r="E64" s="65" t="s">
        <v>2</v>
      </c>
      <c r="F64" s="65" t="s">
        <v>19</v>
      </c>
      <c r="G64" s="65" t="s">
        <v>18</v>
      </c>
      <c r="H64" s="65" t="s">
        <v>17</v>
      </c>
      <c r="I64" s="65" t="s">
        <v>16</v>
      </c>
      <c r="J64" s="65" t="s">
        <v>3</v>
      </c>
      <c r="K64" s="65" t="s">
        <v>4</v>
      </c>
      <c r="L64" s="64" t="s">
        <v>5</v>
      </c>
      <c r="M64" s="64" t="s">
        <v>102</v>
      </c>
      <c r="N64" s="64" t="s">
        <v>98</v>
      </c>
      <c r="O64" s="64" t="s">
        <v>99</v>
      </c>
      <c r="P64" s="64" t="s">
        <v>21</v>
      </c>
      <c r="Q64" s="64" t="s">
        <v>100</v>
      </c>
      <c r="R64" s="64" t="s">
        <v>101</v>
      </c>
      <c r="S64" s="111" t="s">
        <v>65</v>
      </c>
      <c r="T64" s="111"/>
    </row>
    <row r="65" spans="1:20" ht="22.5">
      <c r="A65" s="7" t="s">
        <v>15</v>
      </c>
      <c r="B65" s="2"/>
      <c r="C65" s="8" t="s">
        <v>31</v>
      </c>
      <c r="D65" s="24" t="s">
        <v>80</v>
      </c>
      <c r="E65" s="24" t="s">
        <v>77</v>
      </c>
      <c r="F65" s="8">
        <v>6</v>
      </c>
      <c r="G65" s="25">
        <v>38350</v>
      </c>
      <c r="H65" s="26">
        <v>38350</v>
      </c>
      <c r="I65" s="26" t="s">
        <v>39</v>
      </c>
      <c r="J65" s="5">
        <v>7500</v>
      </c>
      <c r="K65" s="5">
        <f>+J65*0.2</f>
        <v>1500</v>
      </c>
      <c r="L65" s="5">
        <f>SUM(J65:K65)</f>
        <v>9000</v>
      </c>
      <c r="M65" s="5">
        <v>7500</v>
      </c>
      <c r="N65" s="5">
        <v>1500</v>
      </c>
      <c r="O65" s="5">
        <f>+N65+M65</f>
        <v>9000</v>
      </c>
      <c r="P65" s="5">
        <f>M65*0.5</f>
        <v>3750</v>
      </c>
      <c r="Q65" s="5">
        <f>+N65*0.5</f>
        <v>750</v>
      </c>
      <c r="R65" s="5">
        <f>+Q65+P65</f>
        <v>4500</v>
      </c>
      <c r="S65" s="110"/>
      <c r="T65" s="110"/>
    </row>
    <row r="66" spans="1:20" ht="11.25">
      <c r="A66" s="7"/>
      <c r="B66" s="2"/>
      <c r="C66" s="8"/>
      <c r="D66" s="8"/>
      <c r="E66" s="8"/>
      <c r="F66" s="8"/>
      <c r="G66" s="25"/>
      <c r="H66" s="26"/>
      <c r="I66" s="26"/>
      <c r="J66" s="5"/>
      <c r="K66" s="5"/>
      <c r="L66" s="5"/>
      <c r="M66" s="5"/>
      <c r="N66" s="5"/>
      <c r="O66" s="5"/>
      <c r="P66" s="5"/>
      <c r="Q66" s="5"/>
      <c r="R66" s="5"/>
      <c r="S66" s="110"/>
      <c r="T66" s="110"/>
    </row>
    <row r="67" spans="1:20" ht="11.25">
      <c r="A67" s="85"/>
      <c r="B67" s="2"/>
      <c r="C67" s="8"/>
      <c r="D67" s="8"/>
      <c r="E67" s="8"/>
      <c r="F67" s="8"/>
      <c r="G67" s="25"/>
      <c r="H67" s="26"/>
      <c r="I67" s="26"/>
      <c r="J67" s="5"/>
      <c r="K67" s="5"/>
      <c r="L67" s="5"/>
      <c r="M67" s="5"/>
      <c r="N67" s="5"/>
      <c r="O67" s="5"/>
      <c r="P67" s="5"/>
      <c r="Q67" s="5"/>
      <c r="R67" s="5"/>
      <c r="S67" s="110"/>
      <c r="T67" s="110"/>
    </row>
    <row r="68" ht="11.25"/>
    <row r="69" spans="1:20" ht="11.25">
      <c r="A69" s="116" t="s">
        <v>8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17"/>
      <c r="M69" s="33" t="s">
        <v>26</v>
      </c>
      <c r="N69" s="34"/>
      <c r="O69" s="34"/>
      <c r="P69" s="34" t="s">
        <v>21</v>
      </c>
      <c r="Q69" s="34"/>
      <c r="R69" s="34"/>
      <c r="S69" s="59" t="s">
        <v>24</v>
      </c>
      <c r="T69" s="60" t="s">
        <v>25</v>
      </c>
    </row>
    <row r="70" spans="1:20" ht="11.25">
      <c r="A70" s="134"/>
      <c r="B70" s="135"/>
      <c r="C70" s="144"/>
      <c r="D70" s="145"/>
      <c r="E70" s="145"/>
      <c r="F70" s="145"/>
      <c r="G70" s="145"/>
      <c r="H70" s="145"/>
      <c r="I70" s="145"/>
      <c r="J70" s="145"/>
      <c r="K70" s="146"/>
      <c r="L70" s="52" t="s">
        <v>12</v>
      </c>
      <c r="M70" s="43">
        <v>32600</v>
      </c>
      <c r="N70" s="43"/>
      <c r="O70" s="43"/>
      <c r="P70" s="43">
        <f>M70*0.5</f>
        <v>16300</v>
      </c>
      <c r="Q70" s="42"/>
      <c r="R70" s="42"/>
      <c r="S70" s="69"/>
      <c r="T70" s="69"/>
    </row>
    <row r="71" spans="1:20" ht="11.25">
      <c r="A71" s="134"/>
      <c r="B71" s="135"/>
      <c r="C71" s="32"/>
      <c r="D71" s="61"/>
      <c r="E71" s="61"/>
      <c r="F71" s="61"/>
      <c r="G71" s="61"/>
      <c r="H71" s="61"/>
      <c r="I71" s="61"/>
      <c r="J71" s="61"/>
      <c r="K71" s="51">
        <f>SUM(K82:K82)</f>
        <v>0</v>
      </c>
      <c r="L71" s="206" t="s">
        <v>67</v>
      </c>
      <c r="M71" s="51"/>
      <c r="N71" s="51"/>
      <c r="O71" s="51"/>
      <c r="P71" s="51"/>
      <c r="Q71" s="86"/>
      <c r="R71" s="86"/>
      <c r="S71" s="86">
        <f>P71*0.375</f>
        <v>0</v>
      </c>
      <c r="T71" s="51">
        <f>P71-S71</f>
        <v>0</v>
      </c>
    </row>
    <row r="72" spans="1:20" ht="11.25">
      <c r="A72" s="134"/>
      <c r="B72" s="135"/>
      <c r="C72" s="32"/>
      <c r="D72" s="61"/>
      <c r="E72" s="61"/>
      <c r="F72" s="61"/>
      <c r="G72" s="61"/>
      <c r="H72" s="61"/>
      <c r="I72" s="61"/>
      <c r="J72" s="61"/>
      <c r="K72" s="62"/>
      <c r="L72" s="207" t="s">
        <v>68</v>
      </c>
      <c r="M72" s="51">
        <v>0</v>
      </c>
      <c r="N72" s="51"/>
      <c r="O72" s="51"/>
      <c r="P72" s="51">
        <v>0</v>
      </c>
      <c r="Q72" s="86"/>
      <c r="R72" s="86"/>
      <c r="S72" s="86">
        <f>P72*0.375</f>
        <v>0</v>
      </c>
      <c r="T72" s="51">
        <f>P72-S72</f>
        <v>0</v>
      </c>
    </row>
    <row r="73" spans="1:20" ht="11.25">
      <c r="A73" s="134"/>
      <c r="B73" s="135"/>
      <c r="C73" s="32"/>
      <c r="D73" s="61"/>
      <c r="E73" s="61"/>
      <c r="F73" s="61"/>
      <c r="G73" s="61"/>
      <c r="H73" s="61"/>
      <c r="I73" s="61"/>
      <c r="J73" s="61"/>
      <c r="K73" s="62"/>
      <c r="L73" s="206" t="s">
        <v>92</v>
      </c>
      <c r="M73" s="51"/>
      <c r="N73" s="51"/>
      <c r="O73" s="51"/>
      <c r="P73" s="51"/>
      <c r="Q73" s="51"/>
      <c r="R73" s="51"/>
      <c r="S73" s="51"/>
      <c r="T73" s="51"/>
    </row>
    <row r="74" spans="1:20" ht="11.25">
      <c r="A74" s="134"/>
      <c r="B74" s="135"/>
      <c r="C74" s="32"/>
      <c r="D74" s="61"/>
      <c r="E74" s="61"/>
      <c r="F74" s="61"/>
      <c r="G74" s="61"/>
      <c r="H74" s="61"/>
      <c r="I74" s="61"/>
      <c r="J74" s="61"/>
      <c r="K74" s="62"/>
      <c r="L74" s="206" t="s">
        <v>105</v>
      </c>
      <c r="M74" s="51">
        <f aca="true" t="shared" si="15" ref="M74:R74">SUM(M78)</f>
        <v>24167</v>
      </c>
      <c r="N74" s="51">
        <f t="shared" si="15"/>
        <v>0</v>
      </c>
      <c r="O74" s="51">
        <f t="shared" si="15"/>
        <v>24167</v>
      </c>
      <c r="P74" s="51">
        <f t="shared" si="15"/>
        <v>12083.5</v>
      </c>
      <c r="Q74" s="51">
        <f t="shared" si="15"/>
        <v>0</v>
      </c>
      <c r="R74" s="51">
        <f t="shared" si="15"/>
        <v>12083.5</v>
      </c>
      <c r="S74" s="51">
        <f>R74*0.375</f>
        <v>4531.3125</v>
      </c>
      <c r="T74" s="51">
        <f>R74-S74</f>
        <v>7552.1875</v>
      </c>
    </row>
    <row r="75" spans="1:20" ht="11.25">
      <c r="A75" s="134"/>
      <c r="B75" s="135"/>
      <c r="C75" s="32"/>
      <c r="D75" s="61"/>
      <c r="E75" s="61"/>
      <c r="F75" s="61"/>
      <c r="G75" s="61"/>
      <c r="H75" s="61"/>
      <c r="I75" s="61"/>
      <c r="J75" s="61"/>
      <c r="K75" s="62"/>
      <c r="L75" s="206" t="s">
        <v>125</v>
      </c>
      <c r="M75" s="51">
        <f>SUM(M79:M81)</f>
        <v>19833</v>
      </c>
      <c r="N75" s="51">
        <f>SUM(N79:N81)</f>
        <v>8800</v>
      </c>
      <c r="O75" s="51">
        <f>+N75+M75</f>
        <v>28633</v>
      </c>
      <c r="P75" s="51">
        <f>SUM(P79:P81)</f>
        <v>9916.5</v>
      </c>
      <c r="Q75" s="51">
        <f>SUM(Q79:Q81)</f>
        <v>4400</v>
      </c>
      <c r="R75" s="51">
        <f>+Q75+P75</f>
        <v>14316.5</v>
      </c>
      <c r="S75" s="51">
        <f>R75*0.375</f>
        <v>5368.6875</v>
      </c>
      <c r="T75" s="51">
        <f>R75-S75</f>
        <v>8947.8125</v>
      </c>
    </row>
    <row r="76" spans="1:20" ht="11.25">
      <c r="A76" s="136"/>
      <c r="B76" s="137"/>
      <c r="C76" s="138"/>
      <c r="D76" s="139"/>
      <c r="E76" s="139"/>
      <c r="F76" s="139"/>
      <c r="G76" s="139"/>
      <c r="H76" s="139"/>
      <c r="I76" s="139"/>
      <c r="J76" s="139"/>
      <c r="K76" s="140"/>
      <c r="L76" s="206" t="s">
        <v>13</v>
      </c>
      <c r="M76" s="51">
        <f>M70-M71-M72-M73-M74-M75</f>
        <v>-11400</v>
      </c>
      <c r="N76" s="51"/>
      <c r="O76" s="51"/>
      <c r="P76" s="51">
        <f>P70-P71-P72-P73-P74-P75</f>
        <v>-5700</v>
      </c>
      <c r="Q76" s="42"/>
      <c r="R76" s="42"/>
      <c r="S76" s="36"/>
      <c r="T76" s="36"/>
    </row>
    <row r="77" spans="1:20" ht="36" customHeight="1">
      <c r="A77" s="64" t="s">
        <v>14</v>
      </c>
      <c r="B77" s="64" t="s">
        <v>11</v>
      </c>
      <c r="C77" s="65" t="s">
        <v>23</v>
      </c>
      <c r="D77" s="65" t="s">
        <v>20</v>
      </c>
      <c r="E77" s="65" t="s">
        <v>2</v>
      </c>
      <c r="F77" s="65" t="s">
        <v>19</v>
      </c>
      <c r="G77" s="65" t="s">
        <v>18</v>
      </c>
      <c r="H77" s="65" t="s">
        <v>17</v>
      </c>
      <c r="I77" s="65" t="s">
        <v>16</v>
      </c>
      <c r="J77" s="65" t="s">
        <v>3</v>
      </c>
      <c r="K77" s="65" t="s">
        <v>4</v>
      </c>
      <c r="L77" s="64" t="s">
        <v>5</v>
      </c>
      <c r="M77" s="64" t="s">
        <v>102</v>
      </c>
      <c r="N77" s="64" t="s">
        <v>98</v>
      </c>
      <c r="O77" s="64" t="s">
        <v>99</v>
      </c>
      <c r="P77" s="64" t="s">
        <v>21</v>
      </c>
      <c r="Q77" s="64" t="s">
        <v>100</v>
      </c>
      <c r="R77" s="64" t="s">
        <v>101</v>
      </c>
      <c r="S77" s="111" t="s">
        <v>65</v>
      </c>
      <c r="T77" s="111"/>
    </row>
    <row r="78" spans="1:20" ht="11.25">
      <c r="A78" s="7" t="s">
        <v>104</v>
      </c>
      <c r="B78" s="2"/>
      <c r="C78" s="8" t="s">
        <v>31</v>
      </c>
      <c r="D78" s="82" t="s">
        <v>116</v>
      </c>
      <c r="E78" s="11" t="s">
        <v>113</v>
      </c>
      <c r="F78" s="11">
        <v>15</v>
      </c>
      <c r="G78" s="12">
        <v>38603</v>
      </c>
      <c r="H78" s="87">
        <v>38604</v>
      </c>
      <c r="I78" s="87" t="s">
        <v>32</v>
      </c>
      <c r="J78" s="88">
        <v>55310</v>
      </c>
      <c r="K78" s="89">
        <v>11062</v>
      </c>
      <c r="L78" s="88">
        <f>SUM(J78:K78)</f>
        <v>66372</v>
      </c>
      <c r="M78" s="5">
        <v>24167</v>
      </c>
      <c r="N78" s="5"/>
      <c r="O78" s="5">
        <f>SUM(M78:N78)</f>
        <v>24167</v>
      </c>
      <c r="P78" s="5">
        <f>M78*0.5</f>
        <v>12083.5</v>
      </c>
      <c r="Q78" s="5"/>
      <c r="R78" s="5">
        <f>SUM(P78:Q78)</f>
        <v>12083.5</v>
      </c>
      <c r="S78" s="83"/>
      <c r="T78" s="84"/>
    </row>
    <row r="79" spans="1:20" ht="11.25">
      <c r="A79" s="7" t="s">
        <v>123</v>
      </c>
      <c r="B79" s="2"/>
      <c r="C79" s="8" t="s">
        <v>31</v>
      </c>
      <c r="D79" s="82" t="s">
        <v>116</v>
      </c>
      <c r="E79" s="11" t="s">
        <v>113</v>
      </c>
      <c r="F79" s="11">
        <v>15</v>
      </c>
      <c r="G79" s="12">
        <v>38603</v>
      </c>
      <c r="H79" s="87">
        <v>38707</v>
      </c>
      <c r="I79" s="87" t="s">
        <v>192</v>
      </c>
      <c r="J79" s="88">
        <v>55310</v>
      </c>
      <c r="K79" s="89">
        <v>11062</v>
      </c>
      <c r="L79" s="88">
        <f>SUM(J79:K79)</f>
        <v>66372</v>
      </c>
      <c r="M79" s="5">
        <v>4833</v>
      </c>
      <c r="N79" s="5">
        <f>+M79*0.2</f>
        <v>966.6</v>
      </c>
      <c r="O79" s="5">
        <f>SUM(M79:N79)</f>
        <v>5799.6</v>
      </c>
      <c r="P79" s="5">
        <f>M79*0.5</f>
        <v>2416.5</v>
      </c>
      <c r="Q79" s="5">
        <f>N79*0.5</f>
        <v>483.3</v>
      </c>
      <c r="R79" s="5">
        <f>SUM(P79:Q79)</f>
        <v>2899.8</v>
      </c>
      <c r="S79" s="83"/>
      <c r="T79" s="84"/>
    </row>
    <row r="80" spans="1:20" ht="11.25">
      <c r="A80" s="7" t="s">
        <v>123</v>
      </c>
      <c r="B80" s="2"/>
      <c r="C80" s="8" t="s">
        <v>31</v>
      </c>
      <c r="D80" s="82" t="s">
        <v>116</v>
      </c>
      <c r="E80" s="11" t="s">
        <v>113</v>
      </c>
      <c r="F80" s="11">
        <v>15</v>
      </c>
      <c r="G80" s="12">
        <v>38603</v>
      </c>
      <c r="H80" s="87">
        <v>38707</v>
      </c>
      <c r="I80" s="87" t="s">
        <v>192</v>
      </c>
      <c r="J80" s="88">
        <v>55310</v>
      </c>
      <c r="K80" s="89">
        <v>11062</v>
      </c>
      <c r="L80" s="88">
        <f>SUM(J80:K80)</f>
        <v>66372</v>
      </c>
      <c r="M80" s="5">
        <v>15000</v>
      </c>
      <c r="N80" s="5">
        <f>+M80*0.2</f>
        <v>3000</v>
      </c>
      <c r="O80" s="5">
        <f>SUM(M80:N80)</f>
        <v>18000</v>
      </c>
      <c r="P80" s="5">
        <f>M80*0.5</f>
        <v>7500</v>
      </c>
      <c r="Q80" s="5">
        <f>N80*0.5</f>
        <v>1500</v>
      </c>
      <c r="R80" s="5">
        <f>SUM(P80:Q80)</f>
        <v>9000</v>
      </c>
      <c r="S80" s="83"/>
      <c r="T80" s="84"/>
    </row>
    <row r="81" spans="1:20" ht="11.25">
      <c r="A81" s="7" t="s">
        <v>123</v>
      </c>
      <c r="B81" s="2"/>
      <c r="C81" s="8" t="s">
        <v>31</v>
      </c>
      <c r="D81" s="82" t="s">
        <v>196</v>
      </c>
      <c r="E81" s="11"/>
      <c r="F81" s="11"/>
      <c r="G81" s="12"/>
      <c r="H81" s="87"/>
      <c r="I81" s="87"/>
      <c r="J81" s="88"/>
      <c r="K81" s="89"/>
      <c r="L81" s="88"/>
      <c r="M81" s="5"/>
      <c r="N81" s="5">
        <f>+M78*0.2</f>
        <v>4833.400000000001</v>
      </c>
      <c r="O81" s="5">
        <f>SUM(M81:N81)</f>
        <v>4833.400000000001</v>
      </c>
      <c r="P81" s="5"/>
      <c r="Q81" s="5">
        <f>N81*0.5</f>
        <v>2416.7000000000003</v>
      </c>
      <c r="R81" s="5">
        <f>SUM(P81:Q81)</f>
        <v>2416.7000000000003</v>
      </c>
      <c r="S81" s="116"/>
      <c r="T81" s="117"/>
    </row>
    <row r="82" spans="1:20" ht="12.75" customHeight="1">
      <c r="A82" s="7"/>
      <c r="B82" s="2"/>
      <c r="C82" s="8"/>
      <c r="D82" s="82"/>
      <c r="E82" s="11"/>
      <c r="F82" s="11"/>
      <c r="G82" s="12"/>
      <c r="H82" s="87"/>
      <c r="I82" s="87"/>
      <c r="J82" s="88"/>
      <c r="K82" s="89"/>
      <c r="L82" s="88"/>
      <c r="M82" s="5"/>
      <c r="N82" s="5"/>
      <c r="O82" s="5">
        <f>SUM(M82:N82)</f>
        <v>0</v>
      </c>
      <c r="P82" s="5">
        <f>M82*0.5</f>
        <v>0</v>
      </c>
      <c r="Q82" s="5"/>
      <c r="R82" s="5">
        <f>SUM(P82:Q82)</f>
        <v>0</v>
      </c>
      <c r="S82" s="114"/>
      <c r="T82" s="115"/>
    </row>
    <row r="83" ht="11.25"/>
    <row r="84" spans="1:20" ht="11.25">
      <c r="A84" s="116" t="s">
        <v>22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17"/>
      <c r="M84" s="34" t="s">
        <v>26</v>
      </c>
      <c r="N84" s="34"/>
      <c r="O84" s="34"/>
      <c r="P84" s="34" t="s">
        <v>21</v>
      </c>
      <c r="Q84" s="90"/>
      <c r="R84" s="90"/>
      <c r="S84" s="91" t="s">
        <v>24</v>
      </c>
      <c r="T84" s="92" t="s">
        <v>25</v>
      </c>
    </row>
    <row r="85" spans="1:20" ht="11.25">
      <c r="A85" s="134"/>
      <c r="B85" s="135"/>
      <c r="C85" s="141"/>
      <c r="D85" s="142"/>
      <c r="E85" s="142"/>
      <c r="F85" s="142"/>
      <c r="G85" s="142"/>
      <c r="H85" s="142"/>
      <c r="I85" s="142"/>
      <c r="J85" s="142"/>
      <c r="K85" s="143"/>
      <c r="L85" s="52" t="s">
        <v>12</v>
      </c>
      <c r="M85" s="43">
        <v>37000</v>
      </c>
      <c r="N85" s="93"/>
      <c r="O85" s="93"/>
      <c r="P85" s="85">
        <f>M85*0.5</f>
        <v>18500</v>
      </c>
      <c r="Q85" s="85"/>
      <c r="R85" s="85"/>
      <c r="S85" s="94"/>
      <c r="T85" s="94"/>
    </row>
    <row r="86" spans="1:20" ht="11.25">
      <c r="A86" s="134"/>
      <c r="B86" s="135"/>
      <c r="C86" s="32"/>
      <c r="D86" s="61"/>
      <c r="E86" s="61"/>
      <c r="F86" s="61"/>
      <c r="G86" s="61"/>
      <c r="H86" s="61"/>
      <c r="I86" s="61"/>
      <c r="J86" s="61"/>
      <c r="K86" s="51"/>
      <c r="L86" s="206" t="s">
        <v>67</v>
      </c>
      <c r="M86" s="51">
        <f>SUM(M93)</f>
        <v>15000</v>
      </c>
      <c r="N86" s="51">
        <f>SUM(N93)</f>
        <v>3000</v>
      </c>
      <c r="O86" s="51">
        <f>+N86+M86</f>
        <v>18000</v>
      </c>
      <c r="P86" s="51">
        <f>SUM(P93)</f>
        <v>7500</v>
      </c>
      <c r="Q86" s="51">
        <f>SUM(Q93)</f>
        <v>1500</v>
      </c>
      <c r="R86" s="86">
        <f>+Q86+P86</f>
        <v>9000</v>
      </c>
      <c r="S86" s="51">
        <f aca="true" t="shared" si="16" ref="S86:S91">R86*0.375</f>
        <v>3375</v>
      </c>
      <c r="T86" s="51">
        <f aca="true" t="shared" si="17" ref="T86:T91">R86-S86</f>
        <v>5625</v>
      </c>
    </row>
    <row r="87" spans="1:20" ht="11.25">
      <c r="A87" s="134"/>
      <c r="B87" s="135"/>
      <c r="C87" s="32"/>
      <c r="D87" s="61"/>
      <c r="E87" s="61"/>
      <c r="F87" s="61"/>
      <c r="G87" s="61"/>
      <c r="H87" s="61"/>
      <c r="I87" s="61"/>
      <c r="J87" s="61"/>
      <c r="K87" s="62"/>
      <c r="L87" s="206" t="s">
        <v>68</v>
      </c>
      <c r="M87" s="51">
        <f>SUM(M94:M95)</f>
        <v>1133.3333333333335</v>
      </c>
      <c r="N87" s="51">
        <f>SUM(N94:N95)</f>
        <v>226.6666666666667</v>
      </c>
      <c r="O87" s="51">
        <f>+N87+M87</f>
        <v>1360.0000000000002</v>
      </c>
      <c r="P87" s="51">
        <f>SUM(P94:P95)</f>
        <v>566.6666666666667</v>
      </c>
      <c r="Q87" s="51">
        <f>SUM(Q94:Q95)</f>
        <v>113.33333333333336</v>
      </c>
      <c r="R87" s="86">
        <f>+Q87+P87</f>
        <v>680.0000000000001</v>
      </c>
      <c r="S87" s="51">
        <f t="shared" si="16"/>
        <v>255.00000000000006</v>
      </c>
      <c r="T87" s="51">
        <f t="shared" si="17"/>
        <v>425.00000000000006</v>
      </c>
    </row>
    <row r="88" spans="1:20" ht="11.25">
      <c r="A88" s="134"/>
      <c r="B88" s="135"/>
      <c r="C88" s="32"/>
      <c r="D88" s="61"/>
      <c r="E88" s="61"/>
      <c r="F88" s="61"/>
      <c r="G88" s="61"/>
      <c r="H88" s="61"/>
      <c r="I88" s="61"/>
      <c r="J88" s="61"/>
      <c r="K88" s="62"/>
      <c r="L88" s="206" t="s">
        <v>92</v>
      </c>
      <c r="M88" s="51">
        <f>SUM(M96)</f>
        <v>17100</v>
      </c>
      <c r="N88" s="51">
        <f>SUM(N96)</f>
        <v>3420</v>
      </c>
      <c r="O88" s="51">
        <f>+N88+M88</f>
        <v>20520</v>
      </c>
      <c r="P88" s="51">
        <f>P96</f>
        <v>8550</v>
      </c>
      <c r="Q88" s="51">
        <f>Q96</f>
        <v>1710</v>
      </c>
      <c r="R88" s="86">
        <f>+Q88+P88</f>
        <v>10260</v>
      </c>
      <c r="S88" s="51">
        <f t="shared" si="16"/>
        <v>3847.5</v>
      </c>
      <c r="T88" s="51">
        <f t="shared" si="17"/>
        <v>6412.5</v>
      </c>
    </row>
    <row r="89" spans="1:20" ht="11.25">
      <c r="A89" s="134"/>
      <c r="B89" s="135"/>
      <c r="C89" s="32"/>
      <c r="D89" s="61"/>
      <c r="E89" s="61"/>
      <c r="F89" s="61"/>
      <c r="G89" s="61"/>
      <c r="H89" s="61"/>
      <c r="I89" s="61"/>
      <c r="J89" s="61"/>
      <c r="K89" s="62"/>
      <c r="L89" s="206" t="s">
        <v>105</v>
      </c>
      <c r="M89" s="51">
        <f>SUM(M97)</f>
        <v>5713.333</v>
      </c>
      <c r="N89" s="51">
        <f>SUM(N97)</f>
        <v>0</v>
      </c>
      <c r="O89" s="51">
        <f>+N89+M89</f>
        <v>5713.333</v>
      </c>
      <c r="P89" s="51">
        <f>SUM(P97)</f>
        <v>2856.6665</v>
      </c>
      <c r="Q89" s="51">
        <f>SUM(Q97)</f>
        <v>0</v>
      </c>
      <c r="R89" s="51">
        <f>SUM(R97)</f>
        <v>2856.6665</v>
      </c>
      <c r="S89" s="51">
        <f t="shared" si="16"/>
        <v>1071.2499375</v>
      </c>
      <c r="T89" s="51">
        <f t="shared" si="17"/>
        <v>1785.4165624999998</v>
      </c>
    </row>
    <row r="90" spans="1:20" ht="11.25">
      <c r="A90" s="134"/>
      <c r="B90" s="135"/>
      <c r="C90" s="32"/>
      <c r="D90" s="61"/>
      <c r="E90" s="61"/>
      <c r="F90" s="61"/>
      <c r="G90" s="61"/>
      <c r="H90" s="61"/>
      <c r="I90" s="61"/>
      <c r="J90" s="61"/>
      <c r="K90" s="62"/>
      <c r="L90" s="206" t="s">
        <v>125</v>
      </c>
      <c r="M90" s="51">
        <f>SUM(M98:M99)</f>
        <v>5597</v>
      </c>
      <c r="N90" s="51">
        <f>SUM(N98:N99)</f>
        <v>2262.0666</v>
      </c>
      <c r="O90" s="51">
        <f>+N90+M90</f>
        <v>7859.0666</v>
      </c>
      <c r="P90" s="51">
        <f>SUM(P98:P99)</f>
        <v>2798.5</v>
      </c>
      <c r="Q90" s="51">
        <f>SUM(Q98:Q99)</f>
        <v>1131.0333</v>
      </c>
      <c r="R90" s="51">
        <f>+Q90+P90</f>
        <v>3929.5333</v>
      </c>
      <c r="S90" s="51">
        <f t="shared" si="16"/>
        <v>1473.5749875000001</v>
      </c>
      <c r="T90" s="51">
        <f t="shared" si="17"/>
        <v>2455.9583125</v>
      </c>
    </row>
    <row r="91" spans="1:20" ht="11.25">
      <c r="A91" s="136"/>
      <c r="B91" s="137"/>
      <c r="C91" s="138"/>
      <c r="D91" s="139"/>
      <c r="E91" s="139"/>
      <c r="F91" s="139"/>
      <c r="G91" s="139"/>
      <c r="H91" s="139"/>
      <c r="I91" s="139"/>
      <c r="J91" s="139"/>
      <c r="K91" s="140"/>
      <c r="L91" s="206" t="s">
        <v>13</v>
      </c>
      <c r="M91" s="51">
        <f>M85-M86-M87-M88-M89-M90</f>
        <v>-7543.666333333332</v>
      </c>
      <c r="N91" s="51"/>
      <c r="O91" s="51"/>
      <c r="P91" s="51">
        <f>P85-P86-P87-P88-P89-P90</f>
        <v>-3771.833166666666</v>
      </c>
      <c r="Q91" s="51"/>
      <c r="R91" s="51"/>
      <c r="S91" s="86">
        <f t="shared" si="16"/>
        <v>0</v>
      </c>
      <c r="T91" s="51">
        <f t="shared" si="17"/>
        <v>0</v>
      </c>
    </row>
    <row r="92" spans="1:20" ht="34.5" customHeight="1">
      <c r="A92" s="64" t="s">
        <v>14</v>
      </c>
      <c r="B92" s="64" t="s">
        <v>11</v>
      </c>
      <c r="C92" s="65" t="s">
        <v>23</v>
      </c>
      <c r="D92" s="65" t="s">
        <v>20</v>
      </c>
      <c r="E92" s="65" t="s">
        <v>2</v>
      </c>
      <c r="F92" s="65" t="s">
        <v>19</v>
      </c>
      <c r="G92" s="65" t="s">
        <v>18</v>
      </c>
      <c r="H92" s="65" t="s">
        <v>17</v>
      </c>
      <c r="I92" s="65" t="s">
        <v>16</v>
      </c>
      <c r="J92" s="65" t="s">
        <v>3</v>
      </c>
      <c r="K92" s="65" t="s">
        <v>4</v>
      </c>
      <c r="L92" s="64" t="s">
        <v>5</v>
      </c>
      <c r="M92" s="64" t="s">
        <v>102</v>
      </c>
      <c r="N92" s="64" t="s">
        <v>98</v>
      </c>
      <c r="O92" s="64" t="s">
        <v>99</v>
      </c>
      <c r="P92" s="64" t="s">
        <v>21</v>
      </c>
      <c r="Q92" s="64" t="s">
        <v>100</v>
      </c>
      <c r="R92" s="64" t="s">
        <v>101</v>
      </c>
      <c r="S92" s="111" t="s">
        <v>65</v>
      </c>
      <c r="T92" s="111"/>
    </row>
    <row r="93" spans="1:20" ht="11.25">
      <c r="A93" s="7" t="s">
        <v>15</v>
      </c>
      <c r="B93" s="2"/>
      <c r="C93" s="8" t="s">
        <v>31</v>
      </c>
      <c r="D93" s="24" t="s">
        <v>40</v>
      </c>
      <c r="E93" s="24" t="s">
        <v>77</v>
      </c>
      <c r="F93" s="2">
        <v>6</v>
      </c>
      <c r="G93" s="95">
        <v>38350</v>
      </c>
      <c r="H93" s="3">
        <v>38350</v>
      </c>
      <c r="I93" s="26" t="s">
        <v>83</v>
      </c>
      <c r="J93" s="96">
        <v>15000</v>
      </c>
      <c r="K93" s="96">
        <f>+J93*0.2</f>
        <v>3000</v>
      </c>
      <c r="L93" s="96">
        <f>+K93+J93</f>
        <v>18000</v>
      </c>
      <c r="M93" s="5">
        <v>15000</v>
      </c>
      <c r="N93" s="5">
        <v>3000</v>
      </c>
      <c r="O93" s="5">
        <f>+N93+M93</f>
        <v>18000</v>
      </c>
      <c r="P93" s="5">
        <f>M93*0.5</f>
        <v>7500</v>
      </c>
      <c r="Q93" s="5">
        <f>N93*0.5</f>
        <v>1500</v>
      </c>
      <c r="R93" s="5">
        <f>+Q93+P93</f>
        <v>9000</v>
      </c>
      <c r="S93" s="110"/>
      <c r="T93" s="110"/>
    </row>
    <row r="94" spans="1:20" ht="22.5">
      <c r="A94" s="7" t="s">
        <v>66</v>
      </c>
      <c r="B94" s="2"/>
      <c r="C94" s="8" t="s">
        <v>31</v>
      </c>
      <c r="D94" s="24" t="s">
        <v>78</v>
      </c>
      <c r="E94" s="24" t="s">
        <v>77</v>
      </c>
      <c r="F94" s="2">
        <v>1</v>
      </c>
      <c r="G94" s="95">
        <v>38366</v>
      </c>
      <c r="H94" s="26">
        <v>38366</v>
      </c>
      <c r="I94" s="26" t="s">
        <v>83</v>
      </c>
      <c r="J94" s="97">
        <v>8333.33</v>
      </c>
      <c r="K94" s="96">
        <f>+J94*0.2</f>
        <v>1666.6660000000002</v>
      </c>
      <c r="L94" s="96">
        <f>+K94+J94</f>
        <v>9999.996</v>
      </c>
      <c r="M94" s="5">
        <f>1360/1.2</f>
        <v>1133.3333333333335</v>
      </c>
      <c r="N94" s="5">
        <f>+M94*0.2</f>
        <v>226.6666666666667</v>
      </c>
      <c r="O94" s="5">
        <f>+N94+M94</f>
        <v>1360.0000000000002</v>
      </c>
      <c r="P94" s="5">
        <f>M94*0.5</f>
        <v>566.6666666666667</v>
      </c>
      <c r="Q94" s="5">
        <f>N94*0.5</f>
        <v>113.33333333333336</v>
      </c>
      <c r="R94" s="5">
        <f>+Q94+P94</f>
        <v>680.0000000000001</v>
      </c>
      <c r="S94" s="110"/>
      <c r="T94" s="110"/>
    </row>
    <row r="95" spans="1:20" ht="22.5">
      <c r="A95" s="7" t="s">
        <v>66</v>
      </c>
      <c r="B95" s="2"/>
      <c r="C95" s="8" t="s">
        <v>31</v>
      </c>
      <c r="D95" s="1" t="s">
        <v>79</v>
      </c>
      <c r="E95" s="24" t="s">
        <v>77</v>
      </c>
      <c r="F95" s="2">
        <v>2</v>
      </c>
      <c r="G95" s="95">
        <v>38391</v>
      </c>
      <c r="H95" s="26">
        <v>38392</v>
      </c>
      <c r="I95" s="26" t="s">
        <v>82</v>
      </c>
      <c r="J95" s="5">
        <v>17100</v>
      </c>
      <c r="K95" s="96">
        <f>+J95*0.2</f>
        <v>3420</v>
      </c>
      <c r="L95" s="96">
        <f>+K95+J95</f>
        <v>20520</v>
      </c>
      <c r="M95" s="5">
        <v>0</v>
      </c>
      <c r="N95" s="5"/>
      <c r="O95" s="5"/>
      <c r="P95" s="5">
        <f>M95*0.5</f>
        <v>0</v>
      </c>
      <c r="Q95" s="5"/>
      <c r="R95" s="5"/>
      <c r="S95" s="110"/>
      <c r="T95" s="110"/>
    </row>
    <row r="96" spans="1:20" ht="11.25">
      <c r="A96" s="7" t="s">
        <v>90</v>
      </c>
      <c r="B96" s="2"/>
      <c r="C96" s="8" t="s">
        <v>31</v>
      </c>
      <c r="D96" s="8"/>
      <c r="E96" s="8"/>
      <c r="F96" s="8"/>
      <c r="G96" s="25"/>
      <c r="H96" s="26"/>
      <c r="I96" s="26"/>
      <c r="J96" s="5"/>
      <c r="K96" s="5"/>
      <c r="L96" s="96">
        <v>20520</v>
      </c>
      <c r="M96" s="5">
        <v>17100</v>
      </c>
      <c r="N96" s="96">
        <f>+M96*0.2</f>
        <v>3420</v>
      </c>
      <c r="O96" s="96">
        <f>+N96+M96</f>
        <v>20520</v>
      </c>
      <c r="P96" s="5">
        <f>M96*0.5</f>
        <v>8550</v>
      </c>
      <c r="Q96" s="5">
        <f>N96*0.5</f>
        <v>1710</v>
      </c>
      <c r="R96" s="5">
        <f>+Q96+P96</f>
        <v>10260</v>
      </c>
      <c r="S96" s="114"/>
      <c r="T96" s="115"/>
    </row>
    <row r="97" spans="1:20" ht="11.25">
      <c r="A97" s="7" t="s">
        <v>104</v>
      </c>
      <c r="B97" s="2"/>
      <c r="C97" s="8" t="s">
        <v>31</v>
      </c>
      <c r="D97" s="82" t="s">
        <v>117</v>
      </c>
      <c r="E97" s="11" t="s">
        <v>113</v>
      </c>
      <c r="F97" s="11">
        <v>15</v>
      </c>
      <c r="G97" s="12">
        <v>38603</v>
      </c>
      <c r="H97" s="13">
        <v>38604</v>
      </c>
      <c r="I97" s="13" t="s">
        <v>32</v>
      </c>
      <c r="J97" s="30">
        <v>11310</v>
      </c>
      <c r="K97" s="30">
        <f>J97*20%</f>
        <v>2262</v>
      </c>
      <c r="L97" s="30">
        <f>SUM(J97:K97)</f>
        <v>13572</v>
      </c>
      <c r="M97" s="30">
        <v>5713.333</v>
      </c>
      <c r="N97" s="5"/>
      <c r="O97" s="5">
        <f>+N97+M97</f>
        <v>5713.333</v>
      </c>
      <c r="P97" s="5">
        <f>M97*0.5</f>
        <v>2856.6665</v>
      </c>
      <c r="Q97" s="9"/>
      <c r="R97" s="9">
        <f>SUM(P97:Q97)</f>
        <v>2856.6665</v>
      </c>
      <c r="S97" s="114"/>
      <c r="T97" s="115"/>
    </row>
    <row r="98" spans="1:20" ht="11.25">
      <c r="A98" s="7" t="s">
        <v>123</v>
      </c>
      <c r="B98" s="2"/>
      <c r="C98" s="8" t="s">
        <v>31</v>
      </c>
      <c r="D98" s="82" t="s">
        <v>117</v>
      </c>
      <c r="E98" s="11" t="s">
        <v>113</v>
      </c>
      <c r="F98" s="11">
        <v>15</v>
      </c>
      <c r="G98" s="12">
        <v>38603</v>
      </c>
      <c r="H98" s="13">
        <v>38604</v>
      </c>
      <c r="I98" s="13" t="s">
        <v>32</v>
      </c>
      <c r="J98" s="30">
        <v>11310</v>
      </c>
      <c r="K98" s="30">
        <f>J98*20%</f>
        <v>2262</v>
      </c>
      <c r="L98" s="30">
        <f>SUM(J98:K98)</f>
        <v>13572</v>
      </c>
      <c r="M98" s="30">
        <v>5597</v>
      </c>
      <c r="N98" s="5">
        <f>+M98*0.2</f>
        <v>1119.4</v>
      </c>
      <c r="O98" s="30">
        <f>SUM(M98:N98)</f>
        <v>6716.4</v>
      </c>
      <c r="P98" s="5">
        <f>M98*0.5</f>
        <v>2798.5</v>
      </c>
      <c r="Q98" s="5">
        <f>N98*0.5</f>
        <v>559.7</v>
      </c>
      <c r="R98" s="30">
        <f>SUM(P98:Q98)</f>
        <v>3358.2</v>
      </c>
      <c r="S98" s="121"/>
      <c r="T98" s="122"/>
    </row>
    <row r="99" spans="1:20" ht="11.25">
      <c r="A99" s="7" t="s">
        <v>123</v>
      </c>
      <c r="B99" s="2"/>
      <c r="C99" s="8" t="s">
        <v>31</v>
      </c>
      <c r="D99" s="82" t="s">
        <v>196</v>
      </c>
      <c r="E99" s="11"/>
      <c r="F99" s="11"/>
      <c r="G99" s="12"/>
      <c r="H99" s="13"/>
      <c r="I99" s="13"/>
      <c r="J99" s="30"/>
      <c r="K99" s="30"/>
      <c r="L99" s="30"/>
      <c r="M99" s="30"/>
      <c r="N99" s="5">
        <f>+M97*0.2</f>
        <v>1142.6666</v>
      </c>
      <c r="O99" s="30">
        <f>SUM(M99:N99)</f>
        <v>1142.6666</v>
      </c>
      <c r="P99" s="5"/>
      <c r="Q99" s="5">
        <f>N99*0.5</f>
        <v>571.3333</v>
      </c>
      <c r="R99" s="30">
        <f>SUM(P99:Q99)</f>
        <v>571.3333</v>
      </c>
      <c r="S99" s="27"/>
      <c r="T99" s="28"/>
    </row>
    <row r="100" spans="1:20" ht="11.25">
      <c r="A100" s="85"/>
      <c r="B100" s="2"/>
      <c r="C100" s="8"/>
      <c r="D100" s="8"/>
      <c r="E100" s="8"/>
      <c r="F100" s="8"/>
      <c r="G100" s="25"/>
      <c r="H100" s="26"/>
      <c r="I100" s="26"/>
      <c r="J100" s="5"/>
      <c r="K100" s="5"/>
      <c r="L100" s="5"/>
      <c r="M100" s="5"/>
      <c r="N100" s="5"/>
      <c r="O100" s="5"/>
      <c r="P100" s="5"/>
      <c r="Q100" s="5"/>
      <c r="R100" s="5"/>
      <c r="S100" s="110"/>
      <c r="T100" s="110"/>
    </row>
    <row r="101" ht="11.25"/>
    <row r="102" spans="1:20" ht="11.25">
      <c r="A102" s="116" t="s">
        <v>9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17"/>
      <c r="M102" s="33" t="s">
        <v>26</v>
      </c>
      <c r="N102" s="34"/>
      <c r="O102" s="34"/>
      <c r="P102" s="34" t="s">
        <v>21</v>
      </c>
      <c r="Q102" s="34"/>
      <c r="R102" s="34"/>
      <c r="S102" s="94" t="s">
        <v>24</v>
      </c>
      <c r="T102" s="94" t="s">
        <v>25</v>
      </c>
    </row>
    <row r="103" spans="1:20" ht="11.25">
      <c r="A103" s="134"/>
      <c r="B103" s="135"/>
      <c r="C103" s="141"/>
      <c r="D103" s="142"/>
      <c r="E103" s="142"/>
      <c r="F103" s="142"/>
      <c r="G103" s="142"/>
      <c r="H103" s="142"/>
      <c r="I103" s="142"/>
      <c r="J103" s="142"/>
      <c r="K103" s="143"/>
      <c r="L103" s="52" t="s">
        <v>12</v>
      </c>
      <c r="M103" s="43">
        <v>34825</v>
      </c>
      <c r="N103" s="43"/>
      <c r="O103" s="43"/>
      <c r="P103" s="51">
        <f>M103*0.5</f>
        <v>17412.5</v>
      </c>
      <c r="Q103" s="42"/>
      <c r="R103" s="42"/>
      <c r="S103" s="69"/>
      <c r="T103" s="69"/>
    </row>
    <row r="104" spans="1:20" ht="11.25">
      <c r="A104" s="134"/>
      <c r="B104" s="135"/>
      <c r="C104" s="32"/>
      <c r="D104" s="61"/>
      <c r="E104" s="61"/>
      <c r="F104" s="61"/>
      <c r="G104" s="61"/>
      <c r="H104" s="61"/>
      <c r="I104" s="61"/>
      <c r="J104" s="61"/>
      <c r="K104" s="51"/>
      <c r="L104" s="206" t="s">
        <v>67</v>
      </c>
      <c r="M104" s="51">
        <f>SUM(M111)</f>
        <v>9825</v>
      </c>
      <c r="N104" s="51">
        <f>SUM(N111)</f>
        <v>1965</v>
      </c>
      <c r="O104" s="51">
        <f>+N104+M104</f>
        <v>11790</v>
      </c>
      <c r="P104" s="51">
        <f>SUM(P111)</f>
        <v>4912.5</v>
      </c>
      <c r="Q104" s="51">
        <f>SUM(Q111)</f>
        <v>982.5</v>
      </c>
      <c r="R104" s="86">
        <f>+Q104+P104</f>
        <v>5895</v>
      </c>
      <c r="S104" s="51">
        <f>R104*0.375</f>
        <v>2210.625</v>
      </c>
      <c r="T104" s="51">
        <f>R104-S104</f>
        <v>3684.375</v>
      </c>
    </row>
    <row r="105" spans="1:20" ht="11.25">
      <c r="A105" s="134"/>
      <c r="B105" s="135"/>
      <c r="C105" s="32"/>
      <c r="D105" s="61"/>
      <c r="E105" s="61"/>
      <c r="F105" s="61"/>
      <c r="G105" s="61"/>
      <c r="H105" s="61"/>
      <c r="I105" s="61"/>
      <c r="J105" s="61"/>
      <c r="K105" s="62">
        <v>0</v>
      </c>
      <c r="L105" s="206" t="s">
        <v>68</v>
      </c>
      <c r="M105" s="51">
        <f>SUM(M112)</f>
        <v>7200</v>
      </c>
      <c r="N105" s="51">
        <f>SUM(N112)</f>
        <v>1440</v>
      </c>
      <c r="O105" s="51">
        <f>+N105+M105</f>
        <v>8640</v>
      </c>
      <c r="P105" s="51">
        <f>SUM(P112)</f>
        <v>3600</v>
      </c>
      <c r="Q105" s="51">
        <f>SUM(Q112)</f>
        <v>720</v>
      </c>
      <c r="R105" s="86">
        <f>+Q105+P105</f>
        <v>4320</v>
      </c>
      <c r="S105" s="51">
        <f>R105*0.375</f>
        <v>1620</v>
      </c>
      <c r="T105" s="51">
        <f>R105-S105</f>
        <v>2700</v>
      </c>
    </row>
    <row r="106" spans="1:20" ht="11.25">
      <c r="A106" s="134"/>
      <c r="B106" s="135"/>
      <c r="C106" s="32"/>
      <c r="D106" s="61"/>
      <c r="E106" s="61"/>
      <c r="F106" s="61"/>
      <c r="G106" s="61"/>
      <c r="H106" s="61"/>
      <c r="I106" s="61"/>
      <c r="J106" s="61"/>
      <c r="K106" s="62"/>
      <c r="L106" s="206" t="s">
        <v>92</v>
      </c>
      <c r="M106" s="51"/>
      <c r="N106" s="51"/>
      <c r="O106" s="51"/>
      <c r="P106" s="51"/>
      <c r="Q106" s="51"/>
      <c r="R106" s="51"/>
      <c r="S106" s="51"/>
      <c r="T106" s="51"/>
    </row>
    <row r="107" spans="1:20" ht="11.25">
      <c r="A107" s="134"/>
      <c r="B107" s="135"/>
      <c r="C107" s="32"/>
      <c r="D107" s="61"/>
      <c r="E107" s="61"/>
      <c r="F107" s="61"/>
      <c r="G107" s="61"/>
      <c r="H107" s="61"/>
      <c r="I107" s="61"/>
      <c r="J107" s="61"/>
      <c r="K107" s="62"/>
      <c r="L107" s="206" t="s">
        <v>105</v>
      </c>
      <c r="M107" s="51"/>
      <c r="N107" s="51"/>
      <c r="O107" s="51"/>
      <c r="P107" s="51"/>
      <c r="Q107" s="51"/>
      <c r="R107" s="51"/>
      <c r="S107" s="51"/>
      <c r="T107" s="51"/>
    </row>
    <row r="108" spans="1:20" ht="11.25">
      <c r="A108" s="134"/>
      <c r="B108" s="135"/>
      <c r="C108" s="32"/>
      <c r="D108" s="61"/>
      <c r="E108" s="61"/>
      <c r="F108" s="61"/>
      <c r="G108" s="61"/>
      <c r="H108" s="61"/>
      <c r="I108" s="61"/>
      <c r="J108" s="61"/>
      <c r="K108" s="62"/>
      <c r="L108" s="206" t="s">
        <v>125</v>
      </c>
      <c r="M108" s="51">
        <f>SUM(M113)</f>
        <v>5360</v>
      </c>
      <c r="N108" s="51">
        <f>SUM(N113)</f>
        <v>1072</v>
      </c>
      <c r="O108" s="51">
        <f>+N108+M108</f>
        <v>6432</v>
      </c>
      <c r="P108" s="51">
        <f>SUM(P113)</f>
        <v>2680</v>
      </c>
      <c r="Q108" s="51">
        <f>SUM(Q113)</f>
        <v>536</v>
      </c>
      <c r="R108" s="51">
        <f>+Q108+P108</f>
        <v>3216</v>
      </c>
      <c r="S108" s="51">
        <f>R108*0.375</f>
        <v>1206</v>
      </c>
      <c r="T108" s="51">
        <f>R108-S108</f>
        <v>2010</v>
      </c>
    </row>
    <row r="109" spans="1:20" ht="11.25">
      <c r="A109" s="136"/>
      <c r="B109" s="137"/>
      <c r="C109" s="138"/>
      <c r="D109" s="139"/>
      <c r="E109" s="139"/>
      <c r="F109" s="139"/>
      <c r="G109" s="139"/>
      <c r="H109" s="139"/>
      <c r="I109" s="139"/>
      <c r="J109" s="139"/>
      <c r="K109" s="140"/>
      <c r="L109" s="206" t="s">
        <v>13</v>
      </c>
      <c r="M109" s="51">
        <f>M103-M104-M105-M108</f>
        <v>12440</v>
      </c>
      <c r="N109" s="51"/>
      <c r="O109" s="51"/>
      <c r="P109" s="51">
        <f>P103-P104-P105-P108</f>
        <v>6220</v>
      </c>
      <c r="Q109" s="42"/>
      <c r="R109" s="42"/>
      <c r="S109" s="36"/>
      <c r="T109" s="36"/>
    </row>
    <row r="110" spans="1:20" ht="32.25" customHeight="1">
      <c r="A110" s="64" t="s">
        <v>14</v>
      </c>
      <c r="B110" s="64" t="s">
        <v>11</v>
      </c>
      <c r="C110" s="65" t="s">
        <v>23</v>
      </c>
      <c r="D110" s="65" t="s">
        <v>20</v>
      </c>
      <c r="E110" s="65" t="s">
        <v>2</v>
      </c>
      <c r="F110" s="65" t="s">
        <v>19</v>
      </c>
      <c r="G110" s="65" t="s">
        <v>18</v>
      </c>
      <c r="H110" s="65" t="s">
        <v>17</v>
      </c>
      <c r="I110" s="65" t="s">
        <v>16</v>
      </c>
      <c r="J110" s="65" t="s">
        <v>3</v>
      </c>
      <c r="K110" s="65" t="s">
        <v>4</v>
      </c>
      <c r="L110" s="64" t="s">
        <v>5</v>
      </c>
      <c r="M110" s="64" t="s">
        <v>102</v>
      </c>
      <c r="N110" s="64" t="s">
        <v>98</v>
      </c>
      <c r="O110" s="64" t="s">
        <v>99</v>
      </c>
      <c r="P110" s="64" t="s">
        <v>21</v>
      </c>
      <c r="Q110" s="64" t="s">
        <v>100</v>
      </c>
      <c r="R110" s="64" t="s">
        <v>101</v>
      </c>
      <c r="S110" s="111" t="s">
        <v>65</v>
      </c>
      <c r="T110" s="111"/>
    </row>
    <row r="111" spans="1:20" ht="45">
      <c r="A111" s="7" t="s">
        <v>15</v>
      </c>
      <c r="B111" s="2"/>
      <c r="C111" s="8" t="s">
        <v>31</v>
      </c>
      <c r="D111" s="8" t="s">
        <v>41</v>
      </c>
      <c r="E111" s="24" t="s">
        <v>77</v>
      </c>
      <c r="F111" s="98">
        <v>4</v>
      </c>
      <c r="G111" s="3">
        <v>38335</v>
      </c>
      <c r="H111" s="4" t="s">
        <v>42</v>
      </c>
      <c r="I111" s="99" t="s">
        <v>39</v>
      </c>
      <c r="J111" s="96">
        <v>9825</v>
      </c>
      <c r="K111" s="96">
        <f>J111*0.2</f>
        <v>1965</v>
      </c>
      <c r="L111" s="96">
        <f>J111+K111</f>
        <v>11790</v>
      </c>
      <c r="M111" s="5">
        <v>9825</v>
      </c>
      <c r="N111" s="5">
        <v>1965</v>
      </c>
      <c r="O111" s="5">
        <f>+N111+M111</f>
        <v>11790</v>
      </c>
      <c r="P111" s="5">
        <f aca="true" t="shared" si="18" ref="P111:Q113">M111*0.5</f>
        <v>4912.5</v>
      </c>
      <c r="Q111" s="5">
        <f t="shared" si="18"/>
        <v>982.5</v>
      </c>
      <c r="R111" s="5">
        <f>+Q111+P111</f>
        <v>5895</v>
      </c>
      <c r="S111" s="110"/>
      <c r="T111" s="110"/>
    </row>
    <row r="112" spans="1:20" ht="22.5">
      <c r="A112" s="7" t="s">
        <v>66</v>
      </c>
      <c r="B112" s="2"/>
      <c r="C112" s="8" t="s">
        <v>31</v>
      </c>
      <c r="D112" s="24" t="s">
        <v>76</v>
      </c>
      <c r="E112" s="8" t="s">
        <v>77</v>
      </c>
      <c r="F112" s="8">
        <v>1</v>
      </c>
      <c r="G112" s="25">
        <v>38366</v>
      </c>
      <c r="H112" s="25">
        <v>38366</v>
      </c>
      <c r="I112" s="26" t="s">
        <v>83</v>
      </c>
      <c r="J112" s="97">
        <v>8333.33</v>
      </c>
      <c r="K112" s="5">
        <f>J112*0.2</f>
        <v>1666.6660000000002</v>
      </c>
      <c r="L112" s="5">
        <f>SUM(J112:K112)</f>
        <v>9999.996</v>
      </c>
      <c r="M112" s="5">
        <v>7200</v>
      </c>
      <c r="N112" s="5">
        <f>+M112*0.2</f>
        <v>1440</v>
      </c>
      <c r="O112" s="5">
        <f>+N112+M112</f>
        <v>8640</v>
      </c>
      <c r="P112" s="5">
        <f t="shared" si="18"/>
        <v>3600</v>
      </c>
      <c r="Q112" s="5">
        <f t="shared" si="18"/>
        <v>720</v>
      </c>
      <c r="R112" s="5">
        <f>+Q112+P112</f>
        <v>4320</v>
      </c>
      <c r="S112" s="110"/>
      <c r="T112" s="110"/>
    </row>
    <row r="113" spans="1:20" ht="45">
      <c r="A113" s="7" t="s">
        <v>123</v>
      </c>
      <c r="B113" s="2"/>
      <c r="C113" s="8" t="s">
        <v>31</v>
      </c>
      <c r="D113" s="24" t="s">
        <v>193</v>
      </c>
      <c r="E113" s="8" t="s">
        <v>194</v>
      </c>
      <c r="F113" s="8">
        <v>664</v>
      </c>
      <c r="G113" s="25">
        <v>38597</v>
      </c>
      <c r="H113" s="25">
        <v>38708</v>
      </c>
      <c r="I113" s="26" t="s">
        <v>140</v>
      </c>
      <c r="J113" s="97">
        <v>5360</v>
      </c>
      <c r="K113" s="5">
        <v>1072</v>
      </c>
      <c r="L113" s="5">
        <v>6432</v>
      </c>
      <c r="M113" s="5">
        <v>5360</v>
      </c>
      <c r="N113" s="5">
        <f>+M113*0.2</f>
        <v>1072</v>
      </c>
      <c r="O113" s="5">
        <f>+N113+M113</f>
        <v>6432</v>
      </c>
      <c r="P113" s="5">
        <f t="shared" si="18"/>
        <v>2680</v>
      </c>
      <c r="Q113" s="5">
        <f t="shared" si="18"/>
        <v>536</v>
      </c>
      <c r="R113" s="5">
        <f>+Q113+P113</f>
        <v>3216</v>
      </c>
      <c r="S113" s="123"/>
      <c r="T113" s="124"/>
    </row>
    <row r="114" spans="1:20" ht="11.25">
      <c r="A114" s="7"/>
      <c r="B114" s="2"/>
      <c r="C114" s="8"/>
      <c r="D114" s="8"/>
      <c r="E114" s="24"/>
      <c r="F114" s="2"/>
      <c r="G114" s="3"/>
      <c r="H114" s="26"/>
      <c r="I114" s="99"/>
      <c r="J114" s="96"/>
      <c r="K114" s="96"/>
      <c r="L114" s="96"/>
      <c r="M114" s="5"/>
      <c r="N114" s="5"/>
      <c r="O114" s="5"/>
      <c r="P114" s="5"/>
      <c r="Q114" s="5"/>
      <c r="R114" s="5"/>
      <c r="S114" s="110"/>
      <c r="T114" s="110"/>
    </row>
    <row r="115" ht="11.25"/>
    <row r="116" spans="1:20" ht="11.25">
      <c r="A116" s="116" t="s">
        <v>10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17"/>
      <c r="M116" s="33" t="s">
        <v>26</v>
      </c>
      <c r="N116" s="34"/>
      <c r="O116" s="34"/>
      <c r="P116" s="34" t="s">
        <v>21</v>
      </c>
      <c r="Q116" s="34"/>
      <c r="R116" s="34"/>
      <c r="S116" s="59" t="s">
        <v>24</v>
      </c>
      <c r="T116" s="60" t="s">
        <v>25</v>
      </c>
    </row>
    <row r="117" spans="1:20" ht="11.25">
      <c r="A117" s="134"/>
      <c r="B117" s="135"/>
      <c r="C117" s="141"/>
      <c r="D117" s="142"/>
      <c r="E117" s="142"/>
      <c r="F117" s="142"/>
      <c r="G117" s="142"/>
      <c r="H117" s="142"/>
      <c r="I117" s="142"/>
      <c r="J117" s="142"/>
      <c r="K117" s="143"/>
      <c r="L117" s="52" t="s">
        <v>12</v>
      </c>
      <c r="M117" s="43">
        <v>16650</v>
      </c>
      <c r="N117" s="43"/>
      <c r="O117" s="43"/>
      <c r="P117" s="43">
        <f>M117*0.5</f>
        <v>8325</v>
      </c>
      <c r="Q117" s="42"/>
      <c r="R117" s="43"/>
      <c r="S117" s="69"/>
      <c r="T117" s="69"/>
    </row>
    <row r="118" spans="1:20" ht="11.25">
      <c r="A118" s="134"/>
      <c r="B118" s="135"/>
      <c r="C118" s="32"/>
      <c r="D118" s="61"/>
      <c r="E118" s="61"/>
      <c r="F118" s="61"/>
      <c r="G118" s="61"/>
      <c r="H118" s="61"/>
      <c r="I118" s="61"/>
      <c r="J118" s="61"/>
      <c r="K118" s="51">
        <f>SUM(K125:K131)</f>
        <v>350.11400000000003</v>
      </c>
      <c r="L118" s="206" t="s">
        <v>67</v>
      </c>
      <c r="M118" s="51">
        <f aca="true" t="shared" si="19" ref="M118:R118">SUM(M125:M131)</f>
        <v>7493.0199999999995</v>
      </c>
      <c r="N118" s="51">
        <f t="shared" si="19"/>
        <v>350.11400000000003</v>
      </c>
      <c r="O118" s="51">
        <f t="shared" si="19"/>
        <v>7843.134</v>
      </c>
      <c r="P118" s="51">
        <f t="shared" si="19"/>
        <v>3746.5099999999998</v>
      </c>
      <c r="Q118" s="51">
        <f t="shared" si="19"/>
        <v>175.05700000000002</v>
      </c>
      <c r="R118" s="51">
        <f t="shared" si="19"/>
        <v>3921.567</v>
      </c>
      <c r="S118" s="51">
        <f aca="true" t="shared" si="20" ref="S118:S123">R118*0.375</f>
        <v>1470.5876250000001</v>
      </c>
      <c r="T118" s="51">
        <f aca="true" t="shared" si="21" ref="T118:T123">R118-S118</f>
        <v>2450.979375</v>
      </c>
    </row>
    <row r="119" spans="1:20" ht="11.25">
      <c r="A119" s="134"/>
      <c r="B119" s="135"/>
      <c r="C119" s="32"/>
      <c r="D119" s="61"/>
      <c r="E119" s="61"/>
      <c r="F119" s="61"/>
      <c r="G119" s="61"/>
      <c r="H119" s="61"/>
      <c r="I119" s="61"/>
      <c r="J119" s="61"/>
      <c r="K119" s="62"/>
      <c r="L119" s="206" t="s">
        <v>68</v>
      </c>
      <c r="M119" s="51">
        <v>0</v>
      </c>
      <c r="N119" s="51"/>
      <c r="O119" s="51"/>
      <c r="P119" s="51">
        <v>0</v>
      </c>
      <c r="Q119" s="86"/>
      <c r="R119" s="86"/>
      <c r="S119" s="51">
        <f t="shared" si="20"/>
        <v>0</v>
      </c>
      <c r="T119" s="51">
        <f t="shared" si="21"/>
        <v>0</v>
      </c>
    </row>
    <row r="120" spans="1:20" ht="11.25">
      <c r="A120" s="134"/>
      <c r="B120" s="135"/>
      <c r="C120" s="32"/>
      <c r="D120" s="61"/>
      <c r="E120" s="61"/>
      <c r="F120" s="61"/>
      <c r="G120" s="61"/>
      <c r="H120" s="61"/>
      <c r="I120" s="61"/>
      <c r="J120" s="61"/>
      <c r="K120" s="62"/>
      <c r="L120" s="206" t="s">
        <v>92</v>
      </c>
      <c r="M120" s="51">
        <f>SUM(M132:M135)</f>
        <v>5823.86</v>
      </c>
      <c r="N120" s="51">
        <f>SUM(N132:N135)</f>
        <v>0</v>
      </c>
      <c r="O120" s="51">
        <f>+N120+M120</f>
        <v>5823.86</v>
      </c>
      <c r="P120" s="51">
        <f>SUM(P132:P135)</f>
        <v>2911.93</v>
      </c>
      <c r="Q120" s="51">
        <f>SUM(Q132:Q135)</f>
        <v>0</v>
      </c>
      <c r="R120" s="51">
        <f>+Q120+P120</f>
        <v>2911.93</v>
      </c>
      <c r="S120" s="51">
        <f t="shared" si="20"/>
        <v>1091.9737499999999</v>
      </c>
      <c r="T120" s="51">
        <f t="shared" si="21"/>
        <v>1819.95625</v>
      </c>
    </row>
    <row r="121" spans="1:20" ht="11.25">
      <c r="A121" s="134"/>
      <c r="B121" s="135"/>
      <c r="C121" s="32"/>
      <c r="D121" s="61"/>
      <c r="E121" s="61"/>
      <c r="F121" s="61"/>
      <c r="G121" s="61"/>
      <c r="H121" s="61"/>
      <c r="I121" s="61"/>
      <c r="J121" s="61"/>
      <c r="K121" s="62"/>
      <c r="L121" s="206" t="s">
        <v>105</v>
      </c>
      <c r="M121" s="51">
        <f aca="true" t="shared" si="22" ref="M121:R121">SUM(M136)</f>
        <v>2499</v>
      </c>
      <c r="N121" s="51">
        <f t="shared" si="22"/>
        <v>0</v>
      </c>
      <c r="O121" s="51">
        <f t="shared" si="22"/>
        <v>2499</v>
      </c>
      <c r="P121" s="51">
        <f t="shared" si="22"/>
        <v>1249.5</v>
      </c>
      <c r="Q121" s="51">
        <f t="shared" si="22"/>
        <v>0</v>
      </c>
      <c r="R121" s="51">
        <f t="shared" si="22"/>
        <v>1249.5</v>
      </c>
      <c r="S121" s="51">
        <f t="shared" si="20"/>
        <v>468.5625</v>
      </c>
      <c r="T121" s="51">
        <f t="shared" si="21"/>
        <v>780.9375</v>
      </c>
    </row>
    <row r="122" spans="1:20" ht="11.25">
      <c r="A122" s="134"/>
      <c r="B122" s="135"/>
      <c r="C122" s="32"/>
      <c r="D122" s="61"/>
      <c r="E122" s="61"/>
      <c r="F122" s="61"/>
      <c r="G122" s="61"/>
      <c r="H122" s="61"/>
      <c r="I122" s="61"/>
      <c r="J122" s="61"/>
      <c r="K122" s="62"/>
      <c r="L122" s="206" t="s">
        <v>125</v>
      </c>
      <c r="M122" s="51">
        <f>SUM(M137:M138)</f>
        <v>-3163.176</v>
      </c>
      <c r="N122" s="51">
        <f>SUM(N137:N138)</f>
        <v>62.0372</v>
      </c>
      <c r="O122" s="51">
        <f>+N122+M122</f>
        <v>-3101.1387999999997</v>
      </c>
      <c r="P122" s="51">
        <f>SUM(P137:P138)</f>
        <v>-1581.588</v>
      </c>
      <c r="Q122" s="51">
        <f>SUM(Q137:Q138)</f>
        <v>31.0186</v>
      </c>
      <c r="R122" s="51">
        <f>+Q122+P122</f>
        <v>-1550.5693999999999</v>
      </c>
      <c r="S122" s="51">
        <f t="shared" si="20"/>
        <v>-581.4635249999999</v>
      </c>
      <c r="T122" s="51">
        <f t="shared" si="21"/>
        <v>-969.105875</v>
      </c>
    </row>
    <row r="123" spans="1:20" ht="11.25">
      <c r="A123" s="136"/>
      <c r="B123" s="137"/>
      <c r="C123" s="138"/>
      <c r="D123" s="139"/>
      <c r="E123" s="139"/>
      <c r="F123" s="139"/>
      <c r="G123" s="139"/>
      <c r="H123" s="139"/>
      <c r="I123" s="139"/>
      <c r="J123" s="139"/>
      <c r="K123" s="140"/>
      <c r="L123" s="206" t="s">
        <v>13</v>
      </c>
      <c r="M123" s="51">
        <f>M117-M118-M119-M120-M121-M122</f>
        <v>3997.296</v>
      </c>
      <c r="N123" s="51"/>
      <c r="O123" s="51"/>
      <c r="P123" s="51">
        <f>P117-P118-P119-P120-P121-P122</f>
        <v>1998.648</v>
      </c>
      <c r="Q123" s="51"/>
      <c r="R123" s="51"/>
      <c r="S123" s="51">
        <f t="shared" si="20"/>
        <v>0</v>
      </c>
      <c r="T123" s="51">
        <f t="shared" si="21"/>
        <v>0</v>
      </c>
    </row>
    <row r="124" spans="1:20" ht="34.5" customHeight="1">
      <c r="A124" s="100" t="s">
        <v>14</v>
      </c>
      <c r="B124" s="100" t="s">
        <v>11</v>
      </c>
      <c r="C124" s="101" t="s">
        <v>23</v>
      </c>
      <c r="D124" s="101" t="s">
        <v>20</v>
      </c>
      <c r="E124" s="101" t="s">
        <v>2</v>
      </c>
      <c r="F124" s="101" t="s">
        <v>19</v>
      </c>
      <c r="G124" s="101" t="s">
        <v>18</v>
      </c>
      <c r="H124" s="101" t="s">
        <v>17</v>
      </c>
      <c r="I124" s="101" t="s">
        <v>16</v>
      </c>
      <c r="J124" s="101" t="s">
        <v>3</v>
      </c>
      <c r="K124" s="101" t="s">
        <v>4</v>
      </c>
      <c r="L124" s="100" t="s">
        <v>5</v>
      </c>
      <c r="M124" s="64" t="s">
        <v>102</v>
      </c>
      <c r="N124" s="64" t="s">
        <v>98</v>
      </c>
      <c r="O124" s="64" t="s">
        <v>99</v>
      </c>
      <c r="P124" s="64" t="s">
        <v>21</v>
      </c>
      <c r="Q124" s="64" t="s">
        <v>100</v>
      </c>
      <c r="R124" s="64" t="s">
        <v>101</v>
      </c>
      <c r="S124" s="111" t="s">
        <v>65</v>
      </c>
      <c r="T124" s="111"/>
    </row>
    <row r="125" spans="1:20" ht="11.25">
      <c r="A125" s="7" t="s">
        <v>15</v>
      </c>
      <c r="B125" s="2"/>
      <c r="C125" s="8" t="s">
        <v>31</v>
      </c>
      <c r="D125" s="24" t="s">
        <v>43</v>
      </c>
      <c r="E125" s="24" t="s">
        <v>44</v>
      </c>
      <c r="F125" s="8">
        <v>488</v>
      </c>
      <c r="G125" s="25">
        <v>38350</v>
      </c>
      <c r="H125" s="25">
        <v>38350</v>
      </c>
      <c r="I125" s="4" t="s">
        <v>45</v>
      </c>
      <c r="J125" s="5">
        <v>630</v>
      </c>
      <c r="K125" s="5">
        <v>0</v>
      </c>
      <c r="L125" s="5">
        <f>SUM(J125:K125)</f>
        <v>630</v>
      </c>
      <c r="M125" s="5">
        <v>0</v>
      </c>
      <c r="N125" s="5"/>
      <c r="O125" s="5"/>
      <c r="P125" s="5">
        <f>M125*0.5</f>
        <v>0</v>
      </c>
      <c r="Q125" s="5"/>
      <c r="R125" s="5"/>
      <c r="S125" s="110" t="s">
        <v>46</v>
      </c>
      <c r="T125" s="110"/>
    </row>
    <row r="126" spans="1:20" ht="11.25">
      <c r="A126" s="7" t="s">
        <v>15</v>
      </c>
      <c r="B126" s="2"/>
      <c r="C126" s="8" t="s">
        <v>31</v>
      </c>
      <c r="D126" s="24" t="s">
        <v>43</v>
      </c>
      <c r="E126" s="8" t="s">
        <v>47</v>
      </c>
      <c r="F126" s="2" t="s">
        <v>48</v>
      </c>
      <c r="G126" s="3">
        <v>38273</v>
      </c>
      <c r="H126" s="3">
        <v>38273</v>
      </c>
      <c r="I126" s="4" t="s">
        <v>45</v>
      </c>
      <c r="J126" s="5">
        <v>1215</v>
      </c>
      <c r="K126" s="102">
        <v>0</v>
      </c>
      <c r="L126" s="5">
        <f aca="true" t="shared" si="23" ref="L126:L131">J126+K126</f>
        <v>1215</v>
      </c>
      <c r="M126" s="5">
        <v>0</v>
      </c>
      <c r="N126" s="5"/>
      <c r="O126" s="5"/>
      <c r="P126" s="5">
        <f aca="true" t="shared" si="24" ref="P126:Q138">M126*0.5</f>
        <v>0</v>
      </c>
      <c r="Q126" s="5"/>
      <c r="R126" s="5"/>
      <c r="S126" s="110" t="s">
        <v>49</v>
      </c>
      <c r="T126" s="110"/>
    </row>
    <row r="127" spans="1:20" ht="22.5">
      <c r="A127" s="7" t="s">
        <v>15</v>
      </c>
      <c r="B127" s="2"/>
      <c r="C127" s="8" t="s">
        <v>31</v>
      </c>
      <c r="D127" s="8" t="s">
        <v>51</v>
      </c>
      <c r="E127" s="8" t="s">
        <v>50</v>
      </c>
      <c r="F127" s="2" t="s">
        <v>52</v>
      </c>
      <c r="G127" s="3">
        <v>38145</v>
      </c>
      <c r="H127" s="3">
        <v>38216</v>
      </c>
      <c r="I127" s="4" t="s">
        <v>53</v>
      </c>
      <c r="J127" s="5">
        <v>487.09</v>
      </c>
      <c r="K127" s="102">
        <f>J127*0.2</f>
        <v>97.418</v>
      </c>
      <c r="L127" s="5">
        <f t="shared" si="23"/>
        <v>584.508</v>
      </c>
      <c r="M127" s="5">
        <v>487.09</v>
      </c>
      <c r="N127" s="102">
        <f>M127*0.2</f>
        <v>97.418</v>
      </c>
      <c r="O127" s="5">
        <f>+N127+M127</f>
        <v>584.508</v>
      </c>
      <c r="P127" s="5">
        <f t="shared" si="24"/>
        <v>243.545</v>
      </c>
      <c r="Q127" s="5">
        <f t="shared" si="24"/>
        <v>48.709</v>
      </c>
      <c r="R127" s="5">
        <f aca="true" t="shared" si="25" ref="R127:R132">+Q127+P127</f>
        <v>292.254</v>
      </c>
      <c r="S127" s="110"/>
      <c r="T127" s="110"/>
    </row>
    <row r="128" spans="1:20" ht="22.5">
      <c r="A128" s="7" t="s">
        <v>15</v>
      </c>
      <c r="B128" s="2"/>
      <c r="C128" s="8" t="s">
        <v>31</v>
      </c>
      <c r="D128" s="8" t="s">
        <v>54</v>
      </c>
      <c r="E128" s="8" t="s">
        <v>50</v>
      </c>
      <c r="F128" s="2" t="s">
        <v>55</v>
      </c>
      <c r="G128" s="3">
        <v>38204</v>
      </c>
      <c r="H128" s="3">
        <v>38266</v>
      </c>
      <c r="I128" s="4" t="s">
        <v>53</v>
      </c>
      <c r="J128" s="5">
        <f>289.82+179.06+28.26</f>
        <v>497.14</v>
      </c>
      <c r="K128" s="102">
        <f>J128*0.2</f>
        <v>99.428</v>
      </c>
      <c r="L128" s="5">
        <f t="shared" si="23"/>
        <v>596.568</v>
      </c>
      <c r="M128" s="5">
        <f>289.82+179.06+28.26</f>
        <v>497.14</v>
      </c>
      <c r="N128" s="102">
        <f>M128*0.2</f>
        <v>99.428</v>
      </c>
      <c r="O128" s="5">
        <f>+N128+M128</f>
        <v>596.568</v>
      </c>
      <c r="P128" s="5">
        <f t="shared" si="24"/>
        <v>248.57</v>
      </c>
      <c r="Q128" s="5">
        <f t="shared" si="24"/>
        <v>49.714</v>
      </c>
      <c r="R128" s="5">
        <f t="shared" si="25"/>
        <v>298.284</v>
      </c>
      <c r="S128" s="110"/>
      <c r="T128" s="110"/>
    </row>
    <row r="129" spans="1:20" ht="22.5">
      <c r="A129" s="7" t="s">
        <v>15</v>
      </c>
      <c r="B129" s="2"/>
      <c r="C129" s="8" t="s">
        <v>31</v>
      </c>
      <c r="D129" s="8" t="s">
        <v>56</v>
      </c>
      <c r="E129" s="8" t="s">
        <v>50</v>
      </c>
      <c r="F129" s="2" t="s">
        <v>57</v>
      </c>
      <c r="G129" s="3">
        <v>38266</v>
      </c>
      <c r="H129" s="3">
        <v>38348</v>
      </c>
      <c r="I129" s="4" t="s">
        <v>53</v>
      </c>
      <c r="J129" s="5">
        <f>114.02+179.06+28.26</f>
        <v>321.34</v>
      </c>
      <c r="K129" s="102">
        <f>J129*0.2</f>
        <v>64.268</v>
      </c>
      <c r="L129" s="5">
        <f t="shared" si="23"/>
        <v>385.60799999999995</v>
      </c>
      <c r="M129" s="5">
        <f>114.02+179.06+28.26</f>
        <v>321.34</v>
      </c>
      <c r="N129" s="102">
        <f>M129*0.2</f>
        <v>64.268</v>
      </c>
      <c r="O129" s="5">
        <f>+N129+M129</f>
        <v>385.60799999999995</v>
      </c>
      <c r="P129" s="5">
        <f t="shared" si="24"/>
        <v>160.67</v>
      </c>
      <c r="Q129" s="5">
        <f t="shared" si="24"/>
        <v>32.134</v>
      </c>
      <c r="R129" s="5">
        <f t="shared" si="25"/>
        <v>192.80399999999997</v>
      </c>
      <c r="S129" s="110"/>
      <c r="T129" s="110"/>
    </row>
    <row r="130" spans="1:20" ht="22.5">
      <c r="A130" s="7" t="s">
        <v>15</v>
      </c>
      <c r="B130" s="2"/>
      <c r="C130" s="8" t="s">
        <v>31</v>
      </c>
      <c r="D130" s="8" t="s">
        <v>58</v>
      </c>
      <c r="E130" s="8" t="s">
        <v>59</v>
      </c>
      <c r="F130" s="2">
        <v>23</v>
      </c>
      <c r="G130" s="3">
        <v>38314</v>
      </c>
      <c r="H130" s="3">
        <v>38314</v>
      </c>
      <c r="I130" s="4" t="s">
        <v>39</v>
      </c>
      <c r="J130" s="5">
        <v>445</v>
      </c>
      <c r="K130" s="102">
        <f>J130*0.2</f>
        <v>89</v>
      </c>
      <c r="L130" s="5">
        <f t="shared" si="23"/>
        <v>534</v>
      </c>
      <c r="M130" s="5">
        <v>445</v>
      </c>
      <c r="N130" s="102">
        <f>M130*0.2</f>
        <v>89</v>
      </c>
      <c r="O130" s="5">
        <f>+N130+M130</f>
        <v>534</v>
      </c>
      <c r="P130" s="5">
        <f t="shared" si="24"/>
        <v>222.5</v>
      </c>
      <c r="Q130" s="5">
        <f t="shared" si="24"/>
        <v>44.5</v>
      </c>
      <c r="R130" s="5">
        <f t="shared" si="25"/>
        <v>267</v>
      </c>
      <c r="S130" s="110"/>
      <c r="T130" s="110"/>
    </row>
    <row r="131" spans="1:20" ht="45">
      <c r="A131" s="7" t="s">
        <v>15</v>
      </c>
      <c r="B131" s="2"/>
      <c r="C131" s="8" t="s">
        <v>31</v>
      </c>
      <c r="D131" s="8" t="s">
        <v>60</v>
      </c>
      <c r="E131" s="8" t="s">
        <v>61</v>
      </c>
      <c r="F131" s="2" t="s">
        <v>62</v>
      </c>
      <c r="G131" s="3" t="s">
        <v>62</v>
      </c>
      <c r="H131" s="6" t="s">
        <v>63</v>
      </c>
      <c r="I131" s="4" t="s">
        <v>64</v>
      </c>
      <c r="J131" s="5">
        <f>1640.7/2*7</f>
        <v>5742.45</v>
      </c>
      <c r="K131" s="102">
        <v>0</v>
      </c>
      <c r="L131" s="5">
        <f t="shared" si="23"/>
        <v>5742.45</v>
      </c>
      <c r="M131" s="5">
        <f>+L131</f>
        <v>5742.45</v>
      </c>
      <c r="N131" s="5"/>
      <c r="O131" s="5">
        <f>+N131+M131</f>
        <v>5742.45</v>
      </c>
      <c r="P131" s="5">
        <f t="shared" si="24"/>
        <v>2871.225</v>
      </c>
      <c r="Q131" s="5">
        <f t="shared" si="24"/>
        <v>0</v>
      </c>
      <c r="R131" s="5">
        <f t="shared" si="25"/>
        <v>2871.225</v>
      </c>
      <c r="S131" s="110"/>
      <c r="T131" s="110"/>
    </row>
    <row r="132" spans="1:20" ht="11.25">
      <c r="A132" s="7" t="s">
        <v>90</v>
      </c>
      <c r="B132" s="2"/>
      <c r="C132" s="8" t="s">
        <v>31</v>
      </c>
      <c r="D132" s="8" t="s">
        <v>131</v>
      </c>
      <c r="E132" s="8" t="s">
        <v>132</v>
      </c>
      <c r="F132" s="8" t="s">
        <v>133</v>
      </c>
      <c r="G132" s="25">
        <v>38390</v>
      </c>
      <c r="H132" s="26">
        <v>38478</v>
      </c>
      <c r="I132" s="26" t="s">
        <v>134</v>
      </c>
      <c r="J132" s="103">
        <v>403.31</v>
      </c>
      <c r="K132" s="103">
        <v>80.69</v>
      </c>
      <c r="L132" s="103">
        <f>SUM(J132:K132)</f>
        <v>484</v>
      </c>
      <c r="M132" s="103">
        <v>403.71</v>
      </c>
      <c r="N132" s="5"/>
      <c r="O132" s="5">
        <f>+M132+N132</f>
        <v>403.71</v>
      </c>
      <c r="P132" s="5">
        <f>+M132*0.5</f>
        <v>201.855</v>
      </c>
      <c r="Q132" s="9"/>
      <c r="R132" s="9">
        <f t="shared" si="25"/>
        <v>201.855</v>
      </c>
      <c r="S132" s="19"/>
      <c r="T132" s="20"/>
    </row>
    <row r="133" spans="1:20" ht="11.25">
      <c r="A133" s="7" t="s">
        <v>90</v>
      </c>
      <c r="B133" s="2"/>
      <c r="C133" s="8" t="s">
        <v>31</v>
      </c>
      <c r="D133" s="8" t="s">
        <v>131</v>
      </c>
      <c r="E133" s="8" t="s">
        <v>132</v>
      </c>
      <c r="F133" s="8" t="s">
        <v>135</v>
      </c>
      <c r="G133" s="25">
        <v>38448</v>
      </c>
      <c r="H133" s="26">
        <v>38478</v>
      </c>
      <c r="I133" s="26" t="s">
        <v>134</v>
      </c>
      <c r="J133" s="103">
        <v>422.15</v>
      </c>
      <c r="K133" s="103">
        <v>84.39</v>
      </c>
      <c r="L133" s="103">
        <f>SUM(J133:K133)</f>
        <v>506.53999999999996</v>
      </c>
      <c r="M133" s="103">
        <f>J133</f>
        <v>422.15</v>
      </c>
      <c r="N133" s="5"/>
      <c r="O133" s="5">
        <f>+N133+M133</f>
        <v>422.15</v>
      </c>
      <c r="P133" s="5">
        <f>+M133*0.5</f>
        <v>211.075</v>
      </c>
      <c r="Q133" s="9"/>
      <c r="R133" s="9">
        <f>+Q133+P133</f>
        <v>211.075</v>
      </c>
      <c r="S133" s="19"/>
      <c r="T133" s="20"/>
    </row>
    <row r="134" spans="1:20" ht="22.5">
      <c r="A134" s="7" t="s">
        <v>90</v>
      </c>
      <c r="B134" s="2"/>
      <c r="C134" s="8" t="s">
        <v>31</v>
      </c>
      <c r="D134" s="81" t="s">
        <v>136</v>
      </c>
      <c r="E134" s="24" t="s">
        <v>137</v>
      </c>
      <c r="F134" s="8"/>
      <c r="G134" s="25"/>
      <c r="H134" s="26">
        <v>38392</v>
      </c>
      <c r="I134" s="4" t="s">
        <v>138</v>
      </c>
      <c r="J134" s="103">
        <v>2499</v>
      </c>
      <c r="K134" s="104">
        <v>0</v>
      </c>
      <c r="L134" s="103">
        <f>J134</f>
        <v>2499</v>
      </c>
      <c r="M134" s="103">
        <f>L134</f>
        <v>2499</v>
      </c>
      <c r="N134" s="5"/>
      <c r="O134" s="5">
        <f>+N134+M134</f>
        <v>2499</v>
      </c>
      <c r="P134" s="5">
        <f>+M134*0.5</f>
        <v>1249.5</v>
      </c>
      <c r="Q134" s="9"/>
      <c r="R134" s="9">
        <f>+Q134+P134</f>
        <v>1249.5</v>
      </c>
      <c r="S134" s="112"/>
      <c r="T134" s="118"/>
    </row>
    <row r="135" spans="1:20" ht="22.5">
      <c r="A135" s="7" t="s">
        <v>90</v>
      </c>
      <c r="B135" s="2"/>
      <c r="C135" s="8" t="s">
        <v>31</v>
      </c>
      <c r="D135" s="81" t="s">
        <v>139</v>
      </c>
      <c r="E135" s="24" t="s">
        <v>137</v>
      </c>
      <c r="F135" s="8"/>
      <c r="G135" s="25"/>
      <c r="H135" s="26">
        <v>38471</v>
      </c>
      <c r="I135" s="4" t="s">
        <v>140</v>
      </c>
      <c r="J135" s="103">
        <v>2499</v>
      </c>
      <c r="K135" s="104">
        <v>0</v>
      </c>
      <c r="L135" s="103">
        <f>J135</f>
        <v>2499</v>
      </c>
      <c r="M135" s="103">
        <f>L135</f>
        <v>2499</v>
      </c>
      <c r="N135" s="5"/>
      <c r="O135" s="5">
        <f>+N135+M135</f>
        <v>2499</v>
      </c>
      <c r="P135" s="5">
        <f>+M135*0.5</f>
        <v>1249.5</v>
      </c>
      <c r="Q135" s="9"/>
      <c r="R135" s="9">
        <f>+Q135+P135</f>
        <v>1249.5</v>
      </c>
      <c r="S135" s="119"/>
      <c r="T135" s="120"/>
    </row>
    <row r="136" spans="1:20" ht="11.25">
      <c r="A136" s="7" t="s">
        <v>104</v>
      </c>
      <c r="B136" s="2"/>
      <c r="C136" s="8" t="s">
        <v>31</v>
      </c>
      <c r="D136" s="82" t="s">
        <v>118</v>
      </c>
      <c r="E136" s="11" t="s">
        <v>119</v>
      </c>
      <c r="F136" s="11"/>
      <c r="G136" s="12"/>
      <c r="H136" s="87">
        <v>38565</v>
      </c>
      <c r="I136" s="87" t="s">
        <v>32</v>
      </c>
      <c r="J136" s="30">
        <v>2499</v>
      </c>
      <c r="K136" s="105">
        <v>0</v>
      </c>
      <c r="L136" s="30">
        <f>SUM(J136:K136)</f>
        <v>2499</v>
      </c>
      <c r="M136" s="5">
        <v>2499</v>
      </c>
      <c r="N136" s="5"/>
      <c r="O136" s="5">
        <f>SUM(M136:N136)</f>
        <v>2499</v>
      </c>
      <c r="P136" s="5">
        <f t="shared" si="24"/>
        <v>1249.5</v>
      </c>
      <c r="Q136" s="9"/>
      <c r="R136" s="9">
        <f>SUM(P136:Q136)</f>
        <v>1249.5</v>
      </c>
      <c r="S136" s="114"/>
      <c r="T136" s="115"/>
    </row>
    <row r="137" spans="1:20" ht="11.25">
      <c r="A137" s="7" t="s">
        <v>123</v>
      </c>
      <c r="B137" s="2"/>
      <c r="C137" s="8" t="s">
        <v>31</v>
      </c>
      <c r="D137" s="82" t="s">
        <v>195</v>
      </c>
      <c r="E137" s="11"/>
      <c r="F137" s="11"/>
      <c r="G137" s="12"/>
      <c r="H137" s="87"/>
      <c r="I137" s="87"/>
      <c r="J137" s="30"/>
      <c r="K137" s="105"/>
      <c r="L137" s="30"/>
      <c r="M137" s="106">
        <f>SUM(M125:M136)*-20%</f>
        <v>-3163.176</v>
      </c>
      <c r="N137" s="106">
        <f>SUM(N125:N136)*-20%</f>
        <v>-70.0228</v>
      </c>
      <c r="O137" s="5">
        <f>+N137+M137</f>
        <v>-3233.1988</v>
      </c>
      <c r="P137" s="5">
        <f t="shared" si="24"/>
        <v>-1581.588</v>
      </c>
      <c r="Q137" s="5">
        <f t="shared" si="24"/>
        <v>-35.0114</v>
      </c>
      <c r="R137" s="9">
        <f>+Q137+P137</f>
        <v>-1616.5994</v>
      </c>
      <c r="S137" s="19"/>
      <c r="T137" s="20"/>
    </row>
    <row r="138" spans="1:20" ht="11.25">
      <c r="A138" s="7" t="s">
        <v>123</v>
      </c>
      <c r="B138" s="2"/>
      <c r="C138" s="8" t="s">
        <v>31</v>
      </c>
      <c r="D138" s="82" t="s">
        <v>196</v>
      </c>
      <c r="E138" s="11"/>
      <c r="F138" s="11"/>
      <c r="G138" s="12"/>
      <c r="H138" s="87"/>
      <c r="I138" s="87"/>
      <c r="J138" s="30"/>
      <c r="K138" s="105">
        <f>(+K132+K133)*0.8</f>
        <v>132.064</v>
      </c>
      <c r="L138" s="30">
        <f>SUM(J138:K138)</f>
        <v>132.064</v>
      </c>
      <c r="M138" s="5"/>
      <c r="N138" s="105">
        <v>132.06</v>
      </c>
      <c r="O138" s="30">
        <f>SUM(M138:N138)</f>
        <v>132.06</v>
      </c>
      <c r="P138" s="5"/>
      <c r="Q138" s="5">
        <f t="shared" si="24"/>
        <v>66.03</v>
      </c>
      <c r="R138" s="9">
        <f>+Q138+P138</f>
        <v>66.03</v>
      </c>
      <c r="S138" s="19"/>
      <c r="T138" s="20"/>
    </row>
    <row r="139" spans="1:20" ht="11.25">
      <c r="A139" s="7"/>
      <c r="B139" s="2"/>
      <c r="C139" s="8"/>
      <c r="D139" s="82"/>
      <c r="E139" s="11"/>
      <c r="F139" s="11"/>
      <c r="G139" s="12"/>
      <c r="H139" s="87"/>
      <c r="I139" s="87"/>
      <c r="J139" s="30"/>
      <c r="K139" s="105"/>
      <c r="L139" s="30"/>
      <c r="M139" s="5"/>
      <c r="N139" s="5"/>
      <c r="O139" s="5"/>
      <c r="P139" s="5"/>
      <c r="Q139" s="9"/>
      <c r="R139" s="9"/>
      <c r="S139" s="114"/>
      <c r="T139" s="115"/>
    </row>
    <row r="140" ht="11.25"/>
    <row r="141" ht="11.25">
      <c r="M141" s="45"/>
    </row>
    <row r="142" ht="11.25">
      <c r="M142" s="45"/>
    </row>
    <row r="143" ht="11.25">
      <c r="M143" s="45"/>
    </row>
    <row r="144" ht="11.25">
      <c r="M144" s="45"/>
    </row>
    <row r="150" ht="11.25"/>
    <row r="151" ht="11.25"/>
    <row r="152" ht="11.25"/>
    <row r="153" ht="11.25"/>
    <row r="154" ht="11.25"/>
    <row r="155" ht="11.25"/>
    <row r="156" ht="11.25"/>
    <row r="158" ht="11.25"/>
    <row r="165" ht="11.25"/>
    <row r="166" ht="11.25"/>
    <row r="167" ht="11.25"/>
    <row r="168" ht="11.25"/>
    <row r="169" ht="11.25"/>
    <row r="170" ht="11.25"/>
    <row r="173" ht="11.25"/>
    <row r="174" ht="11.25"/>
    <row r="175" ht="11.25"/>
    <row r="176" ht="11.25"/>
  </sheetData>
  <autoFilter ref="A8:T136"/>
  <mergeCells count="82">
    <mergeCell ref="S40:T40"/>
    <mergeCell ref="S48:T48"/>
    <mergeCell ref="S41:T41"/>
    <mergeCell ref="C9:K9"/>
    <mergeCell ref="A26:L26"/>
    <mergeCell ref="S34:T34"/>
    <mergeCell ref="S17:T17"/>
    <mergeCell ref="S20:T20"/>
    <mergeCell ref="S18:T18"/>
    <mergeCell ref="C27:K27"/>
    <mergeCell ref="S19:T19"/>
    <mergeCell ref="S21:T21"/>
    <mergeCell ref="S22:T22"/>
    <mergeCell ref="A103:B109"/>
    <mergeCell ref="C103:K103"/>
    <mergeCell ref="C109:K109"/>
    <mergeCell ref="A69:L69"/>
    <mergeCell ref="A84:L84"/>
    <mergeCell ref="A102:L102"/>
    <mergeCell ref="C76:K76"/>
    <mergeCell ref="A117:B123"/>
    <mergeCell ref="C117:K117"/>
    <mergeCell ref="C123:K123"/>
    <mergeCell ref="A116:L116"/>
    <mergeCell ref="C33:K33"/>
    <mergeCell ref="A85:B91"/>
    <mergeCell ref="C85:K85"/>
    <mergeCell ref="C91:K91"/>
    <mergeCell ref="A70:B76"/>
    <mergeCell ref="C70:K70"/>
    <mergeCell ref="C63:K63"/>
    <mergeCell ref="A57:B63"/>
    <mergeCell ref="C57:K57"/>
    <mergeCell ref="A56:L56"/>
    <mergeCell ref="S82:T82"/>
    <mergeCell ref="A1:T1"/>
    <mergeCell ref="S38:T38"/>
    <mergeCell ref="S35:T35"/>
    <mergeCell ref="S36:T36"/>
    <mergeCell ref="S37:T37"/>
    <mergeCell ref="S24:T24"/>
    <mergeCell ref="A2:B3"/>
    <mergeCell ref="A27:B33"/>
    <mergeCell ref="A10:B16"/>
    <mergeCell ref="S77:T77"/>
    <mergeCell ref="S54:T54"/>
    <mergeCell ref="S45:T45"/>
    <mergeCell ref="S46:T46"/>
    <mergeCell ref="S49:T49"/>
    <mergeCell ref="S50:T50"/>
    <mergeCell ref="S64:T64"/>
    <mergeCell ref="S65:T65"/>
    <mergeCell ref="S66:T66"/>
    <mergeCell ref="S129:T129"/>
    <mergeCell ref="S134:T135"/>
    <mergeCell ref="S96:T96"/>
    <mergeCell ref="S93:T93"/>
    <mergeCell ref="S100:T100"/>
    <mergeCell ref="S97:T97"/>
    <mergeCell ref="S98:T98"/>
    <mergeCell ref="S94:T94"/>
    <mergeCell ref="S113:T113"/>
    <mergeCell ref="S39:T39"/>
    <mergeCell ref="S125:T125"/>
    <mergeCell ref="S124:T124"/>
    <mergeCell ref="S110:T110"/>
    <mergeCell ref="S111:T111"/>
    <mergeCell ref="S112:T112"/>
    <mergeCell ref="S114:T114"/>
    <mergeCell ref="S95:T95"/>
    <mergeCell ref="S92:T92"/>
    <mergeCell ref="S67:T67"/>
    <mergeCell ref="S139:T139"/>
    <mergeCell ref="S81:T81"/>
    <mergeCell ref="S42:T42"/>
    <mergeCell ref="S43:T44"/>
    <mergeCell ref="S136:T136"/>
    <mergeCell ref="S126:T126"/>
    <mergeCell ref="S130:T130"/>
    <mergeCell ref="S131:T131"/>
    <mergeCell ref="S127:T127"/>
    <mergeCell ref="S128:T128"/>
  </mergeCells>
  <printOptions horizontalCentered="1"/>
  <pageMargins left="0.2" right="0.17" top="0.33" bottom="0.27" header="0.22" footer="0.17"/>
  <pageSetup fitToHeight="3" fitToWidth="1" horizontalDpi="300" verticalDpi="300" orientation="landscape" paperSize="9" scale="63" r:id="rId3"/>
  <headerFooter alignWithMargins="0">
    <oddFooter>&amp;RPagina &amp;P</oddFooter>
  </headerFooter>
  <ignoredErrors>
    <ignoredError sqref="R21 R95 O129" formula="1"/>
    <ignoredError sqref="M8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2007-11-06T10:18:20Z</cp:lastPrinted>
  <dcterms:created xsi:type="dcterms:W3CDTF">2005-04-28T08:10:49Z</dcterms:created>
  <dcterms:modified xsi:type="dcterms:W3CDTF">2007-11-06T10:18:30Z</dcterms:modified>
  <cp:category/>
  <cp:version/>
  <cp:contentType/>
  <cp:contentStatus/>
</cp:coreProperties>
</file>