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Riepilogo" sheetId="1" r:id="rId1"/>
    <sheet name="Complessivo" sheetId="2" r:id="rId2"/>
  </sheets>
  <definedNames>
    <definedName name="_xlnm._FilterDatabase" localSheetId="1" hidden="1">'Complessivo'!$A$9:$T$299</definedName>
    <definedName name="_xlnm.Print_Area" localSheetId="1">'Complessivo'!$A$2:$T$299</definedName>
    <definedName name="_xlnm.Print_Titles" localSheetId="1">'Complessivo'!$2:$8</definedName>
  </definedNames>
  <calcPr fullCalcOnLoad="1"/>
</workbook>
</file>

<file path=xl/comments2.xml><?xml version="1.0" encoding="utf-8"?>
<comments xmlns="http://schemas.openxmlformats.org/spreadsheetml/2006/main">
  <authors>
    <author>MD</author>
    <author>.</author>
  </authors>
  <commentList>
    <comment ref="S24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Per euro 293,16 del mese di luglio manca tabella di riepilogo. Ok 20/05/08</t>
        </r>
      </text>
    </comment>
    <comment ref="S66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Mancano i riepilogativi consulenza giornaliera senza i quali questa spesa sarà stralciata nel prossimo sal. Ok 20/05/08</t>
        </r>
      </text>
    </comment>
    <comment ref="S67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Mancano i riepilogativi consulenza giornaliera senza i quali questa spesa sarà stralciata nel prossimo sal. Ok 20/05/08</t>
        </r>
      </text>
    </comment>
    <comment ref="S70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Mancano i riepilogativi consulenza giornaliera senza i quali questa spesa sarà stralciata nel prossimo sal. Ok 20/05/08</t>
        </r>
      </text>
    </comment>
    <comment ref="S71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Mancano i riepilogativi consulenza giornaliera senza i quali questa spesa sarà stralciata nel prossimo sal. Ok 20/05/08</t>
        </r>
      </text>
    </comment>
    <comment ref="S86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Ammesso provvisoriamente in attesa di istruttoria. Ok 20/05/08</t>
        </r>
      </text>
    </comment>
    <comment ref="S87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Ammesso provvisoriamente in attesa di istruttoria. Ok 20/05/08</t>
        </r>
      </text>
    </comment>
    <comment ref="S88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Ammesso provvisoriamente in attesa di istruttoria. Ok 20/05/08</t>
        </r>
      </text>
    </comment>
    <comment ref="S89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Ammesso provvisoriamente in attesa di istruttoria. Ok 20/05/08</t>
        </r>
      </text>
    </comment>
    <comment ref="S90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Ammesso provvisoriamente in attesa di istruttoria. Ok 20/05/08</t>
        </r>
      </text>
    </comment>
    <comment ref="S171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Ammesso provvisoriamente in attesa di istruttoria.ok 20/05/08
</t>
        </r>
      </text>
    </comment>
    <comment ref="S243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Ammesso provvisoriamente in attesa di istruttoria. Ok 20/05/08</t>
        </r>
      </text>
    </comment>
    <comment ref="S244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Ammesso provvisoriamente in attesa di istruttoria. Ok 20/05/08</t>
        </r>
      </text>
    </comment>
    <comment ref="S170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Ammesso provvisoriamente in attesa di istruttoria.ok 20/05/08
</t>
        </r>
      </text>
    </comment>
    <comment ref="S187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Ammesso provvisoriamente in attesa di istruttoria.ok 20/05/08
</t>
        </r>
      </text>
    </comment>
    <comment ref="S266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Ammesso provvisoriamente in attesa di istruttoria. Ok 20/05/08</t>
        </r>
      </text>
    </comment>
    <comment ref="S264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Ammessi in via provvisoria in attesa di verifica formale.ok 20/05/08
</t>
        </r>
      </text>
    </comment>
    <comment ref="S265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Ammessi in via provvisoria in attesa di verifica formale.ok 20/05/08
</t>
        </r>
      </text>
    </comment>
    <comment ref="S261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Ammesso provvisoriamente in attesa di istruttoria. Ok 20/05/08</t>
        </r>
      </text>
    </comment>
    <comment ref="S262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Ammesso provvisoriamente in attesa di istruttoria. Ok 20/05/08</t>
        </r>
      </text>
    </comment>
    <comment ref="S263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Ammesso provvisoriamente in attesa di istruttoria. Ok 20/05/08</t>
        </r>
      </text>
    </comment>
    <comment ref="S36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Ammesso provvisoriamente in attesa di istruttoria. Ok 20/05/08</t>
        </r>
      </text>
    </comment>
    <comment ref="S32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Ammesso provvisoriamente in attesa di istruttoria. Ok 20/05/08</t>
        </r>
      </text>
    </comment>
    <comment ref="S31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Ammesso provvisoriamente in attesa di istruttoria. Ok 20/05/08</t>
        </r>
      </text>
    </comment>
    <comment ref="S35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Ammesso provvisoriamente in attesa di istruttoria. Ok 20/05/08</t>
        </r>
      </text>
    </comment>
    <comment ref="S38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Ammesso provvisoriamente in attesa di istruttoria. Ok 20/05/08</t>
        </r>
      </text>
    </comment>
    <comment ref="S33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Ammesso provvisoriamente in attesa di istruttoria. Ok 20/05/08</t>
        </r>
      </text>
    </comment>
    <comment ref="S34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Ammesso provvisoriamente in attesa di istruttoria. Ok 20/05/08</t>
        </r>
      </text>
    </comment>
    <comment ref="S37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Ammesso provvisoriamente in attesa di istruttoria. Ok 20/05/08</t>
        </r>
      </text>
    </comment>
    <comment ref="S39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Ammesso provvisoriamente in attesa di istruttoria. Ok 20/05/08</t>
        </r>
      </text>
    </comment>
    <comment ref="S72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Mancano riepilogativi consulenza giornaliera, contratti e curriculum delle persone che hanno effettuato la consulenza, senza i quali questa spesa sarà stralciata nel prossimo sal.ok 20/05/08</t>
        </r>
      </text>
    </comment>
    <comment ref="S73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Mancano riepilogativi consulenza giornaliera, contratti e curriculum delle persone che hanno effettuato la consulenza, senza i quali questa spesa sarà stralciata nel prossimo sal.ok 20/05/08</t>
        </r>
      </text>
    </comment>
    <comment ref="S74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Mancano riepilogativi consulenza giornaliera, contratti e curriculum delle persone che hanno effettuato la consulenza, senza i quali questa spesa sarà stralciata nel prossimo sal.ok 20/05/08</t>
        </r>
      </text>
    </comment>
    <comment ref="S77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Mancano riepilogativi consulenza giornaliera, contratti e curriculum delle persone che hanno effettuato la consulenza, senza i quali questa spesa sarà stralciata nel prossimo sal.ok 20/05/08</t>
        </r>
      </text>
    </comment>
    <comment ref="S78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Mancano riepilogativi consulenza giornaliera, contratti e curriculum delle persone che hanno effettuato la consulenza, senza i quali questa spesa sarà stralciata nel prossimo sal.ok 20/05/08</t>
        </r>
      </text>
    </comment>
    <comment ref="S79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Mancano riepilogativi consulenza giornaliera, contratti e curriculum delle persone che hanno effettuato la consulenza, senza i quali questa spesa sarà stralciata nel prossimo sal.ok 20/05/08</t>
        </r>
      </text>
    </comment>
    <comment ref="S80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Mancano riepilogativi consulenza giornaliera, contratti e curriculum delle persone che hanno effettuato la consulenza, senza i quali questa spesa sarà stralciata nel prossimo sal.ok 20/05/08</t>
        </r>
      </text>
    </comment>
    <comment ref="S81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Mancano riepilogativi consulenza giornaliera, contratti e curriculum delle persone che hanno effettuato la consulenza, senza i quali questa spesa sarà stralciata nel prossimo sal.ok 20/05/08</t>
        </r>
      </text>
    </comment>
    <comment ref="S82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Mancano riepilogativi consulenza giornaliera, contratti e curriculum delle persone che hanno effettuato la consulenza, senza i quali questa spesa sarà stralciata nel prossimo sal.ok 20/05/08</t>
        </r>
      </text>
    </comment>
    <comment ref="S83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Mancano riepilogativi consulenza giornaliera, contratti e curriculum delle persone che hanno effettuato la consulenza, senza i quali questa spesa sarà stralciata nel prossimo sal.ok 20/05/08</t>
        </r>
      </text>
    </comment>
    <comment ref="S68" authorId="1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Mancano contratto, curriculum e riepilogativi consulenza giornaliera senza i quali questa spesa sarà stralciata nel prossimo sal.ok 20/05/08</t>
        </r>
      </text>
    </comment>
    <comment ref="S69" authorId="1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Mancano contratto, curriculum e riepilogativi consulenza giornaliera senza i quali questa spesa sarà stralciata nel prossimo sal.ok 20/05/08</t>
        </r>
      </text>
    </comment>
    <comment ref="S106" authorId="1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Non ammissibile perché pagata da altro soggetto (CAT Puglia) - comunque manca relazione sulle attività svolte, copia del estratto bancario. La tabella impegno consulenza riporta I fascia ma si è pagato 150 euro giorno x 10 gg (meno della III fascia). </t>
        </r>
      </text>
    </comment>
    <comment ref="S105" authorId="1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Non ammissibile perché pagata da altro soggetto (CAT Puglia) - comunque manca relazione sulle attività svolte, copia del estratto bancario. La tabella impegno consulenza riporta I fascia ma si è pagato 150 euro giorno x 10 gg (meno della III fascia). </t>
        </r>
      </text>
    </comment>
    <comment ref="S268" authorId="1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 contratto, libertoria.
Non ammessa perché pagata da altro soggetto (Unione regionale del commercio)Fornire documentazione che giustifichi il pagamento della fattura  da parte dell'Unione Reg. Comm. E Turismo.
</t>
        </r>
        <r>
          <rPr>
            <b/>
            <sz val="8"/>
            <rFont val="Tahoma"/>
            <family val="2"/>
          </rPr>
          <t>ok</t>
        </r>
      </text>
    </comment>
    <comment ref="S269" authorId="1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 contratto, libertoria.
Non ammessa perché pagata da altro soggetto (Unione regionale del commercio)Fornire documentazione che giustifichi il pagamento della fattura  da parte dell'Unione Reg. Comm. E Turismo
</t>
        </r>
        <r>
          <rPr>
            <b/>
            <sz val="8"/>
            <rFont val="Tahoma"/>
            <family val="2"/>
          </rPr>
          <t>ok</t>
        </r>
      </text>
    </comment>
    <comment ref="S112" authorId="1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 curriculum Rufino Gabriele. Ok 16/02/09
</t>
        </r>
      </text>
    </comment>
    <comment ref="S121" authorId="1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Mancano i timesheet
ok 16/03/09
</t>
        </r>
      </text>
    </comment>
    <comment ref="S132" authorId="1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Mancano i timesheet
ok 16/03/09
</t>
        </r>
      </text>
    </comment>
    <comment ref="S111" authorId="1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 contratto, tabella riepilogativa consulenza per verificare le giornate e la fascia di costo,libertoria, relazione sulle attività svolte e il curriculum deve essere firmato. Importo ammesso ma da verificare sulla base della doc integrativa
ok 16/03/09</t>
        </r>
      </text>
    </comment>
    <comment ref="S133" authorId="1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 contratto, tabella riepilogativa consulenza per verificare le giornate e la fascia di costo,libertoria, relazione sulle attività svolte e il curriculum deve essere firmato. Importo ammesso ma da verificare sulla base della doc integrativa
ok 16/03/09</t>
        </r>
      </text>
    </comment>
    <comment ref="S107" authorId="1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 relazione sulle attività svolte. La tabella impegno consulenza riporta I fascia ma si è pagato 150 euro giorno x 10 gg (meno della III fascia). 
OK 17/03/09</t>
        </r>
      </text>
    </comment>
    <comment ref="S108" authorId="1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 relazione sulle attività svolte. La tabella impegno consulenza riporta I fascia ma si è pagato 150 euro giorno x 10 gg (meno della III fascia). 
OK 17/03/09</t>
        </r>
      </text>
    </comment>
    <comment ref="S109" authorId="1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 relazione sulle attività svolte. La tabella impegno consulenza riporta I fascia ma si è pagato 150 euro giorno x 10 gg (meno della III fascia). 
OK 17/03/09</t>
        </r>
      </text>
    </comment>
    <comment ref="S110" authorId="1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 relazione sulle attività svolte. La tabella impegno consulenza riporta I fascia ma si è pagato 150 euro giorno x 10 gg (meno della III fascia). 
OK 17/03/09</t>
        </r>
      </text>
    </comment>
  </commentList>
</comments>
</file>

<file path=xl/sharedStrings.xml><?xml version="1.0" encoding="utf-8"?>
<sst xmlns="http://schemas.openxmlformats.org/spreadsheetml/2006/main" count="1401" uniqueCount="353">
  <si>
    <t>PROGETTO</t>
  </si>
  <si>
    <t>LICENZE</t>
  </si>
  <si>
    <t>Fornitore</t>
  </si>
  <si>
    <t>Imponibile</t>
  </si>
  <si>
    <t>Iva</t>
  </si>
  <si>
    <t>Totale fattura</t>
  </si>
  <si>
    <t>PERSONALE</t>
  </si>
  <si>
    <t>CONSULENZE</t>
  </si>
  <si>
    <t>SOFTWARE</t>
  </si>
  <si>
    <t>INFRASTRUTTURE</t>
  </si>
  <si>
    <t>SPESE GENERALI</t>
  </si>
  <si>
    <t>Att.</t>
  </si>
  <si>
    <t>Previsto</t>
  </si>
  <si>
    <t>Residuo</t>
  </si>
  <si>
    <t>SAL</t>
  </si>
  <si>
    <t>I</t>
  </si>
  <si>
    <t>Modalità</t>
  </si>
  <si>
    <t>Data Pag</t>
  </si>
  <si>
    <t>Data fatt</t>
  </si>
  <si>
    <t>N. fattura</t>
  </si>
  <si>
    <t>Descr.</t>
  </si>
  <si>
    <t>Costi ammessi</t>
  </si>
  <si>
    <t>Contributo</t>
  </si>
  <si>
    <t>NOLO LEASING AMM</t>
  </si>
  <si>
    <t>Partner</t>
  </si>
  <si>
    <t>Ant.</t>
  </si>
  <si>
    <t>Erogare</t>
  </si>
  <si>
    <t>Note</t>
  </si>
  <si>
    <t>SAL 1</t>
  </si>
  <si>
    <t>SAL 2</t>
  </si>
  <si>
    <t>TOT GEN</t>
  </si>
  <si>
    <t>TOT SAL 1</t>
  </si>
  <si>
    <t>TOT SAL 2</t>
  </si>
  <si>
    <t>Avvio PR</t>
  </si>
  <si>
    <t>TOT PROGETTO=</t>
  </si>
  <si>
    <t>CONTRIBUTO=</t>
  </si>
  <si>
    <t>CONTRIBUTO IVA=</t>
  </si>
  <si>
    <t>TOT CONTRIBUTO=</t>
  </si>
  <si>
    <t>IVA=</t>
  </si>
  <si>
    <t>Res IVA=</t>
  </si>
  <si>
    <t>Iva Ammessa</t>
  </si>
  <si>
    <t>Totale costi ammessi</t>
  </si>
  <si>
    <t>Contributo iva</t>
  </si>
  <si>
    <t>TOT CONTR</t>
  </si>
  <si>
    <t>Spesa ammessa</t>
  </si>
  <si>
    <t>Iva ammessa</t>
  </si>
  <si>
    <t>TOT ammes</t>
  </si>
  <si>
    <t>Contrib. Costi</t>
  </si>
  <si>
    <t>Contrib. Iva</t>
  </si>
  <si>
    <t>CONFCOMMERCIO REGIONALE PUGLIA  50 - RIEPILOGO SPESE</t>
  </si>
  <si>
    <t>Unione Regionale del commercio e del turismo della Puglia</t>
  </si>
  <si>
    <t>WP 6: Attività di diffusione e promozione</t>
  </si>
  <si>
    <t>Medianet di Giorgi Simona</t>
  </si>
  <si>
    <t>Bonifico Bancario</t>
  </si>
  <si>
    <t>Pagamento polizza fideiussoria</t>
  </si>
  <si>
    <t>MILANO ASSICURAZIONI</t>
  </si>
  <si>
    <t>P. Fid. N. 2250200820881</t>
  </si>
  <si>
    <t>II</t>
  </si>
  <si>
    <t>WP1: Gestione Progetto</t>
  </si>
  <si>
    <t>WP6: Attività di promozione e diffusione</t>
  </si>
  <si>
    <t>Alfredo Malcarne</t>
  </si>
  <si>
    <t>Bonifico</t>
  </si>
  <si>
    <t>Medianet di Simona Giorgi</t>
  </si>
  <si>
    <t>CAT Puglia Confcommercio s.c.a.r.l.</t>
  </si>
  <si>
    <t>WP 2.1: Analisi funzion architettura Portale</t>
  </si>
  <si>
    <t>WP 2.2: Analisi funzion Banca Dati Associati</t>
  </si>
  <si>
    <t>WP 2.3: Analisi funzion Banca Dati Lavoro</t>
  </si>
  <si>
    <t>WP5: Fidelity card</t>
  </si>
  <si>
    <t>Sinternet</t>
  </si>
  <si>
    <t>HGP</t>
  </si>
  <si>
    <t>WP 2.0 Individuazione ed implementazione procedure</t>
  </si>
  <si>
    <t>WP 2.0 Individuazione ed implementazione procedure Analisi Funzionale</t>
  </si>
  <si>
    <t>SINTER &amp; NET</t>
  </si>
  <si>
    <t>05-I-206</t>
  </si>
  <si>
    <t>WP 2.1 Progettazione e realizzazione di una intranet Analisi e studio architettura</t>
  </si>
  <si>
    <t>05-I-209</t>
  </si>
  <si>
    <t>WP 2.0 Individuazione ed implementazione procedure Direzione commessa</t>
  </si>
  <si>
    <t>05-I-215</t>
  </si>
  <si>
    <t>WP 2.0 Individuazione ed implementazione procedure Direzione Progetto</t>
  </si>
  <si>
    <t>05-I-216</t>
  </si>
  <si>
    <t>WP 2.2 Progettazione e realizzazione della Banca Dati Associati Confcommercio Organizzazione</t>
  </si>
  <si>
    <t>05-I-239</t>
  </si>
  <si>
    <t xml:space="preserve">WP 4.1 E-learning - Analisi tecnica gestione formazione </t>
  </si>
  <si>
    <t>05-I-240</t>
  </si>
  <si>
    <t>05-I-294</t>
  </si>
  <si>
    <t>ASCOM Confcommercio Taranto</t>
  </si>
  <si>
    <t>De Florio Cataldo, Giannuzzi Alfonso, Malagnini Cosimo</t>
  </si>
  <si>
    <t>CAT Confcommercio Foggia</t>
  </si>
  <si>
    <t>Trotta Antonio, Accettulli Salvatore, Compagnone Luca, Alborea Concetta Maria</t>
  </si>
  <si>
    <t>Unione Provinciale commercio e turismo Servizi PMI Foggia</t>
  </si>
  <si>
    <t>Faienza Tommaso, Natella Aldo, Cavuoto Luigi, Rutigliano Leonardo</t>
  </si>
  <si>
    <t>SE.T.TE. DUE SRL</t>
  </si>
  <si>
    <t>Quarta Giuseppe, Arnò Maria Cristina</t>
  </si>
  <si>
    <t>ASCOM Confcommercio Lecce</t>
  </si>
  <si>
    <t>Vozza Daniela, Pastore Federico, Totaro Luigi</t>
  </si>
  <si>
    <t>CAT Confcommercio Lecce Srl</t>
  </si>
  <si>
    <t>Antonazzo Simona</t>
  </si>
  <si>
    <t>INCOM</t>
  </si>
  <si>
    <t>Colella Angelo, Rizzo Antonio, Di Iasio Biagio, Malcarne Alfredo</t>
  </si>
  <si>
    <t>Chiarelli Giuseppe, Fusco Alessandro, Gigante Maria Teresa, Cannone Paola, Caputo Andrea</t>
  </si>
  <si>
    <t>Caputo Andrea</t>
  </si>
  <si>
    <t>Ammessi in via provvisoria in attesa di verifica formale.</t>
  </si>
  <si>
    <t>Non ammesse in ogni caso le imposte sulla fidejussione</t>
  </si>
  <si>
    <t>Cosa centra Sistema imprese con Cat Puglia? Tolti costi di Caputo Andrea</t>
  </si>
  <si>
    <t>Storno relativo a tutta l'iva ammessa a CAT Puglia Confcommercio scarl.L'iva di Unione Regionale del Commercio e del Turismo della Puglia è stata stornata fino al raggiungimento del budget disponibile(stornati importi in rosso)</t>
  </si>
  <si>
    <t>inizio</t>
  </si>
  <si>
    <t>fine</t>
  </si>
  <si>
    <t>CONTRIBUTO</t>
  </si>
  <si>
    <t>PREVISTO</t>
  </si>
  <si>
    <t>RESIDUO</t>
  </si>
  <si>
    <t>AMMESSO</t>
  </si>
  <si>
    <t>IVA Ammessa</t>
  </si>
  <si>
    <t>Totale ammesso</t>
  </si>
  <si>
    <t>IVA Contributo</t>
  </si>
  <si>
    <t>Totale Contributo</t>
  </si>
  <si>
    <t>Anticip. corrisposta</t>
  </si>
  <si>
    <t>Liquidazione s.a.l.</t>
  </si>
  <si>
    <t>Totale</t>
  </si>
  <si>
    <t>ATS</t>
  </si>
  <si>
    <t>IVA ESPOSTA</t>
  </si>
  <si>
    <t>Ritenuta d'acconto 4%</t>
  </si>
  <si>
    <t>ANTIMAFIA</t>
  </si>
  <si>
    <t>STATO DELLA DOCUMENTAZIONE TECNICA</t>
  </si>
  <si>
    <t>Relazione S.A.L. Quadrimestrale</t>
  </si>
  <si>
    <t>Rapporti Tecnici</t>
  </si>
  <si>
    <t>P.D.A.</t>
  </si>
  <si>
    <t>NOTE</t>
  </si>
  <si>
    <t>DATE</t>
  </si>
  <si>
    <t>ISTRUTTORI</t>
  </si>
  <si>
    <t>FIRME</t>
  </si>
  <si>
    <t>Michele Divella</t>
  </si>
  <si>
    <t>CONFCOMMERCIO 50</t>
  </si>
  <si>
    <t>Incom</t>
  </si>
  <si>
    <t>SAL 1  03/06/2004 - 31/10/2005</t>
  </si>
  <si>
    <t>Associazione Commercio e Turismo Brindisi</t>
  </si>
  <si>
    <t>Cofidi Commercianti di capitanata scarl</t>
  </si>
  <si>
    <t xml:space="preserve">Ascom Lecce Confcommercio </t>
  </si>
  <si>
    <t>CAT Confcommercio Lecce s.r.l.</t>
  </si>
  <si>
    <t>SE.T.Te Due Servizi Tributari Terziario srl</t>
  </si>
  <si>
    <t>CO.FIDI - Cooperativa fidi scarl</t>
  </si>
  <si>
    <t>Associazione Commercio e Turismo Taranto</t>
  </si>
  <si>
    <t>Cofidi Commercianti scarl</t>
  </si>
  <si>
    <t>Confcommercio PMI Foggia</t>
  </si>
  <si>
    <t>CAT Confcommercio s.c.a.r.l. Foggia</t>
  </si>
  <si>
    <t xml:space="preserve">WP 6: Attività di diffusione e promozione </t>
  </si>
  <si>
    <t>Pagamento commercialista</t>
  </si>
  <si>
    <t>L'Abbate Alessandra</t>
  </si>
  <si>
    <t>Aurora Assicurazioni</t>
  </si>
  <si>
    <t>Chiarelli Giuseppe, Fusco Alessandro, Gigante Maria Teresa, Cannone Paola, Lionetti Angela</t>
  </si>
  <si>
    <t>WP 5 - FIDELITY CARD</t>
  </si>
  <si>
    <t>HOLDING GESTIONE PROGETTI</t>
  </si>
  <si>
    <t>Bonifico bancario</t>
  </si>
  <si>
    <t xml:space="preserve">WP 2.2 Progettazione e realizzazione della Banca Dati Associati Confcommercio </t>
  </si>
  <si>
    <t>05-I-389</t>
  </si>
  <si>
    <t>05-I-390</t>
  </si>
  <si>
    <t>WP 2.0/3 Termine Analisi Funzionale</t>
  </si>
  <si>
    <t>05-I-391</t>
  </si>
  <si>
    <t>WP 2.1/1 Sviluppo del Portale</t>
  </si>
  <si>
    <t>05-I-392</t>
  </si>
  <si>
    <t>WP 2.2 Organizzazione</t>
  </si>
  <si>
    <t>05-I-393</t>
  </si>
  <si>
    <t>WP 4.3 E-quality e controllo di gestione</t>
  </si>
  <si>
    <t>05-I-394</t>
  </si>
  <si>
    <t>05-I-395</t>
  </si>
  <si>
    <t>WP 2.1:  Italian Lic/SA Pack OLP, CRM Professional Server Italian, CRM Professional CAL Italian, Media kit Windows Svr Std 2003,.  R2 Win 32 Italian Disk</t>
  </si>
  <si>
    <t>WP 5: SOFTWARE</t>
  </si>
  <si>
    <t>WP 5: CANONE E LICENZA CARTA PREMIA</t>
  </si>
  <si>
    <t>WP 2.1 Progettazione e realizzazione di una intranet</t>
  </si>
  <si>
    <t>INFOSYSTEM  S.r.l.</t>
  </si>
  <si>
    <t xml:space="preserve">Pagamento commercialista </t>
  </si>
  <si>
    <t>spese pubblicità - PROMOZIONE</t>
  </si>
  <si>
    <t>n.ro 8 dipendenti</t>
  </si>
  <si>
    <t>n.ro 6 dipendenti</t>
  </si>
  <si>
    <t>n.ro 3 dipendenti</t>
  </si>
  <si>
    <t>n.ro 5 dipendenti</t>
  </si>
  <si>
    <t>COFIDI LECCE</t>
  </si>
  <si>
    <t>Paladini Enio</t>
  </si>
  <si>
    <t>n.ro 4 dipendenti</t>
  </si>
  <si>
    <t>SETTEDUE Srl</t>
  </si>
  <si>
    <t>n.ro 7 dipendenti</t>
  </si>
  <si>
    <t>SAL 2 03/10/2005 - 02/10/2006</t>
  </si>
  <si>
    <t>Ammesso provvisoriamente in attesa di istruttoria</t>
  </si>
  <si>
    <t>03/06/2005 - 02/10/2006 (consegnatoa sett 2007)</t>
  </si>
  <si>
    <t>III</t>
  </si>
  <si>
    <t>06-I-060</t>
  </si>
  <si>
    <t>06-I-064</t>
  </si>
  <si>
    <t>WP 2.1/1 Sviluppo del Portale
WP 4.3 E-quality e controllo di gestione</t>
  </si>
  <si>
    <t>07-I-100</t>
  </si>
  <si>
    <t>27/09/2007
31/03/2008</t>
  </si>
  <si>
    <t>SAL 3</t>
  </si>
  <si>
    <t>TOT SAL 3</t>
  </si>
  <si>
    <t>SAL 1 - 03/06/2004 - 31/10/2005</t>
  </si>
  <si>
    <t>SAL 2 - 03/10/2005 - 02/10/2006</t>
  </si>
  <si>
    <t>Spese generali di manutenzione sistema</t>
  </si>
  <si>
    <t>SAL 3 - 03/10/2006 - 02/10/2007</t>
  </si>
  <si>
    <t>Pluralia Scarl (ex Consorzio Parco Tecnologico e-Quality)</t>
  </si>
  <si>
    <t>Trattasi di persone che hanno avuto contratti a progetto e consulenze occasionali in diversi periodi, ma le tariffe devono essere: paragonabili a un livello di inquadramento professionale per i cocopro, e corrispondenti alle fasce di costo I,II e III per le consulenze. Le consulenze vanno riportate alla voce consulenze e non personale, con il riepilogativo giornaliero e la documentazione necessaria. Per il personale fornire calcolo del costo orario. Chiarire infine i poteri di firma del segretario Giuseppe Chiarelli in rappresentanza dell'Unione Regionale del Commercio nella sottoscrizione dei contratti.</t>
  </si>
  <si>
    <t>Iafisco( II ) - Facca ( I ) - Cartelli ( I ) - Lezzi non risulta essere dipend HGP - Jamous ( II ) - Bitonti (II)</t>
  </si>
  <si>
    <t>Liquidazione provvisoria</t>
  </si>
  <si>
    <t>CONGUAGLIO SU II SAL</t>
  </si>
  <si>
    <t xml:space="preserve">Trattasi di licenza d'uso marchio </t>
  </si>
  <si>
    <t>P</t>
  </si>
  <si>
    <t>STORNATO NEL II SAL</t>
  </si>
  <si>
    <t>VEDI NOTA SU I SAL</t>
  </si>
  <si>
    <t>IMPOSTE STORNATE NEL III SAL</t>
  </si>
  <si>
    <t>IMPOSTE NON AMMISSIBILI</t>
  </si>
  <si>
    <t>CAT Confcommercio Taranto</t>
  </si>
  <si>
    <t>CONGUAGLIO SU I SAL</t>
  </si>
  <si>
    <t>Vedi III sal</t>
  </si>
  <si>
    <t>Verificare ammissibilità del componente CDA</t>
  </si>
  <si>
    <t>n.ro 4 dipendenti: Chiarelli Fusco Gigante Cannone</t>
  </si>
  <si>
    <t>Spese generali premi assicurativi carta premia</t>
  </si>
  <si>
    <t>Spese generali manutenzione sistema carta premia</t>
  </si>
  <si>
    <t>Lo Muzio Alessandra</t>
  </si>
  <si>
    <t>Riccardi Giuseppe</t>
  </si>
  <si>
    <t>POLIZZA FIDEIUSSORIA</t>
  </si>
  <si>
    <t>P.N. 42582478</t>
  </si>
  <si>
    <t>manca cv di DiLiddo. Ricevuto con la III rendicontazione</t>
  </si>
  <si>
    <t>07-I-121</t>
  </si>
  <si>
    <t>Altomare D'antico, De florio, Giannuzzi, Malagnini, Pranzo, Risolo, Zaccheo</t>
  </si>
  <si>
    <t>Manca dichiarazine IVA non è detraibile totalm o parzialmente e quinidi non ammessa IVA</t>
  </si>
  <si>
    <t>Stampa digitale totem</t>
  </si>
  <si>
    <t>SPEEDY COPY</t>
  </si>
  <si>
    <t>056/06</t>
  </si>
  <si>
    <t>Assegno Bancario</t>
  </si>
  <si>
    <t>054/06</t>
  </si>
  <si>
    <t>Non si capisce l'attività di progetto. Manca rif a Misura 6.2c su fattura. Assegno senza data.Manca estratto banca per verificare la traenza.liberatoria non sotto forma di dichiarazine autocertif e non si capiscce chi firma</t>
  </si>
  <si>
    <t>06-I-061</t>
  </si>
  <si>
    <t>SITEBA SPA</t>
  </si>
  <si>
    <t>PIU FATTURE</t>
  </si>
  <si>
    <t>Fornire documentazione (accordo interno) che giustifichi il pagamento di questa fattura da parte di cat puglia</t>
  </si>
  <si>
    <t>Assistenza tecnica progetto Incom</t>
  </si>
  <si>
    <t>Canoni noleggio e manutenzione terminali</t>
  </si>
  <si>
    <t>Manca contratto - se trattasi di noleggi hardware, spostare a noli</t>
  </si>
  <si>
    <t>Fattura pagata da UNIONE REGIONALE DEL COMMERCIO</t>
  </si>
  <si>
    <t>Ascom Taranto</t>
  </si>
  <si>
    <t>IV</t>
  </si>
  <si>
    <t>n.ro 6 dipendenti - 2006</t>
  </si>
  <si>
    <t>n.ro 7 dipendenti - 2007</t>
  </si>
  <si>
    <t>n.ro 7 dipendenti - 2008</t>
  </si>
  <si>
    <t>LICENZE MICROSOFT DYNAMICS NAV E CRM</t>
  </si>
  <si>
    <t>SINTER &amp; NET S.P.A.- POTENZA</t>
  </si>
  <si>
    <t>BONIFICO BANCARIO (ACC.)</t>
  </si>
  <si>
    <t>SQL SERVER EDITION 2005*64</t>
  </si>
  <si>
    <t>LA SALENTO COPIATORI DI INGUSCIO CLAUDIO - CAVALLINO</t>
  </si>
  <si>
    <t>ASSEGNO BANCARIO</t>
  </si>
  <si>
    <t>PC SERVER PROLIANT ML 350 PROCESS.INTEL XEON, MONITOR LCD 15,WINDOWS 2003, N.3 CLIENT+N.3 MONITOR LCD 17</t>
  </si>
  <si>
    <t>BONIFICO BANCARIO</t>
  </si>
  <si>
    <t>TAVOLETTE P/BL, CARTELLA PORTAB.</t>
  </si>
  <si>
    <t>OFFICE POINT S.R.L.- LECCE</t>
  </si>
  <si>
    <t>CONTRATTO LAVORO A PROGETTO</t>
  </si>
  <si>
    <t>PASCA VALENTINA</t>
  </si>
  <si>
    <t>TARANTINO ELISA</t>
  </si>
  <si>
    <t>PETRACCA DEBORAH</t>
  </si>
  <si>
    <t>DONGIOVANNI M.CRISTINA</t>
  </si>
  <si>
    <t>PANZERA PAOLA</t>
  </si>
  <si>
    <t>TAURINO RAFFAELLA</t>
  </si>
  <si>
    <t>CASSA</t>
  </si>
  <si>
    <t xml:space="preserve"> </t>
  </si>
  <si>
    <t>VOL. F.TO A4 A COLORI SU PAT. 150 GR</t>
  </si>
  <si>
    <t>TIPOGRAFIA LAGATORIA SCORRANO - LECCE</t>
  </si>
  <si>
    <t>16/07</t>
  </si>
  <si>
    <t>Chiarelli Giuseppe, Gigante Maria Teresa, Cannone Paola, Lionetti Angela</t>
  </si>
  <si>
    <t>WP 2.2 Progettazione e realizzazione della Banca Dati Associati Confcommercio</t>
  </si>
  <si>
    <t>06-I-059</t>
  </si>
  <si>
    <t>WP 2.1 Svilupppo del portale</t>
  </si>
  <si>
    <t>06-I-062</t>
  </si>
  <si>
    <t>WP 2.2  Organizzazione</t>
  </si>
  <si>
    <t>06-I-063</t>
  </si>
  <si>
    <t>WP 2.1 Progettazione e Realizzazione di una Intranet (Portale Confcommercio)</t>
  </si>
  <si>
    <t>06-I-220</t>
  </si>
  <si>
    <t xml:space="preserve"> WP 5:Consulenza per l'attuazione del Wp 5 "Fidelity Card" </t>
  </si>
  <si>
    <t>HOLDING GESTIONE PROGETTI SPA</t>
  </si>
  <si>
    <t>WP 5 Gestione mov. Carta premia-disinstallazione terminali</t>
  </si>
  <si>
    <t>Siteba</t>
  </si>
  <si>
    <t>WP 5 Installazione terminali-licenza d'uso pos-gestione processing-gestione mov. Carta premia-noleggio terminali desktop-manutenzione ordinaria terminali desktop-disattivazioni terminali</t>
  </si>
  <si>
    <t>WP 5 Canone semestrale anticipato gestione processing-noleggio terminali desktop-manutenzione ordinaria terminali desktop</t>
  </si>
  <si>
    <t>WP 5 Installazione terminali-licenza d'uso pos-gestione processing-gestione mov. Carta premia-noleggio terminali desktop-manutenzione ordinaria terminali desktop</t>
  </si>
  <si>
    <t>WP 5 Installazione terminali-licenza d'uso pos-gestione processing-gestione mov. Carta premia-noleggio terminali desktop-manutenzione ordinaria terminali desktop-disinstallazione terminali-disattivazioni terminali</t>
  </si>
  <si>
    <t>WP 5 Manutenzione ordinaria terminali desktop-disinstallazione terminali-disattivazione terminali-gestione mov. Carta premia-</t>
  </si>
  <si>
    <t>WP 5 Gestione mov. Carta premia-disinstallazione perminali</t>
  </si>
  <si>
    <t>WP 5 Gestione processing-noleggio terminali desktop-manutenzione ordinaria terminali desktop</t>
  </si>
  <si>
    <t>WP 5 Gestione mov. Carta premia-disinstallazione terminali-disattivazione terminali</t>
  </si>
  <si>
    <t>N.C.70068</t>
  </si>
  <si>
    <t>N.C.70069</t>
  </si>
  <si>
    <t>N.C.70070</t>
  </si>
  <si>
    <t>N.C.70071</t>
  </si>
  <si>
    <t>N.C.70072</t>
  </si>
  <si>
    <t>N.C.70073</t>
  </si>
  <si>
    <t>N.C.70477</t>
  </si>
  <si>
    <t>N.C.70478</t>
  </si>
  <si>
    <t>N.C.70479</t>
  </si>
  <si>
    <t>N.C.70480</t>
  </si>
  <si>
    <t>N.C.70572</t>
  </si>
  <si>
    <t>N.C.70573</t>
  </si>
  <si>
    <t>N.C.70574</t>
  </si>
  <si>
    <t>N.C.70681</t>
  </si>
  <si>
    <t>N.C.70682</t>
  </si>
  <si>
    <t>N.C.70683</t>
  </si>
  <si>
    <t>N.C.70757</t>
  </si>
  <si>
    <t>N.C.70825</t>
  </si>
  <si>
    <t>N.C.70900</t>
  </si>
  <si>
    <t>N.C.71255</t>
  </si>
  <si>
    <t>N.C.71330</t>
  </si>
  <si>
    <t>N.C.71401</t>
  </si>
  <si>
    <t>WP 5 - Spese generali: manutenzione sistema "Carta Premia"</t>
  </si>
  <si>
    <t>WP 5 - Spese generali:premi assicurativi "Carta Premia"</t>
  </si>
  <si>
    <t>verticalizzazioni e implementazioni CRM e NAV</t>
  </si>
  <si>
    <t xml:space="preserve">SINTER &amp; NET </t>
  </si>
  <si>
    <t>07-105</t>
  </si>
  <si>
    <t>licenze MICOSOFT SQL SERVER  E OFFICE 2007 SBE</t>
  </si>
  <si>
    <t>LOGICA SRL</t>
  </si>
  <si>
    <t>A/256</t>
  </si>
  <si>
    <t>ACQUISTO N. 7 PC COMPLETI   + SERVER COMPLETO</t>
  </si>
  <si>
    <t>progetto di 53 mesi (36 + 6 +9,95+1,35)</t>
  </si>
  <si>
    <t>SAL 4 - 03/10/2007 - 30/09/2008</t>
  </si>
  <si>
    <t>TOT SAL 4</t>
  </si>
  <si>
    <t>SAL 4</t>
  </si>
  <si>
    <t>*</t>
  </si>
  <si>
    <t>eccede importo previsto</t>
  </si>
  <si>
    <t>SAL 5 - 01/10/2008 - 10/11/2008</t>
  </si>
  <si>
    <t>TOT SAL 5</t>
  </si>
  <si>
    <t>V</t>
  </si>
  <si>
    <t>WP 2.0 Individuazione ed Implementazione Procedure</t>
  </si>
  <si>
    <t>06-I-221</t>
  </si>
  <si>
    <t>WP 2.4 Standardizzazione Procedure Amministrative: Licenze WorkFlow Management "Flow Concert 4.0"</t>
  </si>
  <si>
    <t xml:space="preserve">SINTER&amp;NET </t>
  </si>
  <si>
    <t>06-I-106</t>
  </si>
  <si>
    <t>07-I-151</t>
  </si>
  <si>
    <t>31.10.2007</t>
  </si>
  <si>
    <t>30.11.2008</t>
  </si>
  <si>
    <t xml:space="preserve">WP 3 - Osservatorio regionale sul commecio </t>
  </si>
  <si>
    <t>ISCOM GROUP</t>
  </si>
  <si>
    <t>SAL 5</t>
  </si>
  <si>
    <t>BON. BANC.</t>
  </si>
  <si>
    <t>vedi V sal</t>
  </si>
  <si>
    <t>dal VI sal</t>
  </si>
  <si>
    <t>vedi recupero V sal</t>
  </si>
  <si>
    <t>dal III sal. Sono ammissibili, come da timesheet 16 gg x 350 euro</t>
  </si>
  <si>
    <t>manca la dim. Del pagamento</t>
  </si>
  <si>
    <r>
      <t>Borrelli</t>
    </r>
    <r>
      <rPr>
        <sz val="8"/>
        <rFont val="Arial"/>
        <family val="2"/>
      </rPr>
      <t xml:space="preserve"> (I) - Foldes (I) - Guidi (I) - Tramutola (II) - Ficarazzi (II) - Galante (II) - Cancellieri (III) - Cascia (III) - Ritella (III) - Leonzio (III) - Rufino (III) - Fine (III) - DeStefano (I)</t>
    </r>
  </si>
  <si>
    <t>Escluso Borrelli (presidente); 
Manca dim. Pagamento</t>
  </si>
  <si>
    <t>Manca dim. Pagamento</t>
  </si>
  <si>
    <t>WP 2.1 Progettazione e realizzazione di una Intranet (Portale Confcommercio)
WP 4.3 E-Quality e controllo di gestione</t>
  </si>
  <si>
    <t>massimo ammissibile (20% in piu)</t>
  </si>
  <si>
    <t>Rufino Gabriele risulta essere dipendente di una consociata (?) Sinter&amp;Net,. Non ammesso Borrelli perché presidente e non dipendente</t>
  </si>
  <si>
    <t>Non riconosciuto Borrelli che è presidente e non dipèndente</t>
  </si>
  <si>
    <t>Daniele (II) fascia e non (I). Lezzi non è dipendente e non ammesso</t>
  </si>
  <si>
    <t>si</t>
  </si>
  <si>
    <t>RENDICONTATO</t>
  </si>
  <si>
    <t>Anticipazione liquidata</t>
  </si>
  <si>
    <t>Liquidazioni provvisorie su S.A.L.</t>
  </si>
  <si>
    <t>Totale liquidato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</si>
</sst>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_-* #,##0.00_-;\-* #,##0.00_-;_-* &quot;-&quot;_-;_-@_-"/>
    <numFmt numFmtId="172" formatCode="#,##0.00_ ;\-#,##0.00\ "/>
    <numFmt numFmtId="173" formatCode="mmm\-yyyy"/>
    <numFmt numFmtId="174" formatCode="dd/mm/yy"/>
    <numFmt numFmtId="175" formatCode="[$-410]dddd\ d\ mmmm\ yyyy"/>
    <numFmt numFmtId="176" formatCode="#,##0.000"/>
    <numFmt numFmtId="177" formatCode="#,##0.0000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0.000"/>
  </numFmts>
  <fonts count="43">
    <font>
      <sz val="10"/>
      <name val="Arial"/>
      <family val="0"/>
    </font>
    <font>
      <b/>
      <sz val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8"/>
      <name val="Arial"/>
      <family val="2"/>
    </font>
    <font>
      <b/>
      <sz val="8"/>
      <color indexed="20"/>
      <name val="Arial"/>
      <family val="2"/>
    </font>
    <font>
      <b/>
      <sz val="8"/>
      <color indexed="6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Tahoma"/>
      <family val="2"/>
    </font>
    <font>
      <sz val="8"/>
      <color indexed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9"/>
      <name val="Tahoma"/>
      <family val="2"/>
    </font>
    <font>
      <sz val="8"/>
      <color indexed="10"/>
      <name val="Tahoma"/>
      <family val="2"/>
    </font>
    <font>
      <sz val="10"/>
      <color indexed="10"/>
      <name val="Tahoma"/>
      <family val="2"/>
    </font>
    <font>
      <sz val="8"/>
      <color indexed="12"/>
      <name val="Tahoma"/>
      <family val="2"/>
    </font>
    <font>
      <b/>
      <sz val="8"/>
      <color indexed="12"/>
      <name val="Tahoma"/>
      <family val="2"/>
    </font>
    <font>
      <b/>
      <sz val="10"/>
      <color indexed="12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1" applyNumberFormat="0" applyAlignment="0" applyProtection="0"/>
    <xf numFmtId="0" fontId="23" fillId="0" borderId="2" applyNumberFormat="0" applyFill="0" applyAlignment="0" applyProtection="0"/>
    <xf numFmtId="0" fontId="24" fillId="17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0" fillId="23" borderId="4" applyNumberFormat="0" applyFont="0" applyAlignment="0" applyProtection="0"/>
    <xf numFmtId="0" fontId="27" fillId="16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" borderId="0" applyNumberFormat="0" applyBorder="0" applyAlignment="0" applyProtection="0"/>
    <xf numFmtId="0" fontId="36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4">
    <xf numFmtId="0" fontId="0" fillId="0" borderId="0" xfId="0" applyAlignment="1">
      <alignment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4" fillId="0" borderId="0" xfId="0" applyNumberFormat="1" applyFont="1" applyFill="1" applyBorder="1" applyAlignment="1" applyProtection="1">
      <alignment vertical="top" wrapText="1"/>
      <protection locked="0"/>
    </xf>
    <xf numFmtId="0" fontId="16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11" xfId="0" applyFont="1" applyBorder="1" applyAlignment="1">
      <alignment/>
    </xf>
    <xf numFmtId="4" fontId="17" fillId="0" borderId="12" xfId="0" applyNumberFormat="1" applyFont="1" applyBorder="1" applyAlignment="1">
      <alignment/>
    </xf>
    <xf numFmtId="0" fontId="17" fillId="0" borderId="13" xfId="0" applyFont="1" applyBorder="1" applyAlignment="1">
      <alignment/>
    </xf>
    <xf numFmtId="4" fontId="17" fillId="0" borderId="13" xfId="0" applyNumberFormat="1" applyFont="1" applyBorder="1" applyAlignment="1">
      <alignment/>
    </xf>
    <xf numFmtId="0" fontId="17" fillId="0" borderId="14" xfId="0" applyFont="1" applyBorder="1" applyAlignment="1">
      <alignment/>
    </xf>
    <xf numFmtId="14" fontId="3" fillId="0" borderId="0" xfId="0" applyNumberFormat="1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0" xfId="0" applyFont="1" applyBorder="1" applyAlignment="1">
      <alignment/>
    </xf>
    <xf numFmtId="4" fontId="14" fillId="0" borderId="0" xfId="0" applyNumberFormat="1" applyFont="1" applyBorder="1" applyAlignment="1">
      <alignment/>
    </xf>
    <xf numFmtId="10" fontId="14" fillId="0" borderId="15" xfId="0" applyNumberFormat="1" applyFont="1" applyBorder="1" applyAlignment="1">
      <alignment/>
    </xf>
    <xf numFmtId="4" fontId="17" fillId="0" borderId="0" xfId="0" applyNumberFormat="1" applyFont="1" applyAlignment="1">
      <alignment/>
    </xf>
    <xf numFmtId="0" fontId="14" fillId="0" borderId="0" xfId="0" applyFont="1" applyAlignment="1">
      <alignment/>
    </xf>
    <xf numFmtId="4" fontId="14" fillId="0" borderId="15" xfId="0" applyNumberFormat="1" applyFont="1" applyBorder="1" applyAlignment="1">
      <alignment/>
    </xf>
    <xf numFmtId="0" fontId="17" fillId="0" borderId="16" xfId="0" applyFont="1" applyBorder="1" applyAlignment="1">
      <alignment/>
    </xf>
    <xf numFmtId="4" fontId="14" fillId="0" borderId="11" xfId="0" applyNumberFormat="1" applyFont="1" applyBorder="1" applyAlignment="1">
      <alignment/>
    </xf>
    <xf numFmtId="10" fontId="14" fillId="0" borderId="17" xfId="0" applyNumberFormat="1" applyFont="1" applyBorder="1" applyAlignment="1">
      <alignment/>
    </xf>
    <xf numFmtId="9" fontId="17" fillId="0" borderId="0" xfId="0" applyNumberFormat="1" applyFont="1" applyAlignment="1">
      <alignment/>
    </xf>
    <xf numFmtId="0" fontId="17" fillId="0" borderId="12" xfId="0" applyFont="1" applyBorder="1" applyAlignment="1">
      <alignment/>
    </xf>
    <xf numFmtId="4" fontId="14" fillId="0" borderId="13" xfId="0" applyNumberFormat="1" applyFont="1" applyBorder="1" applyAlignment="1">
      <alignment/>
    </xf>
    <xf numFmtId="4" fontId="14" fillId="0" borderId="17" xfId="0" applyNumberFormat="1" applyFont="1" applyBorder="1" applyAlignment="1">
      <alignment/>
    </xf>
    <xf numFmtId="4" fontId="14" fillId="0" borderId="0" xfId="0" applyNumberFormat="1" applyFont="1" applyAlignment="1">
      <alignment/>
    </xf>
    <xf numFmtId="0" fontId="18" fillId="0" borderId="18" xfId="0" applyFont="1" applyBorder="1" applyAlignment="1">
      <alignment horizontal="center" vertical="center" wrapText="1"/>
    </xf>
    <xf numFmtId="4" fontId="19" fillId="0" borderId="0" xfId="0" applyNumberFormat="1" applyFont="1" applyAlignment="1">
      <alignment/>
    </xf>
    <xf numFmtId="10" fontId="17" fillId="0" borderId="0" xfId="0" applyNumberFormat="1" applyFont="1" applyAlignment="1">
      <alignment/>
    </xf>
    <xf numFmtId="0" fontId="17" fillId="0" borderId="18" xfId="0" applyFont="1" applyBorder="1" applyAlignment="1">
      <alignment horizontal="center" wrapText="1"/>
    </xf>
    <xf numFmtId="0" fontId="17" fillId="0" borderId="18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24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4" fontId="4" fillId="0" borderId="10" xfId="0" applyNumberFormat="1" applyFont="1" applyBorder="1" applyAlignment="1" applyProtection="1">
      <alignment horizontal="left"/>
      <protection locked="0"/>
    </xf>
    <xf numFmtId="4" fontId="4" fillId="0" borderId="0" xfId="0" applyNumberFormat="1" applyFont="1" applyBorder="1" applyAlignment="1" applyProtection="1">
      <alignment horizontal="left"/>
      <protection locked="0"/>
    </xf>
    <xf numFmtId="4" fontId="4" fillId="0" borderId="13" xfId="0" applyNumberFormat="1" applyFont="1" applyBorder="1" applyAlignment="1" applyProtection="1">
      <alignment horizontal="right"/>
      <protection locked="0"/>
    </xf>
    <xf numFmtId="9" fontId="9" fillId="0" borderId="0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14" fontId="2" fillId="0" borderId="0" xfId="0" applyNumberFormat="1" applyFont="1" applyBorder="1" applyAlignment="1" applyProtection="1">
      <alignment/>
      <protection locked="0"/>
    </xf>
    <xf numFmtId="4" fontId="10" fillId="0" borderId="0" xfId="0" applyNumberFormat="1" applyFont="1" applyBorder="1" applyAlignment="1" applyProtection="1">
      <alignment/>
      <protection locked="0"/>
    </xf>
    <xf numFmtId="0" fontId="9" fillId="24" borderId="0" xfId="0" applyFont="1" applyFill="1" applyBorder="1" applyAlignment="1" applyProtection="1">
      <alignment/>
      <protection locked="0"/>
    </xf>
    <xf numFmtId="4" fontId="9" fillId="0" borderId="18" xfId="0" applyNumberFormat="1" applyFont="1" applyFill="1" applyBorder="1" applyAlignment="1" applyProtection="1">
      <alignment/>
      <protection locked="0"/>
    </xf>
    <xf numFmtId="4" fontId="9" fillId="0" borderId="18" xfId="0" applyNumberFormat="1" applyFont="1" applyBorder="1" applyAlignment="1" applyProtection="1">
      <alignment/>
      <protection locked="0"/>
    </xf>
    <xf numFmtId="4" fontId="9" fillId="24" borderId="18" xfId="0" applyNumberFormat="1" applyFont="1" applyFill="1" applyBorder="1" applyAlignment="1" applyProtection="1">
      <alignment/>
      <protection locked="0"/>
    </xf>
    <xf numFmtId="4" fontId="3" fillId="0" borderId="0" xfId="0" applyNumberFormat="1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4" fontId="9" fillId="0" borderId="10" xfId="0" applyNumberFormat="1" applyFont="1" applyBorder="1" applyAlignment="1" applyProtection="1">
      <alignment horizontal="left"/>
      <protection locked="0"/>
    </xf>
    <xf numFmtId="4" fontId="9" fillId="0" borderId="0" xfId="0" applyNumberFormat="1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right"/>
      <protection locked="0"/>
    </xf>
    <xf numFmtId="4" fontId="9" fillId="0" borderId="0" xfId="0" applyNumberFormat="1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/>
      <protection locked="0"/>
    </xf>
    <xf numFmtId="4" fontId="9" fillId="0" borderId="0" xfId="0" applyNumberFormat="1" applyFont="1" applyBorder="1" applyAlignment="1" applyProtection="1">
      <alignment/>
      <protection locked="0"/>
    </xf>
    <xf numFmtId="4" fontId="1" fillId="0" borderId="18" xfId="0" applyNumberFormat="1" applyFont="1" applyFill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14" fontId="9" fillId="0" borderId="0" xfId="0" applyNumberFormat="1" applyFont="1" applyBorder="1" applyAlignment="1" applyProtection="1">
      <alignment horizontal="left"/>
      <protection locked="0"/>
    </xf>
    <xf numFmtId="14" fontId="9" fillId="0" borderId="0" xfId="0" applyNumberFormat="1" applyFont="1" applyBorder="1" applyAlignment="1" applyProtection="1">
      <alignment/>
      <protection locked="0"/>
    </xf>
    <xf numFmtId="0" fontId="4" fillId="25" borderId="19" xfId="0" applyFont="1" applyFill="1" applyBorder="1" applyAlignment="1" applyProtection="1">
      <alignment horizontal="center" vertical="center" wrapText="1"/>
      <protection locked="0"/>
    </xf>
    <xf numFmtId="0" fontId="4" fillId="25" borderId="20" xfId="0" applyFont="1" applyFill="1" applyBorder="1" applyAlignment="1" applyProtection="1">
      <alignment horizontal="center" vertical="center" wrapText="1"/>
      <protection locked="0"/>
    </xf>
    <xf numFmtId="0" fontId="1" fillId="25" borderId="20" xfId="0" applyFont="1" applyFill="1" applyBorder="1" applyAlignment="1" applyProtection="1">
      <alignment horizontal="left"/>
      <protection locked="0"/>
    </xf>
    <xf numFmtId="0" fontId="1" fillId="25" borderId="20" xfId="0" applyFont="1" applyFill="1" applyBorder="1" applyAlignment="1" applyProtection="1">
      <alignment horizontal="center"/>
      <protection locked="0"/>
    </xf>
    <xf numFmtId="4" fontId="1" fillId="25" borderId="20" xfId="0" applyNumberFormat="1" applyFont="1" applyFill="1" applyBorder="1" applyAlignment="1" applyProtection="1">
      <alignment horizontal="center"/>
      <protection locked="0"/>
    </xf>
    <xf numFmtId="4" fontId="1" fillId="25" borderId="21" xfId="0" applyNumberFormat="1" applyFont="1" applyFill="1" applyBorder="1" applyAlignment="1" applyProtection="1">
      <alignment horizontal="center"/>
      <protection locked="0"/>
    </xf>
    <xf numFmtId="0" fontId="3" fillId="25" borderId="0" xfId="0" applyFont="1" applyFill="1" applyBorder="1" applyAlignment="1" applyProtection="1">
      <alignment/>
      <protection locked="0"/>
    </xf>
    <xf numFmtId="4" fontId="4" fillId="0" borderId="10" xfId="0" applyNumberFormat="1" applyFont="1" applyBorder="1" applyAlignment="1" applyProtection="1">
      <alignment horizontal="right"/>
      <protection locked="0"/>
    </xf>
    <xf numFmtId="4" fontId="4" fillId="0" borderId="0" xfId="0" applyNumberFormat="1" applyFont="1" applyBorder="1" applyAlignment="1" applyProtection="1">
      <alignment horizontal="right"/>
      <protection locked="0"/>
    </xf>
    <xf numFmtId="4" fontId="4" fillId="0" borderId="15" xfId="0" applyNumberFormat="1" applyFont="1" applyBorder="1" applyAlignment="1" applyProtection="1">
      <alignment horizontal="right"/>
      <protection locked="0"/>
    </xf>
    <xf numFmtId="4" fontId="4" fillId="24" borderId="22" xfId="0" applyNumberFormat="1" applyFont="1" applyFill="1" applyBorder="1" applyAlignment="1" applyProtection="1">
      <alignment horizontal="right"/>
      <protection locked="0"/>
    </xf>
    <xf numFmtId="4" fontId="4" fillId="24" borderId="18" xfId="0" applyNumberFormat="1" applyFont="1" applyFill="1" applyBorder="1" applyAlignment="1" applyProtection="1">
      <alignment/>
      <protection locked="0"/>
    </xf>
    <xf numFmtId="4" fontId="4" fillId="0" borderId="22" xfId="0" applyNumberFormat="1" applyFont="1" applyBorder="1" applyAlignment="1" applyProtection="1">
      <alignment/>
      <protection locked="0"/>
    </xf>
    <xf numFmtId="4" fontId="4" fillId="0" borderId="0" xfId="0" applyNumberFormat="1" applyFont="1" applyBorder="1" applyAlignment="1" applyProtection="1">
      <alignment/>
      <protection locked="0"/>
    </xf>
    <xf numFmtId="4" fontId="5" fillId="0" borderId="10" xfId="0" applyNumberFormat="1" applyFont="1" applyBorder="1" applyAlignment="1" applyProtection="1">
      <alignment horizontal="right"/>
      <protection locked="0"/>
    </xf>
    <xf numFmtId="4" fontId="5" fillId="0" borderId="0" xfId="0" applyNumberFormat="1" applyFont="1" applyBorder="1" applyAlignment="1" applyProtection="1">
      <alignment horizontal="right"/>
      <protection locked="0"/>
    </xf>
    <xf numFmtId="4" fontId="5" fillId="0" borderId="18" xfId="0" applyNumberFormat="1" applyFont="1" applyBorder="1" applyAlignment="1" applyProtection="1">
      <alignment/>
      <protection locked="0"/>
    </xf>
    <xf numFmtId="4" fontId="5" fillId="24" borderId="20" xfId="0" applyNumberFormat="1" applyFont="1" applyFill="1" applyBorder="1" applyAlignment="1" applyProtection="1">
      <alignment horizontal="right"/>
      <protection locked="0"/>
    </xf>
    <xf numFmtId="4" fontId="5" fillId="0" borderId="18" xfId="0" applyNumberFormat="1" applyFont="1" applyFill="1" applyBorder="1" applyAlignment="1" applyProtection="1">
      <alignment/>
      <protection locked="0"/>
    </xf>
    <xf numFmtId="4" fontId="5" fillId="24" borderId="18" xfId="0" applyNumberFormat="1" applyFont="1" applyFill="1" applyBorder="1" applyAlignment="1" applyProtection="1">
      <alignment/>
      <protection locked="0"/>
    </xf>
    <xf numFmtId="4" fontId="6" fillId="0" borderId="18" xfId="0" applyNumberFormat="1" applyFont="1" applyBorder="1" applyAlignment="1" applyProtection="1">
      <alignment/>
      <protection locked="0"/>
    </xf>
    <xf numFmtId="4" fontId="5" fillId="0" borderId="15" xfId="0" applyNumberFormat="1" applyFont="1" applyBorder="1" applyAlignment="1" applyProtection="1">
      <alignment horizontal="right"/>
      <protection locked="0"/>
    </xf>
    <xf numFmtId="4" fontId="7" fillId="0" borderId="16" xfId="0" applyNumberFormat="1" applyFont="1" applyBorder="1" applyAlignment="1" applyProtection="1">
      <alignment horizontal="right"/>
      <protection locked="0"/>
    </xf>
    <xf numFmtId="4" fontId="7" fillId="0" borderId="11" xfId="0" applyNumberFormat="1" applyFont="1" applyBorder="1" applyAlignment="1" applyProtection="1">
      <alignment horizontal="right"/>
      <protection locked="0"/>
    </xf>
    <xf numFmtId="4" fontId="7" fillId="0" borderId="17" xfId="0" applyNumberFormat="1" applyFont="1" applyBorder="1" applyAlignment="1" applyProtection="1">
      <alignment horizontal="right"/>
      <protection locked="0"/>
    </xf>
    <xf numFmtId="4" fontId="7" fillId="24" borderId="20" xfId="0" applyNumberFormat="1" applyFont="1" applyFill="1" applyBorder="1" applyAlignment="1" applyProtection="1">
      <alignment horizontal="right"/>
      <protection locked="0"/>
    </xf>
    <xf numFmtId="4" fontId="7" fillId="0" borderId="18" xfId="0" applyNumberFormat="1" applyFont="1" applyFill="1" applyBorder="1" applyAlignment="1" applyProtection="1">
      <alignment/>
      <protection locked="0"/>
    </xf>
    <xf numFmtId="4" fontId="7" fillId="0" borderId="18" xfId="0" applyNumberFormat="1" applyFont="1" applyBorder="1" applyAlignment="1" applyProtection="1">
      <alignment/>
      <protection locked="0"/>
    </xf>
    <xf numFmtId="4" fontId="7" fillId="24" borderId="18" xfId="0" applyNumberFormat="1" applyFont="1" applyFill="1" applyBorder="1" applyAlignment="1" applyProtection="1">
      <alignment/>
      <protection locked="0"/>
    </xf>
    <xf numFmtId="4" fontId="1" fillId="0" borderId="0" xfId="0" applyNumberFormat="1" applyFont="1" applyBorder="1" applyAlignment="1" applyProtection="1">
      <alignment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8" fillId="24" borderId="18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4" fontId="15" fillId="0" borderId="22" xfId="0" applyNumberFormat="1" applyFont="1" applyBorder="1" applyAlignment="1" applyProtection="1">
      <alignment horizontal="right" wrapText="1"/>
      <protection locked="0"/>
    </xf>
    <xf numFmtId="4" fontId="15" fillId="24" borderId="18" xfId="0" applyNumberFormat="1" applyFont="1" applyFill="1" applyBorder="1" applyAlignment="1" applyProtection="1">
      <alignment horizontal="right" wrapText="1"/>
      <protection locked="0"/>
    </xf>
    <xf numFmtId="4" fontId="3" fillId="24" borderId="18" xfId="0" applyNumberFormat="1" applyFont="1" applyFill="1" applyBorder="1" applyAlignment="1" applyProtection="1">
      <alignment/>
      <protection locked="0"/>
    </xf>
    <xf numFmtId="4" fontId="3" fillId="0" borderId="18" xfId="0" applyNumberFormat="1" applyFont="1" applyBorder="1" applyAlignment="1" applyProtection="1">
      <alignment/>
      <protection locked="0"/>
    </xf>
    <xf numFmtId="0" fontId="3" fillId="0" borderId="18" xfId="0" applyFont="1" applyBorder="1" applyAlignment="1" applyProtection="1">
      <alignment horizontal="left" wrapText="1"/>
      <protection locked="0"/>
    </xf>
    <xf numFmtId="4" fontId="1" fillId="0" borderId="18" xfId="0" applyNumberFormat="1" applyFont="1" applyBorder="1" applyAlignment="1" applyProtection="1">
      <alignment horizontal="center" vertical="center" wrapText="1"/>
      <protection locked="0"/>
    </xf>
    <xf numFmtId="0" fontId="15" fillId="0" borderId="22" xfId="0" applyFont="1" applyBorder="1" applyAlignment="1" applyProtection="1">
      <alignment horizontal="center" vertical="center" wrapText="1"/>
      <protection locked="0"/>
    </xf>
    <xf numFmtId="0" fontId="8" fillId="22" borderId="18" xfId="0" applyFont="1" applyFill="1" applyBorder="1" applyAlignment="1" applyProtection="1">
      <alignment horizontal="center" vertical="center" wrapText="1"/>
      <protection locked="0"/>
    </xf>
    <xf numFmtId="0" fontId="3" fillId="22" borderId="18" xfId="0" applyFont="1" applyFill="1" applyBorder="1" applyAlignment="1" applyProtection="1">
      <alignment wrapText="1"/>
      <protection locked="0"/>
    </xf>
    <xf numFmtId="0" fontId="1" fillId="22" borderId="22" xfId="0" applyFont="1" applyFill="1" applyBorder="1" applyAlignment="1" applyProtection="1">
      <alignment horizontal="center" vertical="center" wrapText="1"/>
      <protection locked="0"/>
    </xf>
    <xf numFmtId="0" fontId="8" fillId="22" borderId="22" xfId="0" applyFont="1" applyFill="1" applyBorder="1" applyAlignment="1" applyProtection="1">
      <alignment horizontal="center" vertical="center" wrapText="1"/>
      <protection locked="0"/>
    </xf>
    <xf numFmtId="4" fontId="1" fillId="22" borderId="18" xfId="0" applyNumberFormat="1" applyFont="1" applyFill="1" applyBorder="1" applyAlignment="1" applyProtection="1">
      <alignment horizontal="center" vertical="center" wrapText="1"/>
      <protection locked="0"/>
    </xf>
    <xf numFmtId="4" fontId="15" fillId="22" borderId="22" xfId="0" applyNumberFormat="1" applyFont="1" applyFill="1" applyBorder="1" applyAlignment="1" applyProtection="1">
      <alignment horizontal="right" wrapText="1"/>
      <protection locked="0"/>
    </xf>
    <xf numFmtId="4" fontId="3" fillId="22" borderId="18" xfId="0" applyNumberFormat="1" applyFont="1" applyFill="1" applyBorder="1" applyAlignment="1" applyProtection="1">
      <alignment/>
      <protection locked="0"/>
    </xf>
    <xf numFmtId="0" fontId="3" fillId="22" borderId="0" xfId="0" applyFont="1" applyFill="1" applyBorder="1" applyAlignment="1" applyProtection="1">
      <alignment/>
      <protection locked="0"/>
    </xf>
    <xf numFmtId="4" fontId="15" fillId="24" borderId="22" xfId="0" applyNumberFormat="1" applyFont="1" applyFill="1" applyBorder="1" applyAlignment="1" applyProtection="1">
      <alignment horizontal="right" wrapText="1"/>
      <protection locked="0"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Fill="1" applyBorder="1" applyAlignment="1" applyProtection="1">
      <alignment horizontal="center" vertical="center" wrapText="1"/>
      <protection locked="0"/>
    </xf>
    <xf numFmtId="4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22" xfId="0" applyNumberFormat="1" applyFont="1" applyFill="1" applyBorder="1" applyAlignment="1" applyProtection="1">
      <alignment horizontal="right" wrapText="1"/>
      <protection locked="0"/>
    </xf>
    <xf numFmtId="0" fontId="1" fillId="0" borderId="18" xfId="0" applyFont="1" applyFill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/>
      <protection locked="0"/>
    </xf>
    <xf numFmtId="14" fontId="3" fillId="0" borderId="18" xfId="0" applyNumberFormat="1" applyFont="1" applyBorder="1" applyAlignment="1" applyProtection="1">
      <alignment/>
      <protection locked="0"/>
    </xf>
    <xf numFmtId="14" fontId="3" fillId="0" borderId="18" xfId="0" applyNumberFormat="1" applyFont="1" applyBorder="1" applyAlignment="1" applyProtection="1">
      <alignment/>
      <protection locked="0"/>
    </xf>
    <xf numFmtId="0" fontId="1" fillId="0" borderId="18" xfId="0" applyFont="1" applyBorder="1" applyAlignment="1" applyProtection="1">
      <alignment horizontal="center"/>
      <protection locked="0"/>
    </xf>
    <xf numFmtId="4" fontId="3" fillId="0" borderId="22" xfId="0" applyNumberFormat="1" applyFont="1" applyBorder="1" applyAlignment="1" applyProtection="1">
      <alignment/>
      <protection locked="0"/>
    </xf>
    <xf numFmtId="4" fontId="3" fillId="0" borderId="18" xfId="0" applyNumberFormat="1" applyFont="1" applyFill="1" applyBorder="1" applyAlignment="1" applyProtection="1">
      <alignment/>
      <protection locked="0"/>
    </xf>
    <xf numFmtId="4" fontId="4" fillId="24" borderId="18" xfId="0" applyNumberFormat="1" applyFont="1" applyFill="1" applyBorder="1" applyAlignment="1" applyProtection="1">
      <alignment horizontal="right"/>
      <protection locked="0"/>
    </xf>
    <xf numFmtId="4" fontId="4" fillId="0" borderId="22" xfId="0" applyNumberFormat="1" applyFont="1" applyFill="1" applyBorder="1" applyAlignment="1" applyProtection="1">
      <alignment/>
      <protection locked="0"/>
    </xf>
    <xf numFmtId="4" fontId="1" fillId="0" borderId="0" xfId="0" applyNumberFormat="1" applyFont="1" applyBorder="1" applyAlignment="1" applyProtection="1">
      <alignment horizontal="center"/>
      <protection locked="0"/>
    </xf>
    <xf numFmtId="4" fontId="5" fillId="24" borderId="18" xfId="0" applyNumberFormat="1" applyFont="1" applyFill="1" applyBorder="1" applyAlignment="1" applyProtection="1">
      <alignment horizontal="right"/>
      <protection locked="0"/>
    </xf>
    <xf numFmtId="4" fontId="5" fillId="0" borderId="23" xfId="0" applyNumberFormat="1" applyFont="1" applyBorder="1" applyAlignment="1" applyProtection="1">
      <alignment horizontal="right"/>
      <protection locked="0"/>
    </xf>
    <xf numFmtId="4" fontId="5" fillId="0" borderId="24" xfId="0" applyNumberFormat="1" applyFont="1" applyBorder="1" applyAlignment="1" applyProtection="1">
      <alignment horizontal="right"/>
      <protection locked="0"/>
    </xf>
    <xf numFmtId="4" fontId="7" fillId="24" borderId="18" xfId="0" applyNumberFormat="1" applyFont="1" applyFill="1" applyBorder="1" applyAlignment="1" applyProtection="1">
      <alignment horizontal="right"/>
      <protection locked="0"/>
    </xf>
    <xf numFmtId="16" fontId="3" fillId="0" borderId="18" xfId="0" applyNumberFormat="1" applyFont="1" applyBorder="1" applyAlignment="1" applyProtection="1" quotePrefix="1">
      <alignment horizontal="center"/>
      <protection locked="0"/>
    </xf>
    <xf numFmtId="0" fontId="14" fillId="0" borderId="19" xfId="0" applyFont="1" applyBorder="1" applyAlignment="1" applyProtection="1">
      <alignment wrapText="1"/>
      <protection locked="0"/>
    </xf>
    <xf numFmtId="0" fontId="14" fillId="0" borderId="18" xfId="0" applyFont="1" applyBorder="1" applyAlignment="1" applyProtection="1">
      <alignment wrapText="1"/>
      <protection locked="0"/>
    </xf>
    <xf numFmtId="0" fontId="14" fillId="0" borderId="18" xfId="0" applyFont="1" applyBorder="1" applyAlignment="1" applyProtection="1">
      <alignment horizontal="right"/>
      <protection locked="0"/>
    </xf>
    <xf numFmtId="14" fontId="14" fillId="0" borderId="18" xfId="0" applyNumberFormat="1" applyFont="1" applyBorder="1" applyAlignment="1" applyProtection="1">
      <alignment/>
      <protection locked="0"/>
    </xf>
    <xf numFmtId="4" fontId="14" fillId="0" borderId="18" xfId="0" applyNumberFormat="1" applyFont="1" applyBorder="1" applyAlignment="1" applyProtection="1">
      <alignment/>
      <protection locked="0"/>
    </xf>
    <xf numFmtId="4" fontId="14" fillId="24" borderId="18" xfId="0" applyNumberFormat="1" applyFont="1" applyFill="1" applyBorder="1" applyAlignment="1" applyProtection="1">
      <alignment/>
      <protection locked="0"/>
    </xf>
    <xf numFmtId="4" fontId="3" fillId="0" borderId="18" xfId="0" applyNumberFormat="1" applyFont="1" applyFill="1" applyBorder="1" applyAlignment="1" applyProtection="1">
      <alignment/>
      <protection locked="0"/>
    </xf>
    <xf numFmtId="4" fontId="3" fillId="24" borderId="18" xfId="0" applyNumberFormat="1" applyFont="1" applyFill="1" applyBorder="1" applyAlignment="1" applyProtection="1">
      <alignment/>
      <protection locked="0"/>
    </xf>
    <xf numFmtId="4" fontId="3" fillId="0" borderId="18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14" fillId="0" borderId="18" xfId="0" applyFont="1" applyBorder="1" applyAlignment="1" applyProtection="1">
      <alignment/>
      <protection locked="0"/>
    </xf>
    <xf numFmtId="14" fontId="14" fillId="0" borderId="18" xfId="0" applyNumberFormat="1" applyFont="1" applyBorder="1" applyAlignment="1" applyProtection="1">
      <alignment horizontal="right"/>
      <protection locked="0"/>
    </xf>
    <xf numFmtId="4" fontId="2" fillId="0" borderId="18" xfId="0" applyNumberFormat="1" applyFont="1" applyFill="1" applyBorder="1" applyAlignment="1" applyProtection="1">
      <alignment/>
      <protection locked="0"/>
    </xf>
    <xf numFmtId="4" fontId="14" fillId="0" borderId="18" xfId="0" applyNumberFormat="1" applyFont="1" applyBorder="1" applyAlignment="1" applyProtection="1">
      <alignment horizontal="right"/>
      <protection locked="0"/>
    </xf>
    <xf numFmtId="2" fontId="14" fillId="0" borderId="18" xfId="0" applyNumberFormat="1" applyFont="1" applyBorder="1" applyAlignment="1" applyProtection="1">
      <alignment/>
      <protection locked="0"/>
    </xf>
    <xf numFmtId="4" fontId="14" fillId="24" borderId="18" xfId="0" applyNumberFormat="1" applyFont="1" applyFill="1" applyBorder="1" applyAlignment="1" applyProtection="1">
      <alignment horizontal="right"/>
      <protection locked="0"/>
    </xf>
    <xf numFmtId="2" fontId="14" fillId="24" borderId="18" xfId="0" applyNumberFormat="1" applyFont="1" applyFill="1" applyBorder="1" applyAlignment="1" applyProtection="1">
      <alignment horizontal="right"/>
      <protection locked="0"/>
    </xf>
    <xf numFmtId="0" fontId="1" fillId="22" borderId="18" xfId="0" applyFont="1" applyFill="1" applyBorder="1" applyAlignment="1" applyProtection="1">
      <alignment horizontal="center"/>
      <protection locked="0"/>
    </xf>
    <xf numFmtId="16" fontId="3" fillId="22" borderId="18" xfId="0" applyNumberFormat="1" applyFont="1" applyFill="1" applyBorder="1" applyAlignment="1" applyProtection="1" quotePrefix="1">
      <alignment horizontal="center"/>
      <protection locked="0"/>
    </xf>
    <xf numFmtId="0" fontId="14" fillId="22" borderId="19" xfId="0" applyFont="1" applyFill="1" applyBorder="1" applyAlignment="1" applyProtection="1">
      <alignment wrapText="1"/>
      <protection locked="0"/>
    </xf>
    <xf numFmtId="0" fontId="14" fillId="22" borderId="18" xfId="0" applyFont="1" applyFill="1" applyBorder="1" applyAlignment="1" applyProtection="1">
      <alignment/>
      <protection locked="0"/>
    </xf>
    <xf numFmtId="14" fontId="14" fillId="22" borderId="18" xfId="0" applyNumberFormat="1" applyFont="1" applyFill="1" applyBorder="1" applyAlignment="1" applyProtection="1">
      <alignment/>
      <protection locked="0"/>
    </xf>
    <xf numFmtId="4" fontId="14" fillId="22" borderId="18" xfId="0" applyNumberFormat="1" applyFont="1" applyFill="1" applyBorder="1" applyAlignment="1" applyProtection="1">
      <alignment/>
      <protection locked="0"/>
    </xf>
    <xf numFmtId="4" fontId="3" fillId="22" borderId="18" xfId="0" applyNumberFormat="1" applyFont="1" applyFill="1" applyBorder="1" applyAlignment="1" applyProtection="1">
      <alignment/>
      <protection locked="0"/>
    </xf>
    <xf numFmtId="0" fontId="3" fillId="22" borderId="0" xfId="0" applyFont="1" applyFill="1" applyBorder="1" applyAlignment="1" applyProtection="1">
      <alignment/>
      <protection locked="0"/>
    </xf>
    <xf numFmtId="0" fontId="14" fillId="22" borderId="22" xfId="0" applyFont="1" applyFill="1" applyBorder="1" applyAlignment="1" applyProtection="1">
      <alignment/>
      <protection locked="0"/>
    </xf>
    <xf numFmtId="14" fontId="14" fillId="22" borderId="22" xfId="0" applyNumberFormat="1" applyFont="1" applyFill="1" applyBorder="1" applyAlignment="1" applyProtection="1">
      <alignment/>
      <protection locked="0"/>
    </xf>
    <xf numFmtId="4" fontId="14" fillId="22" borderId="22" xfId="0" applyNumberFormat="1" applyFont="1" applyFill="1" applyBorder="1" applyAlignment="1" applyProtection="1">
      <alignment/>
      <protection locked="0"/>
    </xf>
    <xf numFmtId="4" fontId="3" fillId="22" borderId="22" xfId="0" applyNumberFormat="1" applyFont="1" applyFill="1" applyBorder="1" applyAlignment="1" applyProtection="1">
      <alignment/>
      <protection locked="0"/>
    </xf>
    <xf numFmtId="4" fontId="3" fillId="24" borderId="22" xfId="0" applyNumberFormat="1" applyFont="1" applyFill="1" applyBorder="1" applyAlignment="1" applyProtection="1">
      <alignment/>
      <protection locked="0"/>
    </xf>
    <xf numFmtId="0" fontId="8" fillId="0" borderId="18" xfId="0" applyFont="1" applyFill="1" applyBorder="1" applyAlignment="1" applyProtection="1">
      <alignment horizontal="center" wrapText="1"/>
      <protection locked="0"/>
    </xf>
    <xf numFmtId="0" fontId="3" fillId="0" borderId="18" xfId="0" applyFont="1" applyFill="1" applyBorder="1" applyAlignment="1" applyProtection="1">
      <alignment horizontal="left" wrapText="1"/>
      <protection locked="0"/>
    </xf>
    <xf numFmtId="0" fontId="3" fillId="0" borderId="22" xfId="0" applyFont="1" applyFill="1" applyBorder="1" applyAlignment="1" applyProtection="1">
      <alignment horizontal="left" wrapText="1"/>
      <protection locked="0"/>
    </xf>
    <xf numFmtId="0" fontId="15" fillId="0" borderId="22" xfId="0" applyFont="1" applyFill="1" applyBorder="1" applyAlignment="1" applyProtection="1">
      <alignment horizontal="left" wrapText="1"/>
      <protection locked="0"/>
    </xf>
    <xf numFmtId="14" fontId="15" fillId="0" borderId="22" xfId="0" applyNumberFormat="1" applyFont="1" applyFill="1" applyBorder="1" applyAlignment="1" applyProtection="1">
      <alignment horizontal="left" wrapText="1"/>
      <protection locked="0"/>
    </xf>
    <xf numFmtId="14" fontId="3" fillId="0" borderId="22" xfId="0" applyNumberFormat="1" applyFont="1" applyFill="1" applyBorder="1" applyAlignment="1" applyProtection="1">
      <alignment horizontal="left" wrapText="1"/>
      <protection locked="0"/>
    </xf>
    <xf numFmtId="4" fontId="3" fillId="0" borderId="18" xfId="0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14" fillId="0" borderId="22" xfId="0" applyFont="1" applyBorder="1" applyAlignment="1" applyProtection="1">
      <alignment/>
      <protection locked="0"/>
    </xf>
    <xf numFmtId="14" fontId="14" fillId="0" borderId="22" xfId="0" applyNumberFormat="1" applyFont="1" applyBorder="1" applyAlignment="1" applyProtection="1">
      <alignment/>
      <protection locked="0"/>
    </xf>
    <xf numFmtId="4" fontId="14" fillId="0" borderId="22" xfId="0" applyNumberFormat="1" applyFont="1" applyBorder="1" applyAlignment="1" applyProtection="1">
      <alignment/>
      <protection locked="0"/>
    </xf>
    <xf numFmtId="14" fontId="3" fillId="0" borderId="18" xfId="0" applyNumberFormat="1" applyFont="1" applyBorder="1" applyAlignment="1" applyProtection="1">
      <alignment wrapText="1"/>
      <protection locked="0"/>
    </xf>
    <xf numFmtId="0" fontId="5" fillId="0" borderId="18" xfId="0" applyFont="1" applyBorder="1" applyAlignment="1" applyProtection="1">
      <alignment/>
      <protection locked="0"/>
    </xf>
    <xf numFmtId="4" fontId="5" fillId="0" borderId="21" xfId="0" applyNumberFormat="1" applyFont="1" applyBorder="1" applyAlignment="1" applyProtection="1">
      <alignment/>
      <protection locked="0"/>
    </xf>
    <xf numFmtId="4" fontId="5" fillId="24" borderId="21" xfId="0" applyNumberFormat="1" applyFont="1" applyFill="1" applyBorder="1" applyAlignment="1" applyProtection="1">
      <alignment/>
      <protection locked="0"/>
    </xf>
    <xf numFmtId="4" fontId="6" fillId="0" borderId="21" xfId="0" applyNumberFormat="1" applyFont="1" applyBorder="1" applyAlignment="1" applyProtection="1">
      <alignment/>
      <protection locked="0"/>
    </xf>
    <xf numFmtId="4" fontId="6" fillId="0" borderId="0" xfId="0" applyNumberFormat="1" applyFont="1" applyBorder="1" applyAlignment="1" applyProtection="1">
      <alignment/>
      <protection locked="0"/>
    </xf>
    <xf numFmtId="0" fontId="7" fillId="0" borderId="18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24" borderId="0" xfId="0" applyFont="1" applyFill="1" applyBorder="1" applyAlignment="1" applyProtection="1">
      <alignment/>
      <protection locked="0"/>
    </xf>
    <xf numFmtId="0" fontId="1" fillId="0" borderId="18" xfId="0" applyFont="1" applyBorder="1" applyAlignment="1" applyProtection="1">
      <alignment/>
      <protection locked="0"/>
    </xf>
    <xf numFmtId="4" fontId="4" fillId="24" borderId="11" xfId="0" applyNumberFormat="1" applyFont="1" applyFill="1" applyBorder="1" applyAlignment="1" applyProtection="1">
      <alignment horizontal="right"/>
      <protection locked="0"/>
    </xf>
    <xf numFmtId="14" fontId="3" fillId="0" borderId="18" xfId="0" applyNumberFormat="1" applyFont="1" applyBorder="1" applyAlignment="1" applyProtection="1">
      <alignment horizontal="center"/>
      <protection locked="0"/>
    </xf>
    <xf numFmtId="14" fontId="3" fillId="0" borderId="18" xfId="0" applyNumberFormat="1" applyFont="1" applyBorder="1" applyAlignment="1" applyProtection="1">
      <alignment horizontal="center" wrapText="1"/>
      <protection locked="0"/>
    </xf>
    <xf numFmtId="14" fontId="3" fillId="0" borderId="18" xfId="0" applyNumberFormat="1" applyFont="1" applyBorder="1" applyAlignment="1" applyProtection="1">
      <alignment horizontal="right" wrapText="1"/>
      <protection locked="0"/>
    </xf>
    <xf numFmtId="170" fontId="3" fillId="24" borderId="18" xfId="0" applyNumberFormat="1" applyFont="1" applyFill="1" applyBorder="1" applyAlignment="1" applyProtection="1">
      <alignment/>
      <protection locked="0"/>
    </xf>
    <xf numFmtId="14" fontId="15" fillId="0" borderId="22" xfId="0" applyNumberFormat="1" applyFont="1" applyFill="1" applyBorder="1" applyAlignment="1" applyProtection="1">
      <alignment horizontal="center" wrapText="1"/>
      <protection locked="0"/>
    </xf>
    <xf numFmtId="14" fontId="3" fillId="0" borderId="22" xfId="0" applyNumberFormat="1" applyFont="1" applyFill="1" applyBorder="1" applyAlignment="1" applyProtection="1">
      <alignment horizontal="center" wrapText="1"/>
      <protection locked="0"/>
    </xf>
    <xf numFmtId="0" fontId="3" fillId="26" borderId="18" xfId="0" applyFont="1" applyFill="1" applyBorder="1" applyAlignment="1" applyProtection="1">
      <alignment/>
      <protection locked="0"/>
    </xf>
    <xf numFmtId="0" fontId="3" fillId="26" borderId="18" xfId="0" applyFont="1" applyFill="1" applyBorder="1" applyAlignment="1" applyProtection="1">
      <alignment horizontal="center"/>
      <protection locked="0"/>
    </xf>
    <xf numFmtId="14" fontId="3" fillId="26" borderId="18" xfId="0" applyNumberFormat="1" applyFont="1" applyFill="1" applyBorder="1" applyAlignment="1" applyProtection="1">
      <alignment horizontal="center"/>
      <protection locked="0"/>
    </xf>
    <xf numFmtId="14" fontId="3" fillId="0" borderId="18" xfId="0" applyNumberFormat="1" applyFont="1" applyBorder="1" applyAlignment="1" applyProtection="1">
      <alignment horizontal="justify" wrapText="1"/>
      <protection locked="0"/>
    </xf>
    <xf numFmtId="171" fontId="3" fillId="26" borderId="18" xfId="46" applyNumberFormat="1" applyFont="1" applyFill="1" applyBorder="1" applyAlignment="1" applyProtection="1">
      <alignment horizontal="right"/>
      <protection locked="0"/>
    </xf>
    <xf numFmtId="171" fontId="3" fillId="0" borderId="18" xfId="46" applyNumberFormat="1" applyFont="1" applyBorder="1" applyAlignment="1" applyProtection="1">
      <alignment horizontal="right"/>
      <protection locked="0"/>
    </xf>
    <xf numFmtId="171" fontId="3" fillId="24" borderId="18" xfId="46" applyNumberFormat="1" applyFont="1" applyFill="1" applyBorder="1" applyAlignment="1" applyProtection="1">
      <alignment horizontal="right"/>
      <protection locked="0"/>
    </xf>
    <xf numFmtId="170" fontId="3" fillId="0" borderId="18" xfId="0" applyNumberFormat="1" applyFont="1" applyBorder="1" applyAlignment="1" applyProtection="1">
      <alignment/>
      <protection locked="0"/>
    </xf>
    <xf numFmtId="0" fontId="15" fillId="0" borderId="22" xfId="0" applyFont="1" applyBorder="1" applyAlignment="1" applyProtection="1">
      <alignment horizontal="left" vertical="center" wrapText="1"/>
      <protection locked="0"/>
    </xf>
    <xf numFmtId="0" fontId="3" fillId="0" borderId="22" xfId="0" applyFont="1" applyBorder="1" applyAlignment="1" applyProtection="1">
      <alignment horizontal="left" vertical="center" wrapText="1"/>
      <protection locked="0"/>
    </xf>
    <xf numFmtId="0" fontId="15" fillId="0" borderId="22" xfId="0" applyFont="1" applyBorder="1" applyAlignment="1" applyProtection="1">
      <alignment horizontal="right" vertical="center" wrapText="1"/>
      <protection locked="0"/>
    </xf>
    <xf numFmtId="0" fontId="15" fillId="24" borderId="18" xfId="0" applyFont="1" applyFill="1" applyBorder="1" applyAlignment="1" applyProtection="1">
      <alignment horizontal="right" vertical="center" wrapText="1"/>
      <protection locked="0"/>
    </xf>
    <xf numFmtId="0" fontId="15" fillId="0" borderId="18" xfId="0" applyFont="1" applyFill="1" applyBorder="1" applyAlignment="1" applyProtection="1">
      <alignment horizontal="right" vertical="center" wrapText="1"/>
      <protection locked="0"/>
    </xf>
    <xf numFmtId="0" fontId="15" fillId="24" borderId="18" xfId="0" applyFont="1" applyFill="1" applyBorder="1" applyAlignment="1" applyProtection="1">
      <alignment horizontal="center" vertical="center" wrapText="1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 applyProtection="1">
      <alignment horizontal="center" vertical="center" wrapText="1"/>
      <protection locked="0"/>
    </xf>
    <xf numFmtId="0" fontId="8" fillId="24" borderId="25" xfId="0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center" wrapText="1"/>
      <protection locked="0"/>
    </xf>
    <xf numFmtId="0" fontId="14" fillId="0" borderId="19" xfId="0" applyFont="1" applyBorder="1" applyAlignment="1" applyProtection="1">
      <alignment/>
      <protection locked="0"/>
    </xf>
    <xf numFmtId="4" fontId="14" fillId="0" borderId="18" xfId="0" applyNumberFormat="1" applyFont="1" applyFill="1" applyBorder="1" applyAlignment="1" applyProtection="1">
      <alignment/>
      <protection locked="0"/>
    </xf>
    <xf numFmtId="4" fontId="15" fillId="0" borderId="18" xfId="0" applyNumberFormat="1" applyFont="1" applyBorder="1" applyAlignment="1" applyProtection="1">
      <alignment horizontal="right" wrapText="1"/>
      <protection locked="0"/>
    </xf>
    <xf numFmtId="0" fontId="1" fillId="0" borderId="18" xfId="0" applyFont="1" applyBorder="1" applyAlignment="1" applyProtection="1">
      <alignment horizontal="center" wrapText="1"/>
      <protection locked="0"/>
    </xf>
    <xf numFmtId="0" fontId="8" fillId="0" borderId="18" xfId="0" applyFont="1" applyBorder="1" applyAlignment="1" applyProtection="1">
      <alignment horizontal="center" wrapText="1"/>
      <protection locked="0"/>
    </xf>
    <xf numFmtId="0" fontId="8" fillId="24" borderId="25" xfId="0" applyFont="1" applyFill="1" applyBorder="1" applyAlignment="1" applyProtection="1">
      <alignment horizontal="center" wrapText="1"/>
      <protection locked="0"/>
    </xf>
    <xf numFmtId="0" fontId="14" fillId="0" borderId="19" xfId="0" applyFont="1" applyBorder="1" applyAlignment="1" applyProtection="1">
      <alignment horizontal="left"/>
      <protection locked="0"/>
    </xf>
    <xf numFmtId="0" fontId="14" fillId="0" borderId="18" xfId="0" applyFont="1" applyBorder="1" applyAlignment="1" applyProtection="1">
      <alignment horizontal="left" wrapText="1"/>
      <protection locked="0"/>
    </xf>
    <xf numFmtId="14" fontId="14" fillId="0" borderId="18" xfId="0" applyNumberFormat="1" applyFont="1" applyBorder="1" applyAlignment="1" applyProtection="1">
      <alignment horizontal="left"/>
      <protection locked="0"/>
    </xf>
    <xf numFmtId="0" fontId="15" fillId="0" borderId="18" xfId="0" applyFont="1" applyBorder="1" applyAlignment="1" applyProtection="1">
      <alignment horizontal="right" wrapText="1"/>
      <protection locked="0"/>
    </xf>
    <xf numFmtId="0" fontId="15" fillId="24" borderId="25" xfId="0" applyFont="1" applyFill="1" applyBorder="1" applyAlignment="1" applyProtection="1">
      <alignment horizontal="right" wrapText="1"/>
      <protection locked="0"/>
    </xf>
    <xf numFmtId="4" fontId="15" fillId="24" borderId="25" xfId="0" applyNumberFormat="1" applyFont="1" applyFill="1" applyBorder="1" applyAlignment="1" applyProtection="1">
      <alignment horizontal="right" wrapText="1"/>
      <protection locked="0"/>
    </xf>
    <xf numFmtId="4" fontId="8" fillId="0" borderId="18" xfId="0" applyNumberFormat="1" applyFont="1" applyBorder="1" applyAlignment="1" applyProtection="1">
      <alignment horizontal="center" wrapText="1"/>
      <protection locked="0"/>
    </xf>
    <xf numFmtId="0" fontId="8" fillId="0" borderId="25" xfId="0" applyFont="1" applyFill="1" applyBorder="1" applyAlignment="1" applyProtection="1">
      <alignment horizontal="center" wrapText="1"/>
      <protection locked="0"/>
    </xf>
    <xf numFmtId="0" fontId="15" fillId="0" borderId="18" xfId="0" applyFont="1" applyBorder="1" applyAlignment="1" applyProtection="1">
      <alignment horizontal="left" wrapText="1"/>
      <protection locked="0"/>
    </xf>
    <xf numFmtId="0" fontId="14" fillId="0" borderId="18" xfId="0" applyFont="1" applyBorder="1" applyAlignment="1" applyProtection="1" quotePrefix="1">
      <alignment horizontal="left" wrapText="1"/>
      <protection locked="0"/>
    </xf>
    <xf numFmtId="43" fontId="3" fillId="0" borderId="0" xfId="0" applyNumberFormat="1" applyFont="1" applyBorder="1" applyAlignment="1" applyProtection="1">
      <alignment/>
      <protection locked="0"/>
    </xf>
    <xf numFmtId="4" fontId="3" fillId="24" borderId="0" xfId="0" applyNumberFormat="1" applyFont="1" applyFill="1" applyBorder="1" applyAlignment="1" applyProtection="1">
      <alignment/>
      <protection locked="0"/>
    </xf>
    <xf numFmtId="0" fontId="37" fillId="0" borderId="0" xfId="0" applyFont="1" applyBorder="1" applyAlignment="1">
      <alignment/>
    </xf>
    <xf numFmtId="4" fontId="16" fillId="0" borderId="0" xfId="0" applyNumberFormat="1" applyFont="1" applyBorder="1" applyAlignment="1">
      <alignment horizontal="center"/>
    </xf>
    <xf numFmtId="0" fontId="17" fillId="0" borderId="0" xfId="0" applyFont="1" applyBorder="1" applyAlignment="1" quotePrefix="1">
      <alignment/>
    </xf>
    <xf numFmtId="0" fontId="3" fillId="0" borderId="19" xfId="0" applyFont="1" applyBorder="1" applyAlignment="1" applyProtection="1">
      <alignment horizontal="center" wrapText="1"/>
      <protection locked="0"/>
    </xf>
    <xf numFmtId="0" fontId="3" fillId="0" borderId="21" xfId="0" applyFont="1" applyBorder="1" applyAlignment="1" applyProtection="1">
      <alignment horizontal="center" wrapText="1"/>
      <protection locked="0"/>
    </xf>
    <xf numFmtId="0" fontId="15" fillId="0" borderId="19" xfId="0" applyFont="1" applyBorder="1" applyAlignment="1" applyProtection="1">
      <alignment horizontal="left" vertical="center" wrapText="1"/>
      <protection locked="0"/>
    </xf>
    <xf numFmtId="0" fontId="15" fillId="0" borderId="21" xfId="0" applyFont="1" applyBorder="1" applyAlignment="1" applyProtection="1">
      <alignment horizontal="left" vertical="center" wrapText="1"/>
      <protection locked="0"/>
    </xf>
    <xf numFmtId="0" fontId="3" fillId="0" borderId="19" xfId="0" applyFont="1" applyBorder="1" applyAlignment="1" applyProtection="1">
      <alignment horizontal="left" wrapText="1"/>
      <protection locked="0"/>
    </xf>
    <xf numFmtId="0" fontId="3" fillId="0" borderId="21" xfId="0" applyFont="1" applyBorder="1" applyAlignment="1" applyProtection="1">
      <alignment horizontal="left" wrapText="1"/>
      <protection locked="0"/>
    </xf>
    <xf numFmtId="0" fontId="3" fillId="0" borderId="19" xfId="0" applyFont="1" applyFill="1" applyBorder="1" applyAlignment="1" applyProtection="1">
      <alignment horizontal="left" wrapText="1"/>
      <protection locked="0"/>
    </xf>
    <xf numFmtId="0" fontId="3" fillId="0" borderId="21" xfId="0" applyFont="1" applyFill="1" applyBorder="1" applyAlignment="1" applyProtection="1">
      <alignment horizontal="left" wrapText="1"/>
      <protection locked="0"/>
    </xf>
    <xf numFmtId="4" fontId="15" fillId="0" borderId="18" xfId="0" applyNumberFormat="1" applyFont="1" applyFill="1" applyBorder="1" applyAlignment="1" applyProtection="1">
      <alignment horizontal="right" wrapText="1"/>
      <protection locked="0"/>
    </xf>
    <xf numFmtId="4" fontId="15" fillId="24" borderId="18" xfId="0" applyNumberFormat="1" applyFont="1" applyFill="1" applyBorder="1" applyAlignment="1" applyProtection="1">
      <alignment horizontal="center" wrapText="1"/>
      <protection locked="0"/>
    </xf>
    <xf numFmtId="4" fontId="15" fillId="0" borderId="18" xfId="0" applyNumberFormat="1" applyFont="1" applyBorder="1" applyAlignment="1" applyProtection="1">
      <alignment horizontal="center" wrapText="1"/>
      <protection locked="0"/>
    </xf>
    <xf numFmtId="4" fontId="38" fillId="0" borderId="14" xfId="0" applyNumberFormat="1" applyFont="1" applyBorder="1" applyAlignment="1">
      <alignment/>
    </xf>
    <xf numFmtId="10" fontId="39" fillId="0" borderId="0" xfId="0" applyNumberFormat="1" applyFont="1" applyAlignment="1">
      <alignment/>
    </xf>
    <xf numFmtId="4" fontId="38" fillId="0" borderId="15" xfId="0" applyNumberFormat="1" applyFont="1" applyBorder="1" applyAlignment="1">
      <alignment/>
    </xf>
    <xf numFmtId="4" fontId="4" fillId="0" borderId="18" xfId="0" applyNumberFormat="1" applyFont="1" applyFill="1" applyBorder="1" applyAlignment="1" applyProtection="1">
      <alignment/>
      <protection locked="0"/>
    </xf>
    <xf numFmtId="0" fontId="3" fillId="0" borderId="18" xfId="0" applyFont="1" applyFill="1" applyBorder="1" applyAlignment="1" applyProtection="1">
      <alignment wrapText="1"/>
      <protection locked="0"/>
    </xf>
    <xf numFmtId="4" fontId="39" fillId="0" borderId="0" xfId="0" applyNumberFormat="1" applyFont="1" applyAlignment="1">
      <alignment/>
    </xf>
    <xf numFmtId="10" fontId="38" fillId="0" borderId="0" xfId="0" applyNumberFormat="1" applyFont="1" applyAlignment="1">
      <alignment/>
    </xf>
    <xf numFmtId="0" fontId="3" fillId="0" borderId="21" xfId="0" applyFont="1" applyFill="1" applyBorder="1" applyAlignment="1" applyProtection="1">
      <alignment horizontal="left" wrapText="1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3" fillId="0" borderId="12" xfId="0" applyFont="1" applyBorder="1" applyAlignment="1" applyProtection="1">
      <alignment horizontal="left" wrapText="1"/>
      <protection locked="0"/>
    </xf>
    <xf numFmtId="0" fontId="3" fillId="0" borderId="14" xfId="0" applyFont="1" applyBorder="1" applyAlignment="1" applyProtection="1">
      <alignment horizontal="left" wrapText="1"/>
      <protection locked="0"/>
    </xf>
    <xf numFmtId="0" fontId="3" fillId="22" borderId="19" xfId="0" applyFont="1" applyFill="1" applyBorder="1" applyAlignment="1" applyProtection="1">
      <alignment horizontal="left" wrapText="1"/>
      <protection locked="0"/>
    </xf>
    <xf numFmtId="0" fontId="3" fillId="22" borderId="21" xfId="0" applyFont="1" applyFill="1" applyBorder="1" applyAlignment="1" applyProtection="1">
      <alignment horizontal="left" wrapText="1"/>
      <protection locked="0"/>
    </xf>
    <xf numFmtId="0" fontId="3" fillId="22" borderId="18" xfId="0" applyFont="1" applyFill="1" applyBorder="1" applyAlignment="1" applyProtection="1">
      <alignment horizontal="left" wrapText="1"/>
      <protection locked="0"/>
    </xf>
    <xf numFmtId="0" fontId="13" fillId="0" borderId="19" xfId="0" applyFont="1" applyBorder="1" applyAlignment="1" applyProtection="1">
      <alignment horizontal="center"/>
      <protection locked="0"/>
    </xf>
    <xf numFmtId="0" fontId="13" fillId="0" borderId="20" xfId="0" applyFont="1" applyBorder="1" applyAlignment="1" applyProtection="1">
      <alignment horizontal="center"/>
      <protection locked="0"/>
    </xf>
    <xf numFmtId="0" fontId="13" fillId="0" borderId="21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left" vertical="center" wrapText="1"/>
      <protection locked="0"/>
    </xf>
    <xf numFmtId="0" fontId="15" fillId="0" borderId="21" xfId="0" applyFont="1" applyBorder="1" applyAlignment="1" applyProtection="1">
      <alignment horizontal="left" vertical="center" wrapText="1"/>
      <protection locked="0"/>
    </xf>
    <xf numFmtId="0" fontId="3" fillId="0" borderId="19" xfId="0" applyFont="1" applyBorder="1" applyAlignment="1" applyProtection="1">
      <alignment horizontal="left" wrapText="1"/>
      <protection locked="0"/>
    </xf>
    <xf numFmtId="0" fontId="3" fillId="0" borderId="21" xfId="0" applyFont="1" applyBorder="1" applyAlignment="1" applyProtection="1">
      <alignment horizontal="left" wrapText="1"/>
      <protection locked="0"/>
    </xf>
    <xf numFmtId="0" fontId="3" fillId="0" borderId="18" xfId="0" applyFont="1" applyBorder="1" applyAlignment="1" applyProtection="1">
      <alignment horizontal="left" wrapText="1"/>
      <protection locked="0"/>
    </xf>
    <xf numFmtId="0" fontId="3" fillId="0" borderId="19" xfId="0" applyFont="1" applyFill="1" applyBorder="1" applyAlignment="1" applyProtection="1">
      <alignment horizontal="center" wrapText="1"/>
      <protection locked="0"/>
    </xf>
    <xf numFmtId="0" fontId="3" fillId="0" borderId="21" xfId="0" applyFont="1" applyFill="1" applyBorder="1" applyAlignment="1" applyProtection="1">
      <alignment horizontal="center" wrapText="1"/>
      <protection locked="0"/>
    </xf>
    <xf numFmtId="0" fontId="3" fillId="0" borderId="19" xfId="0" applyFont="1" applyFill="1" applyBorder="1" applyAlignment="1" applyProtection="1">
      <alignment horizontal="center" wrapText="1"/>
      <protection locked="0"/>
    </xf>
    <xf numFmtId="0" fontId="3" fillId="0" borderId="21" xfId="0" applyFont="1" applyFill="1" applyBorder="1" applyAlignment="1" applyProtection="1">
      <alignment horizontal="center" wrapText="1"/>
      <protection locked="0"/>
    </xf>
    <xf numFmtId="0" fontId="3" fillId="0" borderId="19" xfId="0" applyFont="1" applyFill="1" applyBorder="1" applyAlignment="1" applyProtection="1">
      <alignment horizontal="left" wrapText="1"/>
      <protection locked="0"/>
    </xf>
    <xf numFmtId="0" fontId="18" fillId="0" borderId="18" xfId="0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/>
    </xf>
    <xf numFmtId="0" fontId="17" fillId="0" borderId="18" xfId="0" applyFont="1" applyBorder="1" applyAlignment="1">
      <alignment horizontal="left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7" fillId="0" borderId="19" xfId="0" applyFont="1" applyBorder="1" applyAlignment="1">
      <alignment horizontal="left" wrapText="1"/>
    </xf>
    <xf numFmtId="0" fontId="17" fillId="0" borderId="20" xfId="0" applyFont="1" applyBorder="1" applyAlignment="1">
      <alignment horizontal="left" wrapText="1"/>
    </xf>
    <xf numFmtId="0" fontId="17" fillId="0" borderId="21" xfId="0" applyFont="1" applyBorder="1" applyAlignment="1">
      <alignment horizontal="left" wrapText="1"/>
    </xf>
    <xf numFmtId="0" fontId="16" fillId="0" borderId="0" xfId="0" applyFont="1" applyBorder="1" applyAlignment="1">
      <alignment horizontal="center"/>
    </xf>
    <xf numFmtId="0" fontId="17" fillId="0" borderId="19" xfId="0" applyFont="1" applyBorder="1" applyAlignment="1">
      <alignment horizontal="left"/>
    </xf>
    <xf numFmtId="0" fontId="17" fillId="0" borderId="20" xfId="0" applyFont="1" applyBorder="1" applyAlignment="1">
      <alignment horizontal="left"/>
    </xf>
    <xf numFmtId="0" fontId="17" fillId="0" borderId="21" xfId="0" applyFont="1" applyBorder="1" applyAlignment="1">
      <alignment horizontal="left"/>
    </xf>
    <xf numFmtId="0" fontId="16" fillId="0" borderId="1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3" fillId="0" borderId="19" xfId="0" applyFont="1" applyFill="1" applyBorder="1" applyAlignment="1" applyProtection="1">
      <alignment horizontal="left" wrapText="1"/>
      <protection locked="0"/>
    </xf>
    <xf numFmtId="0" fontId="3" fillId="0" borderId="21" xfId="0" applyFont="1" applyFill="1" applyBorder="1" applyAlignment="1" applyProtection="1">
      <alignment horizontal="left" wrapText="1"/>
      <protection locked="0"/>
    </xf>
    <xf numFmtId="0" fontId="3" fillId="0" borderId="18" xfId="0" applyFont="1" applyBorder="1" applyAlignment="1" applyProtection="1">
      <alignment horizontal="center" wrapText="1"/>
      <protection locked="0"/>
    </xf>
    <xf numFmtId="0" fontId="3" fillId="0" borderId="19" xfId="0" applyFont="1" applyBorder="1" applyAlignment="1" applyProtection="1">
      <alignment horizontal="center" wrapText="1"/>
      <protection locked="0"/>
    </xf>
    <xf numFmtId="0" fontId="3" fillId="0" borderId="21" xfId="0" applyFont="1" applyBorder="1" applyAlignment="1" applyProtection="1">
      <alignment horizontal="center" wrapText="1"/>
      <protection locked="0"/>
    </xf>
    <xf numFmtId="0" fontId="2" fillId="0" borderId="19" xfId="0" applyFont="1" applyBorder="1" applyAlignment="1" applyProtection="1">
      <alignment horizontal="center" wrapText="1"/>
      <protection locked="0"/>
    </xf>
    <xf numFmtId="0" fontId="2" fillId="0" borderId="21" xfId="0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4" fontId="4" fillId="0" borderId="13" xfId="0" applyNumberFormat="1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right"/>
      <protection locked="0"/>
    </xf>
    <xf numFmtId="0" fontId="4" fillId="25" borderId="20" xfId="0" applyFont="1" applyFill="1" applyBorder="1" applyAlignment="1" applyProtection="1">
      <alignment horizontal="center" vertical="center" wrapText="1"/>
      <protection locked="0"/>
    </xf>
    <xf numFmtId="0" fontId="4" fillId="25" borderId="21" xfId="0" applyFont="1" applyFill="1" applyBorder="1" applyAlignment="1" applyProtection="1">
      <alignment horizontal="center" vertical="center" wrapText="1"/>
      <protection locked="0"/>
    </xf>
    <xf numFmtId="4" fontId="4" fillId="0" borderId="12" xfId="0" applyNumberFormat="1" applyFont="1" applyBorder="1" applyAlignment="1" applyProtection="1">
      <alignment horizontal="right"/>
      <protection locked="0"/>
    </xf>
    <xf numFmtId="4" fontId="4" fillId="0" borderId="14" xfId="0" applyNumberFormat="1" applyFont="1" applyBorder="1" applyAlignment="1" applyProtection="1">
      <alignment horizontal="right"/>
      <protection locked="0"/>
    </xf>
    <xf numFmtId="4" fontId="7" fillId="0" borderId="16" xfId="0" applyNumberFormat="1" applyFont="1" applyBorder="1" applyAlignment="1" applyProtection="1">
      <alignment horizontal="right"/>
      <protection locked="0"/>
    </xf>
    <xf numFmtId="4" fontId="7" fillId="0" borderId="11" xfId="0" applyNumberFormat="1" applyFont="1" applyBorder="1" applyAlignment="1" applyProtection="1">
      <alignment horizontal="right"/>
      <protection locked="0"/>
    </xf>
    <xf numFmtId="4" fontId="7" fillId="0" borderId="17" xfId="0" applyNumberFormat="1" applyFont="1" applyBorder="1" applyAlignment="1" applyProtection="1">
      <alignment horizontal="right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25" borderId="19" xfId="0" applyFont="1" applyFill="1" applyBorder="1" applyAlignment="1" applyProtection="1">
      <alignment horizontal="center" vertical="center" wrapText="1"/>
      <protection locked="0"/>
    </xf>
    <xf numFmtId="0" fontId="4" fillId="25" borderId="19" xfId="0" applyFont="1" applyFill="1" applyBorder="1" applyAlignment="1" applyProtection="1">
      <alignment horizontal="center"/>
      <protection locked="0"/>
    </xf>
    <xf numFmtId="0" fontId="4" fillId="25" borderId="20" xfId="0" applyFont="1" applyFill="1" applyBorder="1" applyAlignment="1" applyProtection="1">
      <alignment horizontal="center"/>
      <protection locked="0"/>
    </xf>
    <xf numFmtId="0" fontId="4" fillId="25" borderId="21" xfId="0" applyFont="1" applyFill="1" applyBorder="1" applyAlignment="1" applyProtection="1">
      <alignment horizontal="center"/>
      <protection locked="0"/>
    </xf>
    <xf numFmtId="4" fontId="4" fillId="0" borderId="10" xfId="0" applyNumberFormat="1" applyFont="1" applyBorder="1" applyAlignment="1" applyProtection="1">
      <alignment horizontal="right"/>
      <protection locked="0"/>
    </xf>
    <xf numFmtId="4" fontId="4" fillId="0" borderId="0" xfId="0" applyNumberFormat="1" applyFont="1" applyBorder="1" applyAlignment="1" applyProtection="1">
      <alignment horizontal="right"/>
      <protection locked="0"/>
    </xf>
    <xf numFmtId="4" fontId="4" fillId="0" borderId="15" xfId="0" applyNumberFormat="1" applyFont="1" applyBorder="1" applyAlignment="1" applyProtection="1">
      <alignment horizontal="right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4" fontId="40" fillId="0" borderId="0" xfId="0" applyNumberFormat="1" applyFont="1" applyAlignment="1">
      <alignment/>
    </xf>
    <xf numFmtId="43" fontId="40" fillId="0" borderId="0" xfId="45" applyFont="1" applyAlignment="1">
      <alignment/>
    </xf>
    <xf numFmtId="43" fontId="41" fillId="0" borderId="0" xfId="45" applyFont="1" applyBorder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Alignment="1">
      <alignment/>
    </xf>
    <xf numFmtId="0" fontId="42" fillId="0" borderId="0" xfId="0" applyFont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4"/>
  <sheetViews>
    <sheetView tabSelected="1" zoomScalePageLayoutView="0" workbookViewId="0" topLeftCell="A31">
      <selection activeCell="F7" sqref="F7"/>
    </sheetView>
  </sheetViews>
  <sheetFormatPr defaultColWidth="9.140625" defaultRowHeight="12.75"/>
  <cols>
    <col min="1" max="1" width="9.140625" style="4" customWidth="1"/>
    <col min="2" max="2" width="9.7109375" style="4" customWidth="1"/>
    <col min="3" max="3" width="9.421875" style="4" customWidth="1"/>
    <col min="4" max="4" width="11.140625" style="4" customWidth="1"/>
    <col min="5" max="5" width="12.57421875" style="4" customWidth="1"/>
    <col min="6" max="6" width="11.28125" style="4" bestFit="1" customWidth="1"/>
    <col min="7" max="7" width="12.421875" style="4" customWidth="1"/>
    <col min="8" max="8" width="11.140625" style="4" customWidth="1"/>
    <col min="9" max="9" width="14.57421875" style="4" customWidth="1"/>
    <col min="10" max="10" width="10.140625" style="4" customWidth="1"/>
    <col min="11" max="11" width="11.7109375" style="4" customWidth="1"/>
    <col min="12" max="16384" width="9.140625" style="4" customWidth="1"/>
  </cols>
  <sheetData>
    <row r="2" spans="1:11" ht="12.75">
      <c r="A2" s="283" t="s">
        <v>131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</row>
    <row r="5" ht="12.75">
      <c r="D5" s="5"/>
    </row>
    <row r="6" spans="1:10" ht="12.75">
      <c r="A6" s="6" t="s">
        <v>0</v>
      </c>
      <c r="B6" s="7"/>
      <c r="C6" s="8" t="s">
        <v>132</v>
      </c>
      <c r="E6" s="9"/>
      <c r="I6" s="4" t="s">
        <v>105</v>
      </c>
      <c r="J6" s="10">
        <v>38141</v>
      </c>
    </row>
    <row r="7" spans="1:10" ht="12.75">
      <c r="A7" s="11" t="s">
        <v>34</v>
      </c>
      <c r="B7" s="12"/>
      <c r="C7" s="12"/>
      <c r="D7" s="13">
        <f>+Complessivo!G3</f>
        <v>3845266</v>
      </c>
      <c r="E7" s="14">
        <f>+Complessivo!H3</f>
        <v>0.6658424566726983</v>
      </c>
      <c r="G7" s="15"/>
      <c r="I7" s="4" t="s">
        <v>106</v>
      </c>
      <c r="J7" s="10">
        <v>39762</v>
      </c>
    </row>
    <row r="8" spans="1:9" ht="12.75">
      <c r="A8" s="11" t="s">
        <v>35</v>
      </c>
      <c r="B8" s="12"/>
      <c r="C8" s="12"/>
      <c r="D8" s="13">
        <f>+Complessivo!G4</f>
        <v>2499422.9</v>
      </c>
      <c r="E8" s="14">
        <f>+Complessivo!H4</f>
        <v>0.6532119416446093</v>
      </c>
      <c r="I8" s="16" t="s">
        <v>314</v>
      </c>
    </row>
    <row r="9" spans="1:5" ht="12.75">
      <c r="A9" s="11" t="s">
        <v>36</v>
      </c>
      <c r="B9" s="12"/>
      <c r="C9" s="12"/>
      <c r="D9" s="13">
        <f>+Complessivo!G5</f>
        <v>577.1000000000931</v>
      </c>
      <c r="E9" s="14"/>
    </row>
    <row r="10" spans="1:10" ht="12.75">
      <c r="A10" s="18" t="s">
        <v>37</v>
      </c>
      <c r="B10" s="5"/>
      <c r="C10" s="5"/>
      <c r="D10" s="19">
        <f>+Complessivo!G6</f>
        <v>2500000</v>
      </c>
      <c r="E10" s="20">
        <f>+Complessivo!H6</f>
        <v>0.6656887536</v>
      </c>
      <c r="I10" s="16" t="s">
        <v>107</v>
      </c>
      <c r="J10" s="21">
        <v>0.65</v>
      </c>
    </row>
    <row r="12" spans="4:9" ht="12.75">
      <c r="D12" s="331" t="s">
        <v>108</v>
      </c>
      <c r="E12" s="331" t="s">
        <v>109</v>
      </c>
      <c r="F12" s="331" t="s">
        <v>110</v>
      </c>
      <c r="G12" s="332"/>
      <c r="H12" s="332"/>
      <c r="I12" s="333" t="s">
        <v>349</v>
      </c>
    </row>
    <row r="13" spans="1:11" ht="12.75">
      <c r="A13" s="22" t="s">
        <v>6</v>
      </c>
      <c r="B13" s="7"/>
      <c r="C13" s="7"/>
      <c r="D13" s="23">
        <f>+Complessivo!M11</f>
        <v>1024292.9999999999</v>
      </c>
      <c r="E13" s="245">
        <f>+Complessivo!M17</f>
        <v>-204858.60000000015</v>
      </c>
      <c r="F13" s="13">
        <f>+D13-E13</f>
        <v>1229151.6</v>
      </c>
      <c r="G13" s="251" t="s">
        <v>344</v>
      </c>
      <c r="I13" s="328">
        <f>SUM(Complessivo!O19:O54)</f>
        <v>1768069.43</v>
      </c>
      <c r="K13" s="15"/>
    </row>
    <row r="14" spans="1:9" ht="12.75">
      <c r="A14" s="11" t="s">
        <v>7</v>
      </c>
      <c r="B14" s="12"/>
      <c r="C14" s="12"/>
      <c r="D14" s="13">
        <f>+Complessivo!M58</f>
        <v>1857960</v>
      </c>
      <c r="E14" s="17">
        <f>+Complessivo!M64</f>
        <v>995871.2500000002</v>
      </c>
      <c r="F14" s="13">
        <f aca="true" t="shared" si="0" ref="F14:F19">+D14-E14</f>
        <v>862088.7499999998</v>
      </c>
      <c r="I14" s="328">
        <f>SUM(Complessivo!J66:J133)-Complessivo!J103-Complessivo!J104-Complessivo!J132-Complessivo!J133</f>
        <v>984705.3599999999</v>
      </c>
    </row>
    <row r="15" spans="1:9" ht="12.75">
      <c r="A15" s="11" t="s">
        <v>1</v>
      </c>
      <c r="B15" s="12"/>
      <c r="C15" s="12"/>
      <c r="D15" s="13">
        <f>+Complessivo!M140</f>
        <v>0</v>
      </c>
      <c r="E15" s="247">
        <f>+Complessivo!M146</f>
        <v>0</v>
      </c>
      <c r="F15" s="13">
        <f t="shared" si="0"/>
        <v>0</v>
      </c>
      <c r="I15" s="328">
        <f>SUM(Complessivo!J149:J157)</f>
        <v>129177.17</v>
      </c>
    </row>
    <row r="16" spans="1:11" ht="12.75">
      <c r="A16" s="11" t="s">
        <v>8</v>
      </c>
      <c r="B16" s="12"/>
      <c r="C16" s="12"/>
      <c r="D16" s="13">
        <f>+Complessivo!M162</f>
        <v>160000</v>
      </c>
      <c r="E16" s="247">
        <f>+Complessivo!M168</f>
        <v>-32435.829999999987</v>
      </c>
      <c r="F16" s="13">
        <f t="shared" si="0"/>
        <v>192435.83</v>
      </c>
      <c r="G16" s="250"/>
      <c r="I16" s="328">
        <f>SUM(Complessivo!J170:J175)</f>
        <v>194235.83000000002</v>
      </c>
      <c r="K16" s="15"/>
    </row>
    <row r="17" spans="1:9" ht="12.75">
      <c r="A17" s="11" t="s">
        <v>23</v>
      </c>
      <c r="B17" s="12"/>
      <c r="C17" s="12"/>
      <c r="D17" s="13">
        <f>+Complessivo!M179</f>
        <v>90000</v>
      </c>
      <c r="E17" s="17">
        <f>+Complessivo!M185</f>
        <v>-15285.699999999997</v>
      </c>
      <c r="F17" s="13">
        <f t="shared" si="0"/>
        <v>105285.7</v>
      </c>
      <c r="G17" s="246"/>
      <c r="I17" s="329">
        <f>SUM(Complessivo!J187:J230)</f>
        <v>105290.49999999999</v>
      </c>
    </row>
    <row r="18" spans="1:9" ht="12.75">
      <c r="A18" s="11" t="s">
        <v>9</v>
      </c>
      <c r="B18" s="12"/>
      <c r="C18" s="12"/>
      <c r="D18" s="13">
        <f>+Complessivo!M235</f>
        <v>360000</v>
      </c>
      <c r="E18" s="17">
        <f>+Complessivo!M241</f>
        <v>318256.9</v>
      </c>
      <c r="F18" s="13">
        <f t="shared" si="0"/>
        <v>41743.09999999998</v>
      </c>
      <c r="I18" s="328">
        <f>SUM(Complessivo!J243:J246)</f>
        <v>41743.1</v>
      </c>
    </row>
    <row r="19" spans="1:9" ht="12.75">
      <c r="A19" s="18" t="s">
        <v>10</v>
      </c>
      <c r="B19" s="5"/>
      <c r="C19" s="5"/>
      <c r="D19" s="19">
        <f>+Complessivo!M251</f>
        <v>353013</v>
      </c>
      <c r="E19" s="24">
        <f>+Complessivo!M257</f>
        <v>271944.31000000006</v>
      </c>
      <c r="F19" s="13">
        <f t="shared" si="0"/>
        <v>81068.68999999994</v>
      </c>
      <c r="I19" s="328">
        <f>SUM(Complessivo!J259:J298)+Complessivo!L285+Complessivo!L286+Complessivo!L287+Complessivo!L288+Complessivo!L289+Complessivo!L290+Complessivo!L291-Complessivo!J267</f>
        <v>82826.01000000001</v>
      </c>
    </row>
    <row r="20" spans="4:9" ht="12.75">
      <c r="D20" s="27">
        <f>SUM(D13:D19)</f>
        <v>3845266</v>
      </c>
      <c r="E20" s="27">
        <f>SUM(E13:E19)</f>
        <v>1333492.3300000003</v>
      </c>
      <c r="F20" s="27">
        <f>SUM(F13:F19)</f>
        <v>2511773.67</v>
      </c>
      <c r="H20" s="12"/>
      <c r="I20" s="330">
        <f>SUM(I13:I19)</f>
        <v>3306047.4000000004</v>
      </c>
    </row>
    <row r="22" spans="4:11" ht="21">
      <c r="D22" s="26" t="s">
        <v>21</v>
      </c>
      <c r="E22" s="26" t="s">
        <v>111</v>
      </c>
      <c r="F22" s="274" t="s">
        <v>112</v>
      </c>
      <c r="G22" s="26" t="s">
        <v>22</v>
      </c>
      <c r="H22" s="26" t="s">
        <v>113</v>
      </c>
      <c r="I22" s="274" t="s">
        <v>114</v>
      </c>
      <c r="J22" s="26" t="s">
        <v>115</v>
      </c>
      <c r="K22" s="26" t="s">
        <v>116</v>
      </c>
    </row>
    <row r="23" spans="1:11" ht="12.75">
      <c r="A23" s="4" t="s">
        <v>117</v>
      </c>
      <c r="D23" s="25">
        <f>+Complessivo!M3</f>
        <v>2511773.67</v>
      </c>
      <c r="E23" s="25">
        <f>+Complessivo!N3</f>
        <v>48567.689999999995</v>
      </c>
      <c r="F23" s="27">
        <f>+Complessivo!O3</f>
        <v>2560341.36</v>
      </c>
      <c r="G23" s="25">
        <f>+Complessivo!P3</f>
        <v>1632652.8855</v>
      </c>
      <c r="H23" s="25">
        <f>+Complessivo!Q3</f>
        <v>31568.9985</v>
      </c>
      <c r="I23" s="27">
        <f>+Complessivo!R3</f>
        <v>1664221.884</v>
      </c>
      <c r="J23" s="25">
        <f>+Complessivo!S3</f>
        <v>750000</v>
      </c>
      <c r="K23" s="25">
        <f>+Complessivo!T3</f>
        <v>914221.8840000001</v>
      </c>
    </row>
    <row r="24" spans="1:12" ht="12.75">
      <c r="A24" s="15" t="s">
        <v>133</v>
      </c>
      <c r="B24" s="15"/>
      <c r="D24" s="25">
        <f>+Complessivo!M4</f>
        <v>371348.06</v>
      </c>
      <c r="E24" s="25">
        <f>+Complessivo!N4</f>
        <v>17379.291999999998</v>
      </c>
      <c r="F24" s="25">
        <f>+Complessivo!O4</f>
        <v>388727.35199999996</v>
      </c>
      <c r="G24" s="25">
        <f>+Complessivo!P4</f>
        <v>241376.239</v>
      </c>
      <c r="H24" s="25">
        <f>+Complessivo!Q4</f>
        <v>11296.539799999999</v>
      </c>
      <c r="I24" s="25">
        <f>+Complessivo!R4</f>
        <v>252672.7788</v>
      </c>
      <c r="J24" s="25">
        <f>+Complessivo!S4</f>
        <v>94752.29204999999</v>
      </c>
      <c r="K24" s="25">
        <f>+Complessivo!T4</f>
        <v>157920.48674999998</v>
      </c>
      <c r="L24" s="15"/>
    </row>
    <row r="25" spans="1:12" ht="12.75">
      <c r="A25" s="15" t="s">
        <v>180</v>
      </c>
      <c r="B25" s="25"/>
      <c r="D25" s="25">
        <f>+Complessivo!M5</f>
        <v>881109.5700000001</v>
      </c>
      <c r="E25" s="25">
        <f>+Complessivo!N5</f>
        <v>-16479.292</v>
      </c>
      <c r="F25" s="25">
        <f>+Complessivo!O5</f>
        <v>864630.2779999999</v>
      </c>
      <c r="G25" s="25">
        <f>+Complessivo!P5</f>
        <v>572721.2205</v>
      </c>
      <c r="H25" s="25">
        <f>+Complessivo!Q5</f>
        <v>-10711.5398</v>
      </c>
      <c r="I25" s="25">
        <f>+Complessivo!R5</f>
        <v>562009.6807</v>
      </c>
      <c r="J25" s="25">
        <f>+Complessivo!S5</f>
        <v>210753.6302625</v>
      </c>
      <c r="K25" s="25">
        <f>+Complessivo!T5</f>
        <v>351256.0504375</v>
      </c>
      <c r="L25" s="15"/>
    </row>
    <row r="26" spans="1:12" ht="12.75">
      <c r="A26" s="15" t="s">
        <v>194</v>
      </c>
      <c r="B26" s="25"/>
      <c r="D26" s="25">
        <f>+Complessivo!M6</f>
        <v>298155.81000000006</v>
      </c>
      <c r="E26" s="25">
        <f>+Complessivo!N6</f>
        <v>2760</v>
      </c>
      <c r="F26" s="25">
        <f>+Complessivo!O6</f>
        <v>300915.81000000006</v>
      </c>
      <c r="G26" s="25">
        <f>+Complessivo!P6</f>
        <v>193801.27649999992</v>
      </c>
      <c r="H26" s="25">
        <f>+Complessivo!Q6</f>
        <v>1794</v>
      </c>
      <c r="I26" s="25">
        <f>+Complessivo!R6</f>
        <v>195595.27649999992</v>
      </c>
      <c r="J26" s="25">
        <f>+Complessivo!S6</f>
        <v>73348.22868749998</v>
      </c>
      <c r="K26" s="25">
        <f>+Complessivo!T6</f>
        <v>122247.04781249995</v>
      </c>
      <c r="L26" s="15"/>
    </row>
    <row r="27" spans="1:12" ht="12.75">
      <c r="A27" s="15" t="s">
        <v>315</v>
      </c>
      <c r="B27" s="25"/>
      <c r="D27" s="25">
        <f>+Complessivo!M7</f>
        <v>682553.51</v>
      </c>
      <c r="E27" s="25">
        <f>+Complessivo!N7</f>
        <v>4934.41</v>
      </c>
      <c r="F27" s="25">
        <f>+Complessivo!O7</f>
        <v>687487.92</v>
      </c>
      <c r="G27" s="25">
        <f>+Complessivo!P7</f>
        <v>443659.78150000004</v>
      </c>
      <c r="H27" s="25">
        <f>+Complessivo!Q7</f>
        <v>3207.3665000000005</v>
      </c>
      <c r="I27" s="25">
        <f>+Complessivo!R7</f>
        <v>446867.14800000004</v>
      </c>
      <c r="J27" s="25">
        <f>+Complessivo!S7</f>
        <v>167575.18050000002</v>
      </c>
      <c r="K27" s="25">
        <f>+Complessivo!T7</f>
        <v>279291.9675</v>
      </c>
      <c r="L27" s="15"/>
    </row>
    <row r="28" spans="1:12" ht="12.75">
      <c r="A28" s="15" t="s">
        <v>320</v>
      </c>
      <c r="B28" s="25"/>
      <c r="D28" s="25">
        <f>+Complessivo!M8</f>
        <v>278606.72</v>
      </c>
      <c r="E28" s="25">
        <f>+Complessivo!N8</f>
        <v>39973.28</v>
      </c>
      <c r="F28" s="25">
        <f>+Complessivo!O8</f>
        <v>318580</v>
      </c>
      <c r="G28" s="25">
        <f>+Complessivo!P8</f>
        <v>181094.368</v>
      </c>
      <c r="H28" s="25">
        <f>+Complessivo!Q8</f>
        <v>25982.632</v>
      </c>
      <c r="I28" s="25">
        <f>+Complessivo!R8</f>
        <v>207077</v>
      </c>
      <c r="J28" s="25">
        <f>+Complessivo!S8</f>
        <v>203570.66849999997</v>
      </c>
      <c r="K28" s="27">
        <f>+Complessivo!T8</f>
        <v>3506.3315000000293</v>
      </c>
      <c r="L28" s="15"/>
    </row>
    <row r="29" spans="1:12" ht="12.75">
      <c r="A29" s="15"/>
      <c r="B29" s="25"/>
      <c r="D29" s="25"/>
      <c r="E29" s="25"/>
      <c r="F29" s="25"/>
      <c r="G29" s="25"/>
      <c r="H29" s="25"/>
      <c r="I29" s="25"/>
      <c r="J29" s="25"/>
      <c r="K29" s="27"/>
      <c r="L29" s="15"/>
    </row>
    <row r="30" spans="1:12" ht="12.75">
      <c r="A30" s="15"/>
      <c r="B30" s="25"/>
      <c r="D30" s="25"/>
      <c r="E30" s="25"/>
      <c r="F30" s="25"/>
      <c r="G30" s="25" t="s">
        <v>350</v>
      </c>
      <c r="H30" s="25"/>
      <c r="I30" s="25">
        <f>+J23</f>
        <v>750000</v>
      </c>
      <c r="J30" s="25"/>
      <c r="K30" s="27"/>
      <c r="L30" s="15"/>
    </row>
    <row r="31" spans="1:12" ht="12.75">
      <c r="A31" s="15"/>
      <c r="B31" s="25"/>
      <c r="D31" s="25"/>
      <c r="E31" s="25"/>
      <c r="F31" s="25"/>
      <c r="G31" s="25" t="s">
        <v>351</v>
      </c>
      <c r="H31" s="25"/>
      <c r="I31" s="25">
        <f>SUM(K24:K27)</f>
        <v>910715.5525</v>
      </c>
      <c r="J31" s="25"/>
      <c r="K31" s="25"/>
      <c r="L31" s="15"/>
    </row>
    <row r="32" spans="1:12" ht="12.75">
      <c r="A32" s="15"/>
      <c r="B32" s="25"/>
      <c r="D32" s="25"/>
      <c r="E32" s="25"/>
      <c r="F32" s="25"/>
      <c r="G32" s="25" t="s">
        <v>352</v>
      </c>
      <c r="H32" s="25"/>
      <c r="I32" s="25">
        <f>+I31+I30</f>
        <v>1660715.5525</v>
      </c>
      <c r="J32" s="25"/>
      <c r="K32" s="25"/>
      <c r="L32" s="15"/>
    </row>
    <row r="33" spans="1:11" ht="12.75">
      <c r="A33" s="15"/>
      <c r="D33" s="25"/>
      <c r="E33" s="25"/>
      <c r="F33" s="25"/>
      <c r="G33" s="25"/>
      <c r="H33" s="25"/>
      <c r="I33" s="25"/>
      <c r="J33" s="25"/>
      <c r="K33" s="27"/>
    </row>
    <row r="34" ht="12.75">
      <c r="E34" s="28"/>
    </row>
    <row r="35" spans="1:11" ht="38.25">
      <c r="A35" s="284" t="s">
        <v>118</v>
      </c>
      <c r="B35" s="285"/>
      <c r="C35" s="285"/>
      <c r="D35" s="285"/>
      <c r="E35" s="285"/>
      <c r="F35" s="285"/>
      <c r="G35" s="285"/>
      <c r="H35" s="286"/>
      <c r="I35" s="29" t="s">
        <v>119</v>
      </c>
      <c r="J35" s="29" t="s">
        <v>120</v>
      </c>
      <c r="K35" s="30" t="s">
        <v>121</v>
      </c>
    </row>
    <row r="36" spans="1:11" ht="12.75">
      <c r="A36" s="12" t="s">
        <v>50</v>
      </c>
      <c r="B36" s="12"/>
      <c r="C36" s="12"/>
      <c r="D36" s="12"/>
      <c r="E36" s="12"/>
      <c r="F36" s="231">
        <v>-4400.441500000059</v>
      </c>
      <c r="G36" s="12"/>
      <c r="H36" s="12"/>
      <c r="I36" s="3" t="s">
        <v>348</v>
      </c>
      <c r="J36" s="287"/>
      <c r="K36" s="12"/>
    </row>
    <row r="37" spans="1:11" ht="12.75">
      <c r="A37" s="12" t="s">
        <v>134</v>
      </c>
      <c r="B37" s="12"/>
      <c r="C37" s="12"/>
      <c r="D37" s="12"/>
      <c r="E37" s="12"/>
      <c r="F37" s="12"/>
      <c r="G37" s="12"/>
      <c r="H37" s="12"/>
      <c r="I37" s="3"/>
      <c r="J37" s="288"/>
      <c r="K37" s="12"/>
    </row>
    <row r="38" spans="1:11" ht="12.75">
      <c r="A38" s="12" t="s">
        <v>141</v>
      </c>
      <c r="B38" s="12"/>
      <c r="C38" s="12"/>
      <c r="D38" s="12"/>
      <c r="E38" s="12"/>
      <c r="F38" s="12"/>
      <c r="G38" s="12"/>
      <c r="H38" s="12"/>
      <c r="I38" s="3"/>
      <c r="J38" s="288"/>
      <c r="K38" s="12"/>
    </row>
    <row r="39" spans="1:11" ht="12.75">
      <c r="A39" s="12" t="s">
        <v>142</v>
      </c>
      <c r="B39" s="12"/>
      <c r="C39" s="12"/>
      <c r="D39" s="12"/>
      <c r="E39" s="12"/>
      <c r="F39" s="12"/>
      <c r="G39" s="12"/>
      <c r="H39" s="12"/>
      <c r="I39" s="3"/>
      <c r="J39" s="288"/>
      <c r="K39" s="12"/>
    </row>
    <row r="40" spans="1:11" ht="12.75">
      <c r="A40" s="12" t="s">
        <v>235</v>
      </c>
      <c r="B40" s="12"/>
      <c r="C40" s="12"/>
      <c r="D40" s="12"/>
      <c r="E40" s="233"/>
      <c r="F40" s="231">
        <v>70383.8395</v>
      </c>
      <c r="G40" s="231">
        <f>+F40*0.375</f>
        <v>26393.9398125</v>
      </c>
      <c r="H40" s="12"/>
      <c r="I40" s="232"/>
      <c r="J40" s="288"/>
      <c r="K40" s="12"/>
    </row>
    <row r="41" spans="1:11" ht="12.75">
      <c r="A41" s="12" t="s">
        <v>143</v>
      </c>
      <c r="B41" s="12"/>
      <c r="C41" s="12"/>
      <c r="D41" s="12"/>
      <c r="E41" s="12"/>
      <c r="F41" s="231"/>
      <c r="G41" s="231"/>
      <c r="H41" s="12"/>
      <c r="I41" s="232"/>
      <c r="J41" s="288"/>
      <c r="K41" s="12"/>
    </row>
    <row r="42" spans="1:11" ht="12.75">
      <c r="A42" s="12" t="s">
        <v>135</v>
      </c>
      <c r="B42" s="12"/>
      <c r="C42" s="12"/>
      <c r="D42" s="12"/>
      <c r="E42" s="12"/>
      <c r="F42" s="231"/>
      <c r="G42" s="231"/>
      <c r="H42" s="12"/>
      <c r="I42" s="232"/>
      <c r="J42" s="288"/>
      <c r="K42" s="12"/>
    </row>
    <row r="43" spans="1:11" ht="12.75">
      <c r="A43" s="12" t="s">
        <v>63</v>
      </c>
      <c r="B43" s="12"/>
      <c r="C43" s="12"/>
      <c r="D43" s="12"/>
      <c r="E43" s="233"/>
      <c r="F43" s="231">
        <f>129611.8785+F36</f>
        <v>125211.43699999995</v>
      </c>
      <c r="G43" s="231">
        <f>+F43*0.375</f>
        <v>46954.288874999984</v>
      </c>
      <c r="H43" s="12"/>
      <c r="I43" s="232"/>
      <c r="J43" s="288"/>
      <c r="K43" s="12"/>
    </row>
    <row r="44" spans="1:11" ht="12.75">
      <c r="A44" s="12" t="s">
        <v>136</v>
      </c>
      <c r="B44" s="12"/>
      <c r="C44" s="12"/>
      <c r="D44" s="12"/>
      <c r="E44" s="12"/>
      <c r="F44" s="12"/>
      <c r="G44" s="12"/>
      <c r="H44" s="12"/>
      <c r="I44" s="3"/>
      <c r="J44" s="288"/>
      <c r="K44" s="12"/>
    </row>
    <row r="45" spans="1:11" ht="12.75">
      <c r="A45" s="12" t="s">
        <v>137</v>
      </c>
      <c r="B45" s="12"/>
      <c r="C45" s="12"/>
      <c r="D45" s="12"/>
      <c r="E45" s="12"/>
      <c r="F45" s="12"/>
      <c r="G45" s="12"/>
      <c r="H45" s="12"/>
      <c r="I45" s="3"/>
      <c r="J45" s="288"/>
      <c r="K45" s="12"/>
    </row>
    <row r="46" spans="1:11" ht="12.75">
      <c r="A46" s="12" t="s">
        <v>138</v>
      </c>
      <c r="B46" s="12"/>
      <c r="C46" s="12"/>
      <c r="D46" s="12"/>
      <c r="E46" s="12"/>
      <c r="F46" s="12"/>
      <c r="G46" s="12"/>
      <c r="H46" s="12"/>
      <c r="I46" s="3"/>
      <c r="J46" s="288"/>
      <c r="K46" s="12"/>
    </row>
    <row r="47" spans="1:11" ht="12.75">
      <c r="A47" s="12" t="s">
        <v>139</v>
      </c>
      <c r="B47" s="12"/>
      <c r="C47" s="12"/>
      <c r="D47" s="12"/>
      <c r="E47" s="12"/>
      <c r="F47" s="12"/>
      <c r="G47" s="12"/>
      <c r="H47" s="12"/>
      <c r="I47" s="3"/>
      <c r="J47" s="288"/>
      <c r="K47" s="12"/>
    </row>
    <row r="48" spans="1:11" ht="12.75">
      <c r="A48" s="12" t="s">
        <v>195</v>
      </c>
      <c r="B48" s="12"/>
      <c r="C48" s="12"/>
      <c r="D48" s="12"/>
      <c r="E48" s="12"/>
      <c r="F48" s="12"/>
      <c r="G48" s="12"/>
      <c r="H48" s="12"/>
      <c r="I48" s="3"/>
      <c r="J48" s="31"/>
      <c r="K48" s="12"/>
    </row>
    <row r="49" spans="1:11" ht="12.75">
      <c r="A49" s="12" t="s">
        <v>140</v>
      </c>
      <c r="B49" s="12"/>
      <c r="C49" s="12"/>
      <c r="D49" s="12"/>
      <c r="E49" s="12"/>
      <c r="F49" s="12"/>
      <c r="G49" s="12"/>
      <c r="H49" s="12"/>
      <c r="I49" s="3"/>
      <c r="J49" s="31"/>
      <c r="K49" s="12"/>
    </row>
    <row r="50" spans="2:11" ht="12.75">
      <c r="B50" s="12"/>
      <c r="C50" s="12"/>
      <c r="D50" s="12"/>
      <c r="E50" s="12"/>
      <c r="F50" s="12"/>
      <c r="G50" s="12"/>
      <c r="H50" s="12"/>
      <c r="I50" s="3"/>
      <c r="J50" s="31"/>
      <c r="K50" s="12"/>
    </row>
    <row r="51" spans="2:11" ht="12.75">
      <c r="B51" s="12"/>
      <c r="C51" s="12"/>
      <c r="D51" s="12"/>
      <c r="E51" s="12"/>
      <c r="F51" s="12"/>
      <c r="G51" s="12"/>
      <c r="H51" s="12"/>
      <c r="I51" s="3"/>
      <c r="J51" s="31"/>
      <c r="K51" s="12"/>
    </row>
    <row r="52" spans="1:11" ht="12.75">
      <c r="A52" s="12"/>
      <c r="B52" s="12"/>
      <c r="C52" s="12"/>
      <c r="D52" s="12"/>
      <c r="E52" s="12"/>
      <c r="F52" s="12"/>
      <c r="G52" s="12"/>
      <c r="H52" s="12"/>
      <c r="I52" s="3"/>
      <c r="J52" s="31"/>
      <c r="K52" s="12"/>
    </row>
    <row r="53" spans="1:11" ht="12.75">
      <c r="A53" s="12"/>
      <c r="B53" s="12"/>
      <c r="C53" s="12"/>
      <c r="D53" s="12"/>
      <c r="E53" s="12"/>
      <c r="F53" s="12"/>
      <c r="G53" s="12"/>
      <c r="H53" s="12"/>
      <c r="I53" s="3"/>
      <c r="J53" s="31"/>
      <c r="K53" s="12"/>
    </row>
    <row r="54" ht="12.75">
      <c r="E54" s="28"/>
    </row>
    <row r="55" spans="1:11" ht="12.75">
      <c r="A55" s="289" t="s">
        <v>122</v>
      </c>
      <c r="B55" s="289"/>
      <c r="C55" s="289"/>
      <c r="D55" s="289"/>
      <c r="E55" s="289"/>
      <c r="F55" s="289"/>
      <c r="G55" s="289"/>
      <c r="H55" s="289"/>
      <c r="I55" s="289"/>
      <c r="J55" s="289"/>
      <c r="K55" s="289"/>
    </row>
    <row r="58" spans="1:11" ht="36.75" customHeight="1">
      <c r="A58" s="276" t="s">
        <v>123</v>
      </c>
      <c r="B58" s="276"/>
      <c r="C58" s="276"/>
      <c r="D58" s="276"/>
      <c r="E58" s="276"/>
      <c r="F58" s="276"/>
      <c r="G58" s="277" t="s">
        <v>182</v>
      </c>
      <c r="H58" s="278"/>
      <c r="I58" s="278"/>
      <c r="J58" s="278"/>
      <c r="K58" s="279"/>
    </row>
    <row r="59" spans="1:11" ht="25.5" customHeight="1">
      <c r="A59" s="276" t="s">
        <v>124</v>
      </c>
      <c r="B59" s="276"/>
      <c r="C59" s="276"/>
      <c r="D59" s="276"/>
      <c r="E59" s="276"/>
      <c r="F59" s="276"/>
      <c r="G59" s="275"/>
      <c r="H59" s="275"/>
      <c r="I59" s="275"/>
      <c r="J59" s="275"/>
      <c r="K59" s="275"/>
    </row>
    <row r="60" spans="1:11" ht="23.25" customHeight="1">
      <c r="A60" s="276" t="s">
        <v>125</v>
      </c>
      <c r="B60" s="276"/>
      <c r="C60" s="276"/>
      <c r="D60" s="276"/>
      <c r="E60" s="276"/>
      <c r="F60" s="276"/>
      <c r="G60" s="280"/>
      <c r="H60" s="281"/>
      <c r="I60" s="281"/>
      <c r="J60" s="281"/>
      <c r="K60" s="282"/>
    </row>
    <row r="61" ht="26.25" customHeight="1">
      <c r="A61" s="4" t="s">
        <v>126</v>
      </c>
    </row>
    <row r="62" spans="1:11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ht="24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ht="24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ht="24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ht="24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</row>
    <row r="68" spans="1:11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</row>
    <row r="69" spans="1:11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</row>
    <row r="71" spans="1:9" ht="12.75">
      <c r="A71" s="275" t="s">
        <v>127</v>
      </c>
      <c r="B71" s="275"/>
      <c r="C71" s="275"/>
      <c r="D71" s="275" t="s">
        <v>128</v>
      </c>
      <c r="E71" s="275"/>
      <c r="F71" s="275"/>
      <c r="G71" s="275" t="s">
        <v>129</v>
      </c>
      <c r="H71" s="275"/>
      <c r="I71" s="275"/>
    </row>
    <row r="72" spans="1:9" ht="23.25" customHeight="1">
      <c r="A72" s="275"/>
      <c r="B72" s="275"/>
      <c r="C72" s="275"/>
      <c r="D72" s="284" t="s">
        <v>130</v>
      </c>
      <c r="E72" s="285"/>
      <c r="F72" s="286"/>
      <c r="G72" s="275"/>
      <c r="H72" s="275"/>
      <c r="I72" s="275"/>
    </row>
    <row r="73" spans="1:9" ht="23.25" customHeight="1">
      <c r="A73" s="275"/>
      <c r="B73" s="275"/>
      <c r="C73" s="275"/>
      <c r="D73" s="275"/>
      <c r="E73" s="275"/>
      <c r="F73" s="275"/>
      <c r="G73" s="275"/>
      <c r="H73" s="275"/>
      <c r="I73" s="275"/>
    </row>
    <row r="74" spans="1:9" ht="23.25" customHeight="1">
      <c r="A74" s="275"/>
      <c r="B74" s="275"/>
      <c r="C74" s="275"/>
      <c r="D74" s="275"/>
      <c r="E74" s="275"/>
      <c r="F74" s="275"/>
      <c r="G74" s="275"/>
      <c r="H74" s="275"/>
      <c r="I74" s="275"/>
    </row>
  </sheetData>
  <sheetProtection/>
  <mergeCells count="22">
    <mergeCell ref="A74:C74"/>
    <mergeCell ref="D74:F74"/>
    <mergeCell ref="G74:I74"/>
    <mergeCell ref="A72:C72"/>
    <mergeCell ref="D72:F72"/>
    <mergeCell ref="A73:C73"/>
    <mergeCell ref="D73:F73"/>
    <mergeCell ref="G73:I73"/>
    <mergeCell ref="A2:K2"/>
    <mergeCell ref="A35:H35"/>
    <mergeCell ref="J36:J47"/>
    <mergeCell ref="A55:K55"/>
    <mergeCell ref="G59:K59"/>
    <mergeCell ref="G72:I72"/>
    <mergeCell ref="G71:I71"/>
    <mergeCell ref="A58:F58"/>
    <mergeCell ref="G58:K58"/>
    <mergeCell ref="A59:F59"/>
    <mergeCell ref="A60:F60"/>
    <mergeCell ref="G60:K60"/>
    <mergeCell ref="A71:C71"/>
    <mergeCell ref="D71:F71"/>
  </mergeCells>
  <printOptions/>
  <pageMargins left="0.51" right="0.36" top="0.62" bottom="0.76" header="0.5" footer="0.5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300"/>
  <sheetViews>
    <sheetView showGridLines="0" showZeros="0" zoomScale="85" zoomScaleNormal="85" zoomScalePageLayoutView="0" workbookViewId="0" topLeftCell="A1">
      <pane xSplit="3" ySplit="8" topLeftCell="I11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20" sqref="G20"/>
    </sheetView>
  </sheetViews>
  <sheetFormatPr defaultColWidth="9.140625" defaultRowHeight="12.75"/>
  <cols>
    <col min="1" max="1" width="3.28125" style="32" customWidth="1"/>
    <col min="2" max="2" width="2.57421875" style="33" customWidth="1"/>
    <col min="3" max="3" width="25.421875" style="34" customWidth="1"/>
    <col min="4" max="4" width="23.140625" style="34" customWidth="1"/>
    <col min="5" max="5" width="14.00390625" style="34" customWidth="1"/>
    <col min="6" max="6" width="9.140625" style="34" customWidth="1"/>
    <col min="7" max="7" width="12.28125" style="34" customWidth="1"/>
    <col min="8" max="8" width="9.8515625" style="34" customWidth="1"/>
    <col min="9" max="9" width="9.28125" style="34" customWidth="1"/>
    <col min="10" max="10" width="9.8515625" style="34" customWidth="1"/>
    <col min="11" max="11" width="8.421875" style="34" customWidth="1"/>
    <col min="12" max="12" width="10.421875" style="35" customWidth="1"/>
    <col min="13" max="13" width="12.00390625" style="36" customWidth="1"/>
    <col min="14" max="14" width="11.8515625" style="34" customWidth="1"/>
    <col min="15" max="15" width="12.28125" style="35" customWidth="1"/>
    <col min="16" max="16" width="13.7109375" style="34" bestFit="1" customWidth="1"/>
    <col min="17" max="17" width="10.28125" style="34" customWidth="1"/>
    <col min="18" max="18" width="11.57421875" style="35" customWidth="1"/>
    <col min="19" max="19" width="13.421875" style="34" customWidth="1"/>
    <col min="20" max="20" width="11.7109375" style="38" customWidth="1"/>
    <col min="21" max="21" width="13.140625" style="34" customWidth="1"/>
    <col min="22" max="16384" width="9.140625" style="34" customWidth="1"/>
  </cols>
  <sheetData>
    <row r="1" ht="11.25"/>
    <row r="2" spans="1:20" s="32" customFormat="1" ht="15.75">
      <c r="A2" s="259" t="s">
        <v>49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1"/>
    </row>
    <row r="3" spans="1:21" ht="11.25">
      <c r="A3" s="1"/>
      <c r="B3" s="39"/>
      <c r="C3" s="40" t="s">
        <v>0</v>
      </c>
      <c r="D3" s="41" t="s">
        <v>97</v>
      </c>
      <c r="E3" s="300" t="s">
        <v>34</v>
      </c>
      <c r="F3" s="300"/>
      <c r="G3" s="42">
        <f>+M11+M58+M140+M162+M179+M235+M251</f>
        <v>3845266</v>
      </c>
      <c r="H3" s="43">
        <f>+O3/G3</f>
        <v>0.6658424566726983</v>
      </c>
      <c r="I3" s="44" t="s">
        <v>33</v>
      </c>
      <c r="J3" s="45">
        <v>38141</v>
      </c>
      <c r="K3" s="46">
        <f>G5</f>
        <v>577.1000000000931</v>
      </c>
      <c r="L3" s="47" t="s">
        <v>30</v>
      </c>
      <c r="M3" s="48">
        <f aca="true" t="shared" si="0" ref="M3:T3">SUM(M4:M9)</f>
        <v>2511773.67</v>
      </c>
      <c r="N3" s="49">
        <f t="shared" si="0"/>
        <v>48567.689999999995</v>
      </c>
      <c r="O3" s="50">
        <f t="shared" si="0"/>
        <v>2560341.36</v>
      </c>
      <c r="P3" s="49">
        <f t="shared" si="0"/>
        <v>1632652.8855</v>
      </c>
      <c r="Q3" s="49">
        <f t="shared" si="0"/>
        <v>31568.9985</v>
      </c>
      <c r="R3" s="50">
        <f t="shared" si="0"/>
        <v>1664221.884</v>
      </c>
      <c r="S3" s="49">
        <f t="shared" si="0"/>
        <v>750000</v>
      </c>
      <c r="T3" s="49">
        <f t="shared" si="0"/>
        <v>914221.8840000001</v>
      </c>
      <c r="U3" s="51">
        <v>750000</v>
      </c>
    </row>
    <row r="4" spans="1:21" s="57" customFormat="1" ht="11.25">
      <c r="A4" s="52"/>
      <c r="B4" s="39"/>
      <c r="C4" s="53" t="s">
        <v>191</v>
      </c>
      <c r="D4" s="54"/>
      <c r="E4" s="301" t="s">
        <v>35</v>
      </c>
      <c r="F4" s="301"/>
      <c r="G4" s="56">
        <v>2499422.9</v>
      </c>
      <c r="H4" s="43">
        <f>P3/G4</f>
        <v>0.6532119416446093</v>
      </c>
      <c r="J4" s="56" t="s">
        <v>38</v>
      </c>
      <c r="K4" s="49">
        <f>Q3</f>
        <v>31568.9985</v>
      </c>
      <c r="L4" s="47" t="s">
        <v>31</v>
      </c>
      <c r="M4" s="48">
        <f aca="true" t="shared" si="1" ref="M4:T7">M12+M59+M141+M163+M180+M236+M252</f>
        <v>371348.06</v>
      </c>
      <c r="N4" s="49">
        <f t="shared" si="1"/>
        <v>17379.291999999998</v>
      </c>
      <c r="O4" s="50">
        <f t="shared" si="1"/>
        <v>388727.35199999996</v>
      </c>
      <c r="P4" s="49">
        <f t="shared" si="1"/>
        <v>241376.239</v>
      </c>
      <c r="Q4" s="49">
        <f t="shared" si="1"/>
        <v>11296.539799999999</v>
      </c>
      <c r="R4" s="50">
        <f t="shared" si="1"/>
        <v>252672.7788</v>
      </c>
      <c r="S4" s="49">
        <f t="shared" si="1"/>
        <v>94752.29204999999</v>
      </c>
      <c r="T4" s="49">
        <f t="shared" si="1"/>
        <v>157920.48674999998</v>
      </c>
      <c r="U4" s="58">
        <v>157920.48675</v>
      </c>
    </row>
    <row r="5" spans="1:21" s="57" customFormat="1" ht="11.25">
      <c r="A5" s="52"/>
      <c r="B5" s="39"/>
      <c r="C5" s="53" t="s">
        <v>192</v>
      </c>
      <c r="D5" s="54"/>
      <c r="E5" s="301" t="s">
        <v>36</v>
      </c>
      <c r="F5" s="301"/>
      <c r="G5" s="56">
        <f>2500000-G4</f>
        <v>577.1000000000931</v>
      </c>
      <c r="H5" s="43">
        <f>Q3/G5</f>
        <v>54.70282186795167</v>
      </c>
      <c r="J5" s="55" t="s">
        <v>39</v>
      </c>
      <c r="K5" s="58">
        <f>K3-K4</f>
        <v>-30991.89849999991</v>
      </c>
      <c r="L5" s="47" t="s">
        <v>32</v>
      </c>
      <c r="M5" s="48">
        <f t="shared" si="1"/>
        <v>881109.5700000001</v>
      </c>
      <c r="N5" s="48">
        <f t="shared" si="1"/>
        <v>-16479.292</v>
      </c>
      <c r="O5" s="50">
        <f t="shared" si="1"/>
        <v>864630.2779999999</v>
      </c>
      <c r="P5" s="48">
        <f t="shared" si="1"/>
        <v>572721.2205</v>
      </c>
      <c r="Q5" s="48">
        <f t="shared" si="1"/>
        <v>-10711.5398</v>
      </c>
      <c r="R5" s="50">
        <f t="shared" si="1"/>
        <v>562009.6807</v>
      </c>
      <c r="S5" s="48">
        <f t="shared" si="1"/>
        <v>210753.6302625</v>
      </c>
      <c r="T5" s="48">
        <f t="shared" si="1"/>
        <v>351256.0504375</v>
      </c>
      <c r="U5" s="58">
        <v>351256.0504375</v>
      </c>
    </row>
    <row r="6" spans="1:21" s="57" customFormat="1" ht="11.25">
      <c r="A6" s="52"/>
      <c r="B6" s="39"/>
      <c r="C6" s="53" t="s">
        <v>194</v>
      </c>
      <c r="D6" s="54"/>
      <c r="E6" s="301" t="s">
        <v>37</v>
      </c>
      <c r="F6" s="301"/>
      <c r="G6" s="56">
        <f>+G5+G4</f>
        <v>2500000</v>
      </c>
      <c r="H6" s="43">
        <f>+R3/G6</f>
        <v>0.6656887536</v>
      </c>
      <c r="J6" s="55"/>
      <c r="K6" s="58"/>
      <c r="L6" s="47" t="s">
        <v>190</v>
      </c>
      <c r="M6" s="48">
        <f t="shared" si="1"/>
        <v>298155.81000000006</v>
      </c>
      <c r="N6" s="48">
        <f t="shared" si="1"/>
        <v>2760</v>
      </c>
      <c r="O6" s="50">
        <f t="shared" si="1"/>
        <v>300915.81000000006</v>
      </c>
      <c r="P6" s="48">
        <f t="shared" si="1"/>
        <v>193801.27649999992</v>
      </c>
      <c r="Q6" s="48">
        <f t="shared" si="1"/>
        <v>1794</v>
      </c>
      <c r="R6" s="50">
        <f t="shared" si="1"/>
        <v>195595.27649999992</v>
      </c>
      <c r="S6" s="48">
        <f t="shared" si="1"/>
        <v>73348.22868749998</v>
      </c>
      <c r="T6" s="48">
        <f t="shared" si="1"/>
        <v>122247.04781249995</v>
      </c>
      <c r="U6" s="58">
        <v>122247.0478125</v>
      </c>
    </row>
    <row r="7" spans="1:21" s="57" customFormat="1" ht="11.25">
      <c r="A7" s="52"/>
      <c r="B7" s="39"/>
      <c r="C7" s="53" t="s">
        <v>315</v>
      </c>
      <c r="D7" s="54"/>
      <c r="E7" s="55"/>
      <c r="F7" s="55"/>
      <c r="G7" s="56"/>
      <c r="H7" s="43"/>
      <c r="J7" s="55"/>
      <c r="K7" s="58"/>
      <c r="L7" s="47" t="s">
        <v>316</v>
      </c>
      <c r="M7" s="48">
        <f t="shared" si="1"/>
        <v>682553.51</v>
      </c>
      <c r="N7" s="48">
        <f t="shared" si="1"/>
        <v>4934.41</v>
      </c>
      <c r="O7" s="50">
        <f t="shared" si="1"/>
        <v>687487.92</v>
      </c>
      <c r="P7" s="48">
        <f t="shared" si="1"/>
        <v>443659.78150000004</v>
      </c>
      <c r="Q7" s="48">
        <f t="shared" si="1"/>
        <v>3207.3665000000005</v>
      </c>
      <c r="R7" s="50">
        <f t="shared" si="1"/>
        <v>446867.14800000004</v>
      </c>
      <c r="S7" s="48">
        <f t="shared" si="1"/>
        <v>167575.18050000002</v>
      </c>
      <c r="T7" s="48">
        <f t="shared" si="1"/>
        <v>279291.9675</v>
      </c>
      <c r="U7" s="58">
        <v>279291.9675</v>
      </c>
    </row>
    <row r="8" spans="1:21" s="57" customFormat="1" ht="11.25">
      <c r="A8" s="52"/>
      <c r="B8" s="39"/>
      <c r="C8" s="53" t="s">
        <v>320</v>
      </c>
      <c r="D8" s="54"/>
      <c r="E8" s="301"/>
      <c r="F8" s="301"/>
      <c r="G8" s="56"/>
      <c r="H8" s="43"/>
      <c r="J8" s="59">
        <f>J14+J61+J143+J165+J182+J238+J254</f>
        <v>0</v>
      </c>
      <c r="K8" s="48">
        <f>K14+K61+K143+K165+K182+K238+K254</f>
        <v>0</v>
      </c>
      <c r="L8" s="47" t="s">
        <v>321</v>
      </c>
      <c r="M8" s="48">
        <f aca="true" t="shared" si="2" ref="M8:R8">M16+M63+M145+M167+M184+M240+M256</f>
        <v>278606.72</v>
      </c>
      <c r="N8" s="48">
        <f t="shared" si="2"/>
        <v>39973.28</v>
      </c>
      <c r="O8" s="50">
        <f t="shared" si="2"/>
        <v>318580</v>
      </c>
      <c r="P8" s="48">
        <f t="shared" si="2"/>
        <v>181094.368</v>
      </c>
      <c r="Q8" s="48">
        <f t="shared" si="2"/>
        <v>25982.632</v>
      </c>
      <c r="R8" s="50">
        <f t="shared" si="2"/>
        <v>207077</v>
      </c>
      <c r="S8" s="48">
        <f>750000-S7-S6-S5-S4</f>
        <v>203570.66849999997</v>
      </c>
      <c r="T8" s="48">
        <f>+R8-S8</f>
        <v>3506.3315000000293</v>
      </c>
      <c r="U8" s="58"/>
    </row>
    <row r="9" spans="1:20" s="57" customFormat="1" ht="11.25">
      <c r="A9" s="52"/>
      <c r="B9" s="39"/>
      <c r="C9" s="53"/>
      <c r="D9" s="54"/>
      <c r="E9" s="60"/>
      <c r="F9" s="61"/>
      <c r="G9" s="56"/>
      <c r="H9" s="62"/>
      <c r="L9" s="47"/>
      <c r="M9" s="48"/>
      <c r="N9" s="49"/>
      <c r="O9" s="50"/>
      <c r="P9" s="49"/>
      <c r="Q9" s="49"/>
      <c r="R9" s="50"/>
      <c r="S9" s="49"/>
      <c r="T9" s="49"/>
    </row>
    <row r="10" spans="1:20" s="69" customFormat="1" ht="11.25">
      <c r="A10" s="63"/>
      <c r="B10" s="64"/>
      <c r="C10" s="302" t="s">
        <v>6</v>
      </c>
      <c r="D10" s="302"/>
      <c r="E10" s="302"/>
      <c r="F10" s="302"/>
      <c r="G10" s="302"/>
      <c r="H10" s="302"/>
      <c r="I10" s="302"/>
      <c r="J10" s="302"/>
      <c r="K10" s="302"/>
      <c r="L10" s="303"/>
      <c r="M10" s="65" t="s">
        <v>44</v>
      </c>
      <c r="N10" s="66" t="s">
        <v>45</v>
      </c>
      <c r="O10" s="66" t="s">
        <v>46</v>
      </c>
      <c r="P10" s="66" t="s">
        <v>47</v>
      </c>
      <c r="Q10" s="66" t="s">
        <v>48</v>
      </c>
      <c r="R10" s="66" t="s">
        <v>43</v>
      </c>
      <c r="S10" s="67" t="s">
        <v>25</v>
      </c>
      <c r="T10" s="68" t="s">
        <v>26</v>
      </c>
    </row>
    <row r="11" spans="1:18" s="32" customFormat="1" ht="11.25">
      <c r="A11" s="262"/>
      <c r="B11" s="297"/>
      <c r="C11" s="70"/>
      <c r="D11" s="71"/>
      <c r="E11" s="71"/>
      <c r="F11" s="71"/>
      <c r="G11" s="71"/>
      <c r="H11" s="71"/>
      <c r="I11" s="71"/>
      <c r="J11" s="71"/>
      <c r="K11" s="72"/>
      <c r="L11" s="73" t="s">
        <v>12</v>
      </c>
      <c r="M11" s="2">
        <f>1024.293*1000</f>
        <v>1024292.9999999999</v>
      </c>
      <c r="N11" s="2"/>
      <c r="O11" s="74">
        <f>SUM(M11:N11)</f>
        <v>1024292.9999999999</v>
      </c>
      <c r="P11" s="75">
        <f>M11*0.65</f>
        <v>665790.45</v>
      </c>
      <c r="Q11" s="76"/>
      <c r="R11" s="74">
        <f>SUM(P11:Q11)</f>
        <v>665790.45</v>
      </c>
    </row>
    <row r="12" spans="1:20" s="32" customFormat="1" ht="11.25">
      <c r="A12" s="262"/>
      <c r="B12" s="297"/>
      <c r="C12" s="77"/>
      <c r="D12" s="78"/>
      <c r="E12" s="78"/>
      <c r="F12" s="78"/>
      <c r="G12" s="78"/>
      <c r="H12" s="78"/>
      <c r="I12" s="78"/>
      <c r="J12" s="78"/>
      <c r="K12" s="79">
        <f>SUM(K27:K55)</f>
        <v>0</v>
      </c>
      <c r="L12" s="80" t="s">
        <v>28</v>
      </c>
      <c r="M12" s="81">
        <f aca="true" t="shared" si="3" ref="M12:R12">SUM(M19:M26)</f>
        <v>176960.47</v>
      </c>
      <c r="N12" s="81">
        <f t="shared" si="3"/>
        <v>0</v>
      </c>
      <c r="O12" s="82">
        <f t="shared" si="3"/>
        <v>176960.47</v>
      </c>
      <c r="P12" s="81">
        <f t="shared" si="3"/>
        <v>115024.30549999999</v>
      </c>
      <c r="Q12" s="81">
        <f t="shared" si="3"/>
        <v>0</v>
      </c>
      <c r="R12" s="82">
        <f t="shared" si="3"/>
        <v>115024.30549999999</v>
      </c>
      <c r="S12" s="83">
        <f>R12*0.375</f>
        <v>43134.11456249999</v>
      </c>
      <c r="T12" s="83">
        <f>R12-S12</f>
        <v>71890.1909375</v>
      </c>
    </row>
    <row r="13" spans="1:20" s="32" customFormat="1" ht="11.25">
      <c r="A13" s="262"/>
      <c r="B13" s="297"/>
      <c r="C13" s="77"/>
      <c r="D13" s="78"/>
      <c r="E13" s="78"/>
      <c r="F13" s="78"/>
      <c r="G13" s="78"/>
      <c r="H13" s="78"/>
      <c r="I13" s="78"/>
      <c r="J13" s="78"/>
      <c r="K13" s="84"/>
      <c r="L13" s="80" t="s">
        <v>29</v>
      </c>
      <c r="M13" s="81">
        <f>SUM(M27:M29)</f>
        <v>483422.41</v>
      </c>
      <c r="N13" s="81">
        <f>SUM(N27:N28)</f>
        <v>0</v>
      </c>
      <c r="O13" s="82">
        <f>+N13+M13</f>
        <v>483422.41</v>
      </c>
      <c r="P13" s="81">
        <f>SUM(P27:P29)</f>
        <v>314224.5665</v>
      </c>
      <c r="Q13" s="81">
        <f>SUM(Q27:Q28)</f>
        <v>0</v>
      </c>
      <c r="R13" s="82">
        <f>+Q13+P13</f>
        <v>314224.5665</v>
      </c>
      <c r="S13" s="83">
        <f>R13*0.375</f>
        <v>117834.21243750001</v>
      </c>
      <c r="T13" s="83">
        <f>R13-S13</f>
        <v>196390.3540625</v>
      </c>
    </row>
    <row r="14" spans="1:20" s="32" customFormat="1" ht="11.25">
      <c r="A14" s="262"/>
      <c r="B14" s="297"/>
      <c r="C14" s="77"/>
      <c r="D14" s="78"/>
      <c r="E14" s="78"/>
      <c r="F14" s="78"/>
      <c r="G14" s="78"/>
      <c r="H14" s="78"/>
      <c r="I14" s="78"/>
      <c r="J14" s="78"/>
      <c r="K14" s="84"/>
      <c r="L14" s="80" t="s">
        <v>189</v>
      </c>
      <c r="M14" s="81">
        <f aca="true" t="shared" si="4" ref="M14:R14">+M40+M41+M42+M43</f>
        <v>146596.80000000005</v>
      </c>
      <c r="N14" s="81">
        <f t="shared" si="4"/>
        <v>0</v>
      </c>
      <c r="O14" s="82">
        <f>+N14+M14</f>
        <v>146596.80000000005</v>
      </c>
      <c r="P14" s="81">
        <f t="shared" si="4"/>
        <v>95287.91999999994</v>
      </c>
      <c r="Q14" s="81">
        <f t="shared" si="4"/>
        <v>0</v>
      </c>
      <c r="R14" s="82">
        <f t="shared" si="4"/>
        <v>95287.91999999994</v>
      </c>
      <c r="S14" s="83">
        <f>R14*0.375</f>
        <v>35732.96999999998</v>
      </c>
      <c r="T14" s="83">
        <f>R14-S14</f>
        <v>59554.94999999996</v>
      </c>
    </row>
    <row r="15" spans="1:20" s="32" customFormat="1" ht="11.25">
      <c r="A15" s="262"/>
      <c r="B15" s="297"/>
      <c r="C15" s="77"/>
      <c r="D15" s="78"/>
      <c r="E15" s="78"/>
      <c r="F15" s="78"/>
      <c r="G15" s="78"/>
      <c r="H15" s="78"/>
      <c r="I15" s="78"/>
      <c r="J15" s="78"/>
      <c r="K15" s="84"/>
      <c r="L15" s="80" t="s">
        <v>317</v>
      </c>
      <c r="M15" s="248">
        <f>SUM(M44:M54)-259833.06+(1024293*0.2)</f>
        <v>422171.92000000004</v>
      </c>
      <c r="N15" s="79"/>
      <c r="O15" s="82">
        <f>+N15+M15</f>
        <v>422171.92000000004</v>
      </c>
      <c r="P15" s="81">
        <f>+M15*0.65</f>
        <v>274411.748</v>
      </c>
      <c r="Q15" s="79"/>
      <c r="R15" s="82">
        <f>+Q15+P15</f>
        <v>274411.748</v>
      </c>
      <c r="S15" s="83">
        <f>R15*0.375</f>
        <v>102904.40550000001</v>
      </c>
      <c r="T15" s="83">
        <f>R15-S15</f>
        <v>171507.34250000003</v>
      </c>
    </row>
    <row r="16" spans="1:20" s="32" customFormat="1" ht="11.25">
      <c r="A16" s="262"/>
      <c r="B16" s="297"/>
      <c r="C16" s="77"/>
      <c r="D16" s="78"/>
      <c r="E16" s="78"/>
      <c r="F16" s="78"/>
      <c r="G16" s="78"/>
      <c r="H16" s="78"/>
      <c r="I16" s="78"/>
      <c r="J16" s="78"/>
      <c r="K16" s="84"/>
      <c r="L16" s="80" t="s">
        <v>333</v>
      </c>
      <c r="M16" s="81"/>
      <c r="N16" s="79"/>
      <c r="O16" s="82"/>
      <c r="P16" s="79"/>
      <c r="Q16" s="79"/>
      <c r="R16" s="82"/>
      <c r="S16" s="83">
        <f>R16*0.375</f>
        <v>0</v>
      </c>
      <c r="T16" s="83">
        <f>R16-S16</f>
        <v>0</v>
      </c>
    </row>
    <row r="17" spans="1:20" s="32" customFormat="1" ht="11.25">
      <c r="A17" s="298"/>
      <c r="B17" s="299"/>
      <c r="C17" s="85"/>
      <c r="D17" s="86"/>
      <c r="E17" s="86"/>
      <c r="F17" s="86"/>
      <c r="G17" s="86"/>
      <c r="H17" s="86"/>
      <c r="I17" s="86"/>
      <c r="J17" s="86"/>
      <c r="K17" s="87"/>
      <c r="L17" s="88" t="s">
        <v>13</v>
      </c>
      <c r="M17" s="89">
        <f>M11-M12-M13-M14-M15-M16</f>
        <v>-204858.60000000015</v>
      </c>
      <c r="N17" s="90">
        <f>N11-N12-N13-N14-N15-N16</f>
        <v>0</v>
      </c>
      <c r="O17" s="91"/>
      <c r="P17" s="90"/>
      <c r="Q17" s="90"/>
      <c r="R17" s="91"/>
      <c r="S17" s="92"/>
      <c r="T17" s="92"/>
    </row>
    <row r="18" spans="1:20" ht="29.25" customHeight="1">
      <c r="A18" s="37" t="s">
        <v>14</v>
      </c>
      <c r="B18" s="37" t="s">
        <v>11</v>
      </c>
      <c r="C18" s="93" t="s">
        <v>24</v>
      </c>
      <c r="D18" s="93" t="s">
        <v>20</v>
      </c>
      <c r="E18" s="94" t="s">
        <v>2</v>
      </c>
      <c r="F18" s="93" t="s">
        <v>19</v>
      </c>
      <c r="G18" s="93" t="s">
        <v>18</v>
      </c>
      <c r="H18" s="94" t="s">
        <v>17</v>
      </c>
      <c r="I18" s="94" t="s">
        <v>16</v>
      </c>
      <c r="J18" s="93" t="s">
        <v>3</v>
      </c>
      <c r="K18" s="93" t="s">
        <v>4</v>
      </c>
      <c r="L18" s="95" t="s">
        <v>5</v>
      </c>
      <c r="M18" s="96" t="s">
        <v>21</v>
      </c>
      <c r="N18" s="37" t="s">
        <v>40</v>
      </c>
      <c r="O18" s="95" t="s">
        <v>41</v>
      </c>
      <c r="P18" s="37" t="s">
        <v>22</v>
      </c>
      <c r="Q18" s="37" t="s">
        <v>42</v>
      </c>
      <c r="R18" s="95" t="s">
        <v>43</v>
      </c>
      <c r="S18" s="263" t="s">
        <v>27</v>
      </c>
      <c r="T18" s="263"/>
    </row>
    <row r="19" spans="1:20" ht="57" customHeight="1">
      <c r="A19" s="37" t="s">
        <v>15</v>
      </c>
      <c r="B19" s="37"/>
      <c r="C19" s="97" t="s">
        <v>50</v>
      </c>
      <c r="D19" s="97" t="s">
        <v>98</v>
      </c>
      <c r="E19" s="94"/>
      <c r="F19" s="93"/>
      <c r="G19" s="93"/>
      <c r="H19" s="94"/>
      <c r="I19" s="98"/>
      <c r="J19" s="99">
        <f>7200+10800+10000+12000</f>
        <v>40000</v>
      </c>
      <c r="K19" s="93"/>
      <c r="L19" s="100">
        <f aca="true" t="shared" si="5" ref="L19:L27">SUM(J19:K19)</f>
        <v>40000</v>
      </c>
      <c r="M19" s="99">
        <v>40000</v>
      </c>
      <c r="N19" s="37"/>
      <c r="O19" s="101">
        <f aca="true" t="shared" si="6" ref="O19:O24">SUM(M19:N19)</f>
        <v>40000</v>
      </c>
      <c r="P19" s="102">
        <f>M19*0.65</f>
        <v>26000</v>
      </c>
      <c r="Q19" s="102">
        <f>N19*0.65</f>
        <v>0</v>
      </c>
      <c r="R19" s="101">
        <f>O19*0.65</f>
        <v>26000</v>
      </c>
      <c r="S19" s="268" t="s">
        <v>202</v>
      </c>
      <c r="T19" s="268"/>
    </row>
    <row r="20" spans="1:20" ht="47.25" customHeight="1">
      <c r="A20" s="37" t="s">
        <v>15</v>
      </c>
      <c r="B20" s="37"/>
      <c r="C20" s="97" t="s">
        <v>63</v>
      </c>
      <c r="D20" s="97" t="s">
        <v>99</v>
      </c>
      <c r="E20" s="94"/>
      <c r="F20" s="93"/>
      <c r="G20" s="93"/>
      <c r="H20" s="94"/>
      <c r="I20" s="104"/>
      <c r="J20" s="99">
        <f>13213.96+15293.6+15533.24+17988.67</f>
        <v>62029.469999999994</v>
      </c>
      <c r="K20" s="93"/>
      <c r="L20" s="100">
        <f t="shared" si="5"/>
        <v>62029.469999999994</v>
      </c>
      <c r="M20" s="99">
        <f>13213.96+15293.6+15533.24+17988.67</f>
        <v>62029.469999999994</v>
      </c>
      <c r="N20" s="37"/>
      <c r="O20" s="101">
        <f t="shared" si="6"/>
        <v>62029.469999999994</v>
      </c>
      <c r="P20" s="102">
        <f aca="true" t="shared" si="7" ref="P20:P26">M20*0.65</f>
        <v>40319.1555</v>
      </c>
      <c r="Q20" s="102">
        <f>N20*0.65</f>
        <v>0</v>
      </c>
      <c r="R20" s="101">
        <f aca="true" t="shared" si="8" ref="R20:R26">O20*0.65</f>
        <v>40319.1555</v>
      </c>
      <c r="S20" s="268"/>
      <c r="T20" s="268"/>
    </row>
    <row r="21" spans="1:20" ht="57" customHeight="1">
      <c r="A21" s="37" t="s">
        <v>15</v>
      </c>
      <c r="B21" s="37"/>
      <c r="C21" s="97" t="s">
        <v>89</v>
      </c>
      <c r="D21" s="97" t="s">
        <v>90</v>
      </c>
      <c r="E21" s="94"/>
      <c r="F21" s="93"/>
      <c r="G21" s="93"/>
      <c r="H21" s="94"/>
      <c r="I21" s="98"/>
      <c r="J21" s="99">
        <f>3050.78+3093.31+4662.23</f>
        <v>10806.32</v>
      </c>
      <c r="K21" s="93"/>
      <c r="L21" s="100">
        <f t="shared" si="5"/>
        <v>10806.32</v>
      </c>
      <c r="M21" s="99">
        <f>3050.78+3093.31+4662.23</f>
        <v>10806.32</v>
      </c>
      <c r="N21" s="37"/>
      <c r="O21" s="101">
        <f t="shared" si="6"/>
        <v>10806.32</v>
      </c>
      <c r="P21" s="102">
        <f>M21*0.65</f>
        <v>7024.108</v>
      </c>
      <c r="Q21" s="102">
        <f>N21*0.65</f>
        <v>0</v>
      </c>
      <c r="R21" s="101">
        <f>O21*0.65</f>
        <v>7024.108</v>
      </c>
      <c r="S21" s="268"/>
      <c r="T21" s="268"/>
    </row>
    <row r="22" spans="1:20" ht="32.25" customHeight="1">
      <c r="A22" s="37" t="s">
        <v>15</v>
      </c>
      <c r="B22" s="37"/>
      <c r="C22" s="97" t="s">
        <v>91</v>
      </c>
      <c r="D22" s="97" t="s">
        <v>92</v>
      </c>
      <c r="E22" s="94"/>
      <c r="F22" s="93"/>
      <c r="G22" s="93"/>
      <c r="H22" s="94"/>
      <c r="I22" s="98"/>
      <c r="J22" s="99">
        <f>583.81+1633.19+3329.06+753.78</f>
        <v>6299.839999999999</v>
      </c>
      <c r="K22" s="93"/>
      <c r="L22" s="100">
        <f t="shared" si="5"/>
        <v>6299.839999999999</v>
      </c>
      <c r="M22" s="99">
        <f>583.81+1633.19+3329.06+753.78</f>
        <v>6299.839999999999</v>
      </c>
      <c r="N22" s="37"/>
      <c r="O22" s="101">
        <f t="shared" si="6"/>
        <v>6299.839999999999</v>
      </c>
      <c r="P22" s="102">
        <f>M22*0.65</f>
        <v>4094.8959999999997</v>
      </c>
      <c r="Q22" s="102">
        <f>N22*0.65</f>
        <v>0</v>
      </c>
      <c r="R22" s="101">
        <f>O22*0.65</f>
        <v>4094.8959999999997</v>
      </c>
      <c r="S22" s="268"/>
      <c r="T22" s="268"/>
    </row>
    <row r="23" spans="1:20" ht="35.25" customHeight="1">
      <c r="A23" s="37" t="s">
        <v>15</v>
      </c>
      <c r="B23" s="37"/>
      <c r="C23" s="97" t="s">
        <v>93</v>
      </c>
      <c r="D23" s="97" t="s">
        <v>94</v>
      </c>
      <c r="E23" s="94"/>
      <c r="F23" s="93"/>
      <c r="G23" s="93"/>
      <c r="H23" s="94"/>
      <c r="I23" s="98"/>
      <c r="J23" s="99">
        <f>1104.5+1163.25+1374.75+11198</f>
        <v>14840.5</v>
      </c>
      <c r="K23" s="105"/>
      <c r="L23" s="100">
        <f t="shared" si="5"/>
        <v>14840.5</v>
      </c>
      <c r="M23" s="99">
        <f>1104.5+1163.25+1374.75+11198</f>
        <v>14840.5</v>
      </c>
      <c r="N23" s="37"/>
      <c r="O23" s="101">
        <f t="shared" si="6"/>
        <v>14840.5</v>
      </c>
      <c r="P23" s="102">
        <f>M23*0.65</f>
        <v>9646.325</v>
      </c>
      <c r="Q23" s="102"/>
      <c r="R23" s="101">
        <f>O23*0.65</f>
        <v>9646.325</v>
      </c>
      <c r="S23" s="268"/>
      <c r="T23" s="268"/>
    </row>
    <row r="24" spans="1:20" ht="35.25" customHeight="1">
      <c r="A24" s="37" t="s">
        <v>15</v>
      </c>
      <c r="B24" s="37"/>
      <c r="C24" s="97" t="s">
        <v>95</v>
      </c>
      <c r="D24" s="97" t="s">
        <v>96</v>
      </c>
      <c r="E24" s="94"/>
      <c r="F24" s="93"/>
      <c r="G24" s="93"/>
      <c r="H24" s="94"/>
      <c r="I24" s="98"/>
      <c r="J24" s="99">
        <f>293.16+575.85+1162.17+753.84</f>
        <v>2785.02</v>
      </c>
      <c r="K24" s="93"/>
      <c r="L24" s="100">
        <f t="shared" si="5"/>
        <v>2785.02</v>
      </c>
      <c r="M24" s="99">
        <f>293.16+575.85+1162.17+753.84</f>
        <v>2785.02</v>
      </c>
      <c r="N24" s="37"/>
      <c r="O24" s="101">
        <f t="shared" si="6"/>
        <v>2785.02</v>
      </c>
      <c r="P24" s="102">
        <f>M24*0.65</f>
        <v>1810.2630000000001</v>
      </c>
      <c r="Q24" s="102"/>
      <c r="R24" s="101">
        <f>O24*0.65</f>
        <v>1810.2630000000001</v>
      </c>
      <c r="S24" s="268"/>
      <c r="T24" s="268"/>
    </row>
    <row r="25" spans="1:20" ht="39.75" customHeight="1">
      <c r="A25" s="37" t="s">
        <v>15</v>
      </c>
      <c r="B25" s="37"/>
      <c r="C25" s="97" t="s">
        <v>85</v>
      </c>
      <c r="D25" s="97" t="s">
        <v>86</v>
      </c>
      <c r="E25" s="94"/>
      <c r="F25" s="93"/>
      <c r="G25" s="93"/>
      <c r="H25" s="94"/>
      <c r="I25" s="98"/>
      <c r="J25" s="99">
        <f>1907.98+7025.7+6661.76</f>
        <v>15595.44</v>
      </c>
      <c r="K25" s="93"/>
      <c r="L25" s="100">
        <f t="shared" si="5"/>
        <v>15595.44</v>
      </c>
      <c r="M25" s="99">
        <f>1907.98+7025.7+6661.76</f>
        <v>15595.44</v>
      </c>
      <c r="N25" s="37"/>
      <c r="O25" s="101">
        <f>SUM(M25:N25)</f>
        <v>15595.44</v>
      </c>
      <c r="P25" s="102">
        <f t="shared" si="7"/>
        <v>10137.036</v>
      </c>
      <c r="Q25" s="102"/>
      <c r="R25" s="101">
        <f t="shared" si="8"/>
        <v>10137.036</v>
      </c>
      <c r="S25" s="253"/>
      <c r="T25" s="268"/>
    </row>
    <row r="26" spans="1:20" ht="35.25" customHeight="1">
      <c r="A26" s="37" t="s">
        <v>15</v>
      </c>
      <c r="B26" s="37"/>
      <c r="C26" s="97" t="s">
        <v>87</v>
      </c>
      <c r="D26" s="97" t="s">
        <v>88</v>
      </c>
      <c r="E26" s="94"/>
      <c r="F26" s="93"/>
      <c r="G26" s="93"/>
      <c r="H26" s="94"/>
      <c r="I26" s="98"/>
      <c r="J26" s="99">
        <f>12967.44+11636.44</f>
        <v>24603.88</v>
      </c>
      <c r="K26" s="93"/>
      <c r="L26" s="100">
        <f t="shared" si="5"/>
        <v>24603.88</v>
      </c>
      <c r="M26" s="99">
        <f>12967.44+11636.44</f>
        <v>24603.88</v>
      </c>
      <c r="N26" s="37"/>
      <c r="O26" s="101">
        <f>SUM(M26:N26)</f>
        <v>24603.88</v>
      </c>
      <c r="P26" s="102">
        <f t="shared" si="7"/>
        <v>15992.522</v>
      </c>
      <c r="Q26" s="102"/>
      <c r="R26" s="101">
        <f t="shared" si="8"/>
        <v>15992.522</v>
      </c>
      <c r="S26" s="253"/>
      <c r="T26" s="268"/>
    </row>
    <row r="27" spans="1:20" s="113" customFormat="1" ht="47.25" customHeight="1">
      <c r="A27" s="106" t="s">
        <v>57</v>
      </c>
      <c r="B27" s="106"/>
      <c r="C27" s="107" t="s">
        <v>63</v>
      </c>
      <c r="D27" s="107" t="s">
        <v>100</v>
      </c>
      <c r="E27" s="108"/>
      <c r="F27" s="109"/>
      <c r="G27" s="109"/>
      <c r="H27" s="108"/>
      <c r="I27" s="110"/>
      <c r="J27" s="111">
        <f>13.13*108+13.13*84</f>
        <v>2520.96</v>
      </c>
      <c r="K27" s="109"/>
      <c r="L27" s="100">
        <f t="shared" si="5"/>
        <v>2520.96</v>
      </c>
      <c r="M27" s="111">
        <f>-J27</f>
        <v>-2520.96</v>
      </c>
      <c r="N27" s="106"/>
      <c r="O27" s="101">
        <f>SUM(M27:N27)</f>
        <v>-2520.96</v>
      </c>
      <c r="P27" s="112">
        <f>M27*0.65</f>
        <v>-1638.624</v>
      </c>
      <c r="Q27" s="112">
        <f>N27*0.65</f>
        <v>0</v>
      </c>
      <c r="R27" s="101">
        <f>O27*0.65</f>
        <v>-1638.624</v>
      </c>
      <c r="S27" s="258" t="s">
        <v>103</v>
      </c>
      <c r="T27" s="258"/>
    </row>
    <row r="28" spans="1:20" s="113" customFormat="1" ht="223.5" customHeight="1">
      <c r="A28" s="106" t="s">
        <v>57</v>
      </c>
      <c r="B28" s="106"/>
      <c r="C28" s="107" t="s">
        <v>50</v>
      </c>
      <c r="D28" s="107"/>
      <c r="E28" s="108"/>
      <c r="F28" s="109"/>
      <c r="G28" s="109"/>
      <c r="H28" s="108"/>
      <c r="I28" s="110"/>
      <c r="J28" s="111"/>
      <c r="K28" s="109"/>
      <c r="L28" s="100"/>
      <c r="M28" s="111">
        <f aca="true" t="shared" si="9" ref="M28:R28">-M19</f>
        <v>-40000</v>
      </c>
      <c r="N28" s="111">
        <f t="shared" si="9"/>
        <v>0</v>
      </c>
      <c r="O28" s="114">
        <f t="shared" si="9"/>
        <v>-40000</v>
      </c>
      <c r="P28" s="111">
        <f t="shared" si="9"/>
        <v>-26000</v>
      </c>
      <c r="Q28" s="111">
        <f t="shared" si="9"/>
        <v>0</v>
      </c>
      <c r="R28" s="114">
        <f t="shared" si="9"/>
        <v>-26000</v>
      </c>
      <c r="S28" s="258" t="s">
        <v>196</v>
      </c>
      <c r="T28" s="258"/>
    </row>
    <row r="29" spans="1:20" s="113" customFormat="1" ht="35.25" customHeight="1">
      <c r="A29" s="106" t="s">
        <v>57</v>
      </c>
      <c r="B29" s="106"/>
      <c r="C29" s="107"/>
      <c r="D29" s="107"/>
      <c r="E29" s="108"/>
      <c r="F29" s="109"/>
      <c r="G29" s="109"/>
      <c r="H29" s="108"/>
      <c r="I29" s="110"/>
      <c r="J29" s="111"/>
      <c r="K29" s="109"/>
      <c r="L29" s="100"/>
      <c r="M29" s="111">
        <v>525943.37</v>
      </c>
      <c r="N29" s="111"/>
      <c r="O29" s="114">
        <f>+N29+M29</f>
        <v>525943.37</v>
      </c>
      <c r="P29" s="111">
        <v>341863.1905</v>
      </c>
      <c r="Q29" s="111"/>
      <c r="R29" s="114">
        <f>+Q29+P29</f>
        <v>341863.1905</v>
      </c>
      <c r="S29" s="256" t="s">
        <v>181</v>
      </c>
      <c r="T29" s="257"/>
    </row>
    <row r="30" spans="1:20" s="36" customFormat="1" ht="37.5" customHeight="1">
      <c r="A30" s="96" t="s">
        <v>57</v>
      </c>
      <c r="B30" s="96"/>
      <c r="C30" s="97" t="s">
        <v>50</v>
      </c>
      <c r="D30" s="97" t="s">
        <v>98</v>
      </c>
      <c r="E30" s="115"/>
      <c r="F30" s="116"/>
      <c r="G30" s="116"/>
      <c r="H30" s="115"/>
      <c r="I30" s="117"/>
      <c r="J30" s="118">
        <v>42000</v>
      </c>
      <c r="K30" s="116"/>
      <c r="L30" s="100">
        <f aca="true" t="shared" si="10" ref="L30:L37">+K30+J30</f>
        <v>42000</v>
      </c>
      <c r="M30" s="118"/>
      <c r="N30" s="116"/>
      <c r="O30" s="100">
        <f aca="true" t="shared" si="11" ref="O30:O37">+N30+M30</f>
        <v>0</v>
      </c>
      <c r="P30" s="118">
        <f>+M30*0.65</f>
        <v>0</v>
      </c>
      <c r="Q30" s="118"/>
      <c r="R30" s="114">
        <f>+Q30+P30</f>
        <v>0</v>
      </c>
      <c r="S30" s="290" t="s">
        <v>203</v>
      </c>
      <c r="T30" s="291"/>
    </row>
    <row r="31" spans="1:20" s="36" customFormat="1" ht="50.25" customHeight="1">
      <c r="A31" s="96" t="s">
        <v>57</v>
      </c>
      <c r="B31" s="96"/>
      <c r="C31" s="97" t="s">
        <v>63</v>
      </c>
      <c r="D31" s="97" t="s">
        <v>148</v>
      </c>
      <c r="E31" s="115"/>
      <c r="F31" s="116"/>
      <c r="G31" s="116"/>
      <c r="H31" s="115"/>
      <c r="I31" s="117"/>
      <c r="J31" s="118">
        <v>90377.29</v>
      </c>
      <c r="K31" s="116"/>
      <c r="L31" s="100">
        <f t="shared" si="10"/>
        <v>90377.29</v>
      </c>
      <c r="M31" s="118">
        <v>90377.29</v>
      </c>
      <c r="N31" s="116"/>
      <c r="O31" s="100">
        <f t="shared" si="11"/>
        <v>90377.29</v>
      </c>
      <c r="P31" s="118">
        <f aca="true" t="shared" si="12" ref="P31:P43">+M31*0.65</f>
        <v>58745.2385</v>
      </c>
      <c r="Q31" s="118"/>
      <c r="R31" s="114">
        <f aca="true" t="shared" si="13" ref="R31:R43">+Q31+P31</f>
        <v>58745.2385</v>
      </c>
      <c r="S31" s="290"/>
      <c r="T31" s="291"/>
    </row>
    <row r="32" spans="1:20" s="36" customFormat="1" ht="50.25" customHeight="1">
      <c r="A32" s="96" t="s">
        <v>57</v>
      </c>
      <c r="B32" s="96"/>
      <c r="C32" s="97" t="s">
        <v>85</v>
      </c>
      <c r="D32" s="97" t="s">
        <v>171</v>
      </c>
      <c r="E32" s="115"/>
      <c r="F32" s="116"/>
      <c r="G32" s="116"/>
      <c r="H32" s="115"/>
      <c r="I32" s="117"/>
      <c r="J32" s="118">
        <v>72955.82</v>
      </c>
      <c r="K32" s="116"/>
      <c r="L32" s="100">
        <f t="shared" si="10"/>
        <v>72955.82</v>
      </c>
      <c r="M32" s="118">
        <v>72955.82</v>
      </c>
      <c r="N32" s="116"/>
      <c r="O32" s="100">
        <f t="shared" si="11"/>
        <v>72955.82</v>
      </c>
      <c r="P32" s="118">
        <f t="shared" si="12"/>
        <v>47421.283</v>
      </c>
      <c r="Q32" s="118"/>
      <c r="R32" s="114">
        <f t="shared" si="13"/>
        <v>47421.283</v>
      </c>
      <c r="S32" s="290"/>
      <c r="T32" s="291"/>
    </row>
    <row r="33" spans="1:20" s="36" customFormat="1" ht="50.25" customHeight="1">
      <c r="A33" s="96" t="s">
        <v>57</v>
      </c>
      <c r="B33" s="96"/>
      <c r="C33" s="97" t="s">
        <v>93</v>
      </c>
      <c r="D33" s="97" t="s">
        <v>172</v>
      </c>
      <c r="E33" s="115"/>
      <c r="F33" s="116"/>
      <c r="G33" s="116"/>
      <c r="H33" s="115"/>
      <c r="I33" s="117"/>
      <c r="J33" s="118">
        <v>68237.32</v>
      </c>
      <c r="K33" s="116"/>
      <c r="L33" s="100">
        <f t="shared" si="10"/>
        <v>68237.32</v>
      </c>
      <c r="M33" s="118">
        <v>68237.32</v>
      </c>
      <c r="N33" s="116"/>
      <c r="O33" s="100">
        <f t="shared" si="11"/>
        <v>68237.32</v>
      </c>
      <c r="P33" s="118">
        <f t="shared" si="12"/>
        <v>44354.25800000001</v>
      </c>
      <c r="Q33" s="118"/>
      <c r="R33" s="114">
        <f t="shared" si="13"/>
        <v>44354.25800000001</v>
      </c>
      <c r="S33" s="290"/>
      <c r="T33" s="291"/>
    </row>
    <row r="34" spans="1:20" s="36" customFormat="1" ht="50.25" customHeight="1">
      <c r="A34" s="96" t="s">
        <v>57</v>
      </c>
      <c r="B34" s="96"/>
      <c r="C34" s="97" t="s">
        <v>95</v>
      </c>
      <c r="D34" s="97" t="s">
        <v>173</v>
      </c>
      <c r="E34" s="115"/>
      <c r="F34" s="116"/>
      <c r="G34" s="116"/>
      <c r="H34" s="115"/>
      <c r="I34" s="117"/>
      <c r="J34" s="118">
        <v>24300.98</v>
      </c>
      <c r="K34" s="116"/>
      <c r="L34" s="100">
        <f t="shared" si="10"/>
        <v>24300.98</v>
      </c>
      <c r="M34" s="118">
        <v>24300.98</v>
      </c>
      <c r="N34" s="116"/>
      <c r="O34" s="100">
        <f t="shared" si="11"/>
        <v>24300.98</v>
      </c>
      <c r="P34" s="118">
        <f t="shared" si="12"/>
        <v>15795.637</v>
      </c>
      <c r="Q34" s="118"/>
      <c r="R34" s="114">
        <f t="shared" si="13"/>
        <v>15795.637</v>
      </c>
      <c r="S34" s="290"/>
      <c r="T34" s="291"/>
    </row>
    <row r="35" spans="1:20" s="36" customFormat="1" ht="50.25" customHeight="1">
      <c r="A35" s="96" t="s">
        <v>57</v>
      </c>
      <c r="B35" s="96"/>
      <c r="C35" s="97" t="s">
        <v>87</v>
      </c>
      <c r="D35" s="97" t="s">
        <v>174</v>
      </c>
      <c r="E35" s="115"/>
      <c r="F35" s="116"/>
      <c r="G35" s="116"/>
      <c r="H35" s="115"/>
      <c r="I35" s="117"/>
      <c r="J35" s="118">
        <v>59367.75</v>
      </c>
      <c r="K35" s="116"/>
      <c r="L35" s="100">
        <f t="shared" si="10"/>
        <v>59367.75</v>
      </c>
      <c r="M35" s="118">
        <v>59367.75</v>
      </c>
      <c r="N35" s="116"/>
      <c r="O35" s="100">
        <f t="shared" si="11"/>
        <v>59367.75</v>
      </c>
      <c r="P35" s="118">
        <f t="shared" si="12"/>
        <v>38589.0375</v>
      </c>
      <c r="Q35" s="118"/>
      <c r="R35" s="114">
        <f t="shared" si="13"/>
        <v>38589.0375</v>
      </c>
      <c r="S35" s="290"/>
      <c r="T35" s="291"/>
    </row>
    <row r="36" spans="1:20" s="36" customFormat="1" ht="11.25">
      <c r="A36" s="96" t="s">
        <v>57</v>
      </c>
      <c r="B36" s="96"/>
      <c r="C36" s="97" t="s">
        <v>206</v>
      </c>
      <c r="D36" s="97" t="s">
        <v>171</v>
      </c>
      <c r="E36" s="115"/>
      <c r="F36" s="116"/>
      <c r="G36" s="116"/>
      <c r="H36" s="115"/>
      <c r="I36" s="117"/>
      <c r="J36" s="118">
        <v>54352.25</v>
      </c>
      <c r="K36" s="116"/>
      <c r="L36" s="100">
        <f t="shared" si="10"/>
        <v>54352.25</v>
      </c>
      <c r="M36" s="118">
        <v>54352.25</v>
      </c>
      <c r="N36" s="116"/>
      <c r="O36" s="100">
        <f t="shared" si="11"/>
        <v>54352.25</v>
      </c>
      <c r="P36" s="118">
        <f t="shared" si="12"/>
        <v>35328.9625</v>
      </c>
      <c r="Q36" s="118"/>
      <c r="R36" s="114">
        <f t="shared" si="13"/>
        <v>35328.9625</v>
      </c>
      <c r="S36" s="290"/>
      <c r="T36" s="291"/>
    </row>
    <row r="37" spans="1:20" s="36" customFormat="1" ht="50.25" customHeight="1">
      <c r="A37" s="96" t="s">
        <v>57</v>
      </c>
      <c r="B37" s="96"/>
      <c r="C37" s="97" t="s">
        <v>175</v>
      </c>
      <c r="D37" s="97" t="s">
        <v>176</v>
      </c>
      <c r="E37" s="115"/>
      <c r="F37" s="116"/>
      <c r="G37" s="116"/>
      <c r="H37" s="115"/>
      <c r="I37" s="117"/>
      <c r="J37" s="118">
        <v>15015.2</v>
      </c>
      <c r="K37" s="116"/>
      <c r="L37" s="100">
        <f t="shared" si="10"/>
        <v>15015.2</v>
      </c>
      <c r="M37" s="118">
        <v>15015.2</v>
      </c>
      <c r="N37" s="116"/>
      <c r="O37" s="100">
        <f t="shared" si="11"/>
        <v>15015.2</v>
      </c>
      <c r="P37" s="118">
        <f t="shared" si="12"/>
        <v>9759.880000000001</v>
      </c>
      <c r="Q37" s="118"/>
      <c r="R37" s="114">
        <f t="shared" si="13"/>
        <v>9759.880000000001</v>
      </c>
      <c r="S37" s="290"/>
      <c r="T37" s="291"/>
    </row>
    <row r="38" spans="1:20" ht="30.75" customHeight="1">
      <c r="A38" s="119" t="s">
        <v>57</v>
      </c>
      <c r="B38" s="120"/>
      <c r="C38" s="97" t="s">
        <v>89</v>
      </c>
      <c r="D38" s="97" t="s">
        <v>177</v>
      </c>
      <c r="E38" s="121"/>
      <c r="F38" s="121"/>
      <c r="G38" s="122"/>
      <c r="H38" s="123"/>
      <c r="I38" s="123"/>
      <c r="J38" s="102">
        <v>56867.75</v>
      </c>
      <c r="K38" s="102"/>
      <c r="L38" s="101">
        <f>SUM(J38:K38)</f>
        <v>56867.75</v>
      </c>
      <c r="M38" s="102">
        <v>56867.75</v>
      </c>
      <c r="N38" s="102"/>
      <c r="O38" s="101">
        <f aca="true" t="shared" si="14" ref="O38:O43">SUM(M38:N38)</f>
        <v>56867.75</v>
      </c>
      <c r="P38" s="118">
        <f t="shared" si="12"/>
        <v>36964.0375</v>
      </c>
      <c r="Q38" s="118"/>
      <c r="R38" s="114">
        <f t="shared" si="13"/>
        <v>36964.0375</v>
      </c>
      <c r="S38" s="290"/>
      <c r="T38" s="291"/>
    </row>
    <row r="39" spans="1:20" ht="30.75" customHeight="1">
      <c r="A39" s="119" t="s">
        <v>57</v>
      </c>
      <c r="B39" s="120"/>
      <c r="C39" s="97" t="s">
        <v>178</v>
      </c>
      <c r="D39" s="97" t="s">
        <v>179</v>
      </c>
      <c r="E39" s="121"/>
      <c r="F39" s="121"/>
      <c r="G39" s="122"/>
      <c r="H39" s="123"/>
      <c r="I39" s="123"/>
      <c r="J39" s="102">
        <v>42469.01</v>
      </c>
      <c r="K39" s="102"/>
      <c r="L39" s="101">
        <f>SUM(J39:K39)</f>
        <v>42469.01</v>
      </c>
      <c r="M39" s="102">
        <v>42469.01</v>
      </c>
      <c r="N39" s="102"/>
      <c r="O39" s="101">
        <f t="shared" si="14"/>
        <v>42469.01</v>
      </c>
      <c r="P39" s="118">
        <f t="shared" si="12"/>
        <v>27604.8565</v>
      </c>
      <c r="Q39" s="118"/>
      <c r="R39" s="114">
        <f t="shared" si="13"/>
        <v>27604.8565</v>
      </c>
      <c r="S39" s="290"/>
      <c r="T39" s="291"/>
    </row>
    <row r="40" spans="1:20" ht="30.75" customHeight="1">
      <c r="A40" s="124" t="s">
        <v>183</v>
      </c>
      <c r="B40" s="120"/>
      <c r="C40" s="97" t="s">
        <v>50</v>
      </c>
      <c r="D40" s="97"/>
      <c r="E40" s="121"/>
      <c r="F40" s="121"/>
      <c r="G40" s="122"/>
      <c r="H40" s="123"/>
      <c r="I40" s="123"/>
      <c r="J40" s="102"/>
      <c r="K40" s="102"/>
      <c r="L40" s="101"/>
      <c r="M40" s="102">
        <f>SUM(M30:M39)-M29</f>
        <v>-41999.99999999994</v>
      </c>
      <c r="N40" s="102"/>
      <c r="O40" s="101">
        <f t="shared" si="14"/>
        <v>-41999.99999999994</v>
      </c>
      <c r="P40" s="102">
        <f>SUM(P30:P39)-P29</f>
        <v>-27300.00000000006</v>
      </c>
      <c r="Q40" s="102"/>
      <c r="R40" s="101">
        <f>SUM(P40:Q40)</f>
        <v>-27300.00000000006</v>
      </c>
      <c r="S40" s="266" t="s">
        <v>199</v>
      </c>
      <c r="T40" s="267"/>
    </row>
    <row r="41" spans="1:20" ht="30.75" customHeight="1">
      <c r="A41" s="124" t="s">
        <v>183</v>
      </c>
      <c r="B41" s="120"/>
      <c r="C41" s="249" t="s">
        <v>63</v>
      </c>
      <c r="D41" s="97" t="s">
        <v>210</v>
      </c>
      <c r="E41" s="121"/>
      <c r="F41" s="121"/>
      <c r="G41" s="122"/>
      <c r="H41" s="123"/>
      <c r="I41" s="123"/>
      <c r="J41" s="102">
        <f>23693.6+61709.27</f>
        <v>85402.87</v>
      </c>
      <c r="K41" s="102"/>
      <c r="L41" s="101">
        <f aca="true" t="shared" si="15" ref="L41:L54">SUM(J41:K41)</f>
        <v>85402.87</v>
      </c>
      <c r="M41" s="102">
        <f>+J41</f>
        <v>85402.87</v>
      </c>
      <c r="N41" s="102"/>
      <c r="O41" s="101">
        <f t="shared" si="14"/>
        <v>85402.87</v>
      </c>
      <c r="P41" s="118">
        <f t="shared" si="12"/>
        <v>55511.8655</v>
      </c>
      <c r="Q41" s="125"/>
      <c r="R41" s="114">
        <f t="shared" si="13"/>
        <v>55511.8655</v>
      </c>
      <c r="S41" s="266"/>
      <c r="T41" s="267"/>
    </row>
    <row r="42" spans="1:20" ht="37.5" customHeight="1">
      <c r="A42" s="124" t="s">
        <v>183</v>
      </c>
      <c r="B42" s="120"/>
      <c r="C42" s="97" t="s">
        <v>50</v>
      </c>
      <c r="D42" s="97" t="s">
        <v>213</v>
      </c>
      <c r="E42" s="121"/>
      <c r="F42" s="121"/>
      <c r="G42" s="122"/>
      <c r="H42" s="123"/>
      <c r="I42" s="123"/>
      <c r="J42" s="102">
        <f>19.3*579</f>
        <v>11174.7</v>
      </c>
      <c r="K42" s="102"/>
      <c r="L42" s="101">
        <f t="shared" si="15"/>
        <v>11174.7</v>
      </c>
      <c r="M42" s="102">
        <f>+J42</f>
        <v>11174.7</v>
      </c>
      <c r="N42" s="102"/>
      <c r="O42" s="101">
        <f t="shared" si="14"/>
        <v>11174.7</v>
      </c>
      <c r="P42" s="118">
        <f t="shared" si="12"/>
        <v>7263.555</v>
      </c>
      <c r="Q42" s="118"/>
      <c r="R42" s="114">
        <f t="shared" si="13"/>
        <v>7263.555</v>
      </c>
      <c r="S42" s="266"/>
      <c r="T42" s="267"/>
    </row>
    <row r="43" spans="1:20" ht="35.25" customHeight="1">
      <c r="A43" s="124" t="s">
        <v>183</v>
      </c>
      <c r="B43" s="120"/>
      <c r="C43" s="97" t="s">
        <v>85</v>
      </c>
      <c r="D43" s="97" t="s">
        <v>219</v>
      </c>
      <c r="E43" s="121"/>
      <c r="F43" s="121"/>
      <c r="G43" s="122"/>
      <c r="H43" s="123"/>
      <c r="I43" s="123"/>
      <c r="J43" s="102">
        <v>92019.23</v>
      </c>
      <c r="K43" s="102"/>
      <c r="L43" s="101">
        <f t="shared" si="15"/>
        <v>92019.23</v>
      </c>
      <c r="M43" s="102">
        <f>+J43</f>
        <v>92019.23</v>
      </c>
      <c r="N43" s="102"/>
      <c r="O43" s="101">
        <f t="shared" si="14"/>
        <v>92019.23</v>
      </c>
      <c r="P43" s="118">
        <f t="shared" si="12"/>
        <v>59812.4995</v>
      </c>
      <c r="Q43" s="118"/>
      <c r="R43" s="114">
        <f t="shared" si="13"/>
        <v>59812.4995</v>
      </c>
      <c r="S43" s="266"/>
      <c r="T43" s="267"/>
    </row>
    <row r="44" spans="1:20" ht="35.25" customHeight="1">
      <c r="A44" s="124" t="s">
        <v>236</v>
      </c>
      <c r="B44" s="120"/>
      <c r="C44" s="97" t="s">
        <v>93</v>
      </c>
      <c r="D44" s="97" t="s">
        <v>237</v>
      </c>
      <c r="E44" s="121"/>
      <c r="F44" s="121"/>
      <c r="G44" s="122"/>
      <c r="H44" s="123"/>
      <c r="I44" s="123"/>
      <c r="J44" s="102">
        <v>9632.2</v>
      </c>
      <c r="K44" s="102"/>
      <c r="L44" s="101">
        <f t="shared" si="15"/>
        <v>9632.2</v>
      </c>
      <c r="M44" s="102">
        <f>+J44</f>
        <v>9632.2</v>
      </c>
      <c r="N44" s="102"/>
      <c r="O44" s="101">
        <f>SUM(M44:N44)</f>
        <v>9632.2</v>
      </c>
      <c r="P44" s="118">
        <f>+M44*0.65</f>
        <v>6260.93</v>
      </c>
      <c r="Q44" s="118"/>
      <c r="R44" s="114">
        <f>+Q44+P44</f>
        <v>6260.93</v>
      </c>
      <c r="S44" s="238"/>
      <c r="T44" s="239"/>
    </row>
    <row r="45" spans="1:20" ht="35.25" customHeight="1">
      <c r="A45" s="124" t="s">
        <v>236</v>
      </c>
      <c r="B45" s="120"/>
      <c r="C45" s="97" t="s">
        <v>93</v>
      </c>
      <c r="D45" s="97" t="s">
        <v>238</v>
      </c>
      <c r="E45" s="121"/>
      <c r="F45" s="121"/>
      <c r="G45" s="122"/>
      <c r="H45" s="123"/>
      <c r="I45" s="123"/>
      <c r="J45" s="102">
        <v>57576.56</v>
      </c>
      <c r="K45" s="102"/>
      <c r="L45" s="101">
        <f t="shared" si="15"/>
        <v>57576.56</v>
      </c>
      <c r="M45" s="102">
        <v>57576.56</v>
      </c>
      <c r="N45" s="102"/>
      <c r="O45" s="101">
        <f aca="true" t="shared" si="16" ref="O45:O54">SUM(M45:N45)</f>
        <v>57576.56</v>
      </c>
      <c r="P45" s="118">
        <f aca="true" t="shared" si="17" ref="P45:P54">+M45*0.65</f>
        <v>37424.764</v>
      </c>
      <c r="Q45" s="118"/>
      <c r="R45" s="114">
        <f aca="true" t="shared" si="18" ref="R45:R54">+Q45+P45</f>
        <v>37424.764</v>
      </c>
      <c r="S45" s="238"/>
      <c r="T45" s="239"/>
    </row>
    <row r="46" spans="1:20" ht="35.25" customHeight="1">
      <c r="A46" s="124" t="s">
        <v>236</v>
      </c>
      <c r="B46" s="120"/>
      <c r="C46" s="97" t="s">
        <v>93</v>
      </c>
      <c r="D46" s="97" t="s">
        <v>239</v>
      </c>
      <c r="E46" s="121"/>
      <c r="F46" s="121"/>
      <c r="G46" s="122"/>
      <c r="H46" s="123"/>
      <c r="I46" s="123"/>
      <c r="J46" s="102">
        <v>40549.76</v>
      </c>
      <c r="K46" s="102"/>
      <c r="L46" s="101">
        <f t="shared" si="15"/>
        <v>40549.76</v>
      </c>
      <c r="M46" s="102">
        <v>40549.76</v>
      </c>
      <c r="N46" s="102"/>
      <c r="O46" s="101">
        <f t="shared" si="16"/>
        <v>40549.76</v>
      </c>
      <c r="P46" s="118">
        <f t="shared" si="17"/>
        <v>26357.344</v>
      </c>
      <c r="Q46" s="118"/>
      <c r="R46" s="114">
        <f t="shared" si="18"/>
        <v>26357.344</v>
      </c>
      <c r="S46" s="238"/>
      <c r="T46" s="239"/>
    </row>
    <row r="47" spans="1:20" ht="35.25" customHeight="1">
      <c r="A47" s="124" t="s">
        <v>236</v>
      </c>
      <c r="B47" s="120"/>
      <c r="C47" s="97" t="s">
        <v>85</v>
      </c>
      <c r="D47" s="97" t="s">
        <v>171</v>
      </c>
      <c r="E47" s="121"/>
      <c r="F47" s="121"/>
      <c r="G47" s="122"/>
      <c r="H47" s="123"/>
      <c r="I47" s="123"/>
      <c r="J47" s="102">
        <v>41272.63</v>
      </c>
      <c r="K47" s="102"/>
      <c r="L47" s="101">
        <f t="shared" si="15"/>
        <v>41272.63</v>
      </c>
      <c r="M47" s="102">
        <v>41272.63</v>
      </c>
      <c r="N47" s="102"/>
      <c r="O47" s="101">
        <f t="shared" si="16"/>
        <v>41272.63</v>
      </c>
      <c r="P47" s="118">
        <f t="shared" si="17"/>
        <v>26827.2095</v>
      </c>
      <c r="Q47" s="118"/>
      <c r="R47" s="114">
        <f t="shared" si="18"/>
        <v>26827.2095</v>
      </c>
      <c r="S47" s="238"/>
      <c r="T47" s="239"/>
    </row>
    <row r="48" spans="1:20" ht="35.25" customHeight="1">
      <c r="A48" s="124" t="s">
        <v>236</v>
      </c>
      <c r="B48" s="120"/>
      <c r="C48" s="97" t="s">
        <v>87</v>
      </c>
      <c r="D48" s="97" t="s">
        <v>174</v>
      </c>
      <c r="E48" s="121"/>
      <c r="F48" s="121"/>
      <c r="G48" s="122"/>
      <c r="H48" s="123"/>
      <c r="I48" s="123"/>
      <c r="J48" s="102">
        <v>69143.42</v>
      </c>
      <c r="K48" s="102"/>
      <c r="L48" s="101">
        <f t="shared" si="15"/>
        <v>69143.42</v>
      </c>
      <c r="M48" s="102">
        <v>69143.42</v>
      </c>
      <c r="N48" s="102"/>
      <c r="O48" s="101">
        <f t="shared" si="16"/>
        <v>69143.42</v>
      </c>
      <c r="P48" s="118">
        <f t="shared" si="17"/>
        <v>44943.223</v>
      </c>
      <c r="Q48" s="118"/>
      <c r="R48" s="114">
        <f t="shared" si="18"/>
        <v>44943.223</v>
      </c>
      <c r="S48" s="238"/>
      <c r="T48" s="239"/>
    </row>
    <row r="49" spans="1:20" ht="35.25" customHeight="1">
      <c r="A49" s="124" t="s">
        <v>236</v>
      </c>
      <c r="B49" s="120"/>
      <c r="C49" s="97" t="s">
        <v>95</v>
      </c>
      <c r="D49" s="97" t="s">
        <v>174</v>
      </c>
      <c r="E49" s="121"/>
      <c r="F49" s="121"/>
      <c r="G49" s="122"/>
      <c r="H49" s="123"/>
      <c r="I49" s="123"/>
      <c r="J49" s="102">
        <v>22881.03</v>
      </c>
      <c r="K49" s="102"/>
      <c r="L49" s="101">
        <f t="shared" si="15"/>
        <v>22881.03</v>
      </c>
      <c r="M49" s="102">
        <v>22881.03</v>
      </c>
      <c r="N49" s="102"/>
      <c r="O49" s="101">
        <f t="shared" si="16"/>
        <v>22881.03</v>
      </c>
      <c r="P49" s="118">
        <f t="shared" si="17"/>
        <v>14872.6695</v>
      </c>
      <c r="Q49" s="118"/>
      <c r="R49" s="114">
        <f t="shared" si="18"/>
        <v>14872.6695</v>
      </c>
      <c r="S49" s="238"/>
      <c r="T49" s="239"/>
    </row>
    <row r="50" spans="1:20" ht="32.25" customHeight="1">
      <c r="A50" s="124" t="s">
        <v>236</v>
      </c>
      <c r="B50" s="120"/>
      <c r="C50" s="97" t="s">
        <v>63</v>
      </c>
      <c r="D50" s="97" t="s">
        <v>262</v>
      </c>
      <c r="E50" s="121"/>
      <c r="F50" s="121"/>
      <c r="G50" s="122"/>
      <c r="H50" s="123"/>
      <c r="I50" s="123"/>
      <c r="J50" s="102">
        <v>75995.27</v>
      </c>
      <c r="K50" s="102"/>
      <c r="L50" s="101">
        <f t="shared" si="15"/>
        <v>75995.27</v>
      </c>
      <c r="M50" s="102">
        <v>75995.27</v>
      </c>
      <c r="N50" s="102"/>
      <c r="O50" s="101">
        <f t="shared" si="16"/>
        <v>75995.27</v>
      </c>
      <c r="P50" s="118">
        <f t="shared" si="17"/>
        <v>49396.925500000005</v>
      </c>
      <c r="Q50" s="118"/>
      <c r="R50" s="114">
        <f t="shared" si="18"/>
        <v>49396.925500000005</v>
      </c>
      <c r="S50" s="238"/>
      <c r="T50" s="239"/>
    </row>
    <row r="51" spans="1:20" ht="32.25" customHeight="1">
      <c r="A51" s="124" t="s">
        <v>236</v>
      </c>
      <c r="B51" s="120"/>
      <c r="C51" s="97" t="s">
        <v>175</v>
      </c>
      <c r="D51" s="97" t="s">
        <v>176</v>
      </c>
      <c r="E51" s="121"/>
      <c r="F51" s="121"/>
      <c r="G51" s="122"/>
      <c r="H51" s="123"/>
      <c r="I51" s="123"/>
      <c r="J51" s="102">
        <v>21977.73</v>
      </c>
      <c r="K51" s="102"/>
      <c r="L51" s="101">
        <f t="shared" si="15"/>
        <v>21977.73</v>
      </c>
      <c r="M51" s="102">
        <v>21977.73</v>
      </c>
      <c r="N51" s="102"/>
      <c r="O51" s="101">
        <f t="shared" si="16"/>
        <v>21977.73</v>
      </c>
      <c r="P51" s="118">
        <f t="shared" si="17"/>
        <v>14285.5245</v>
      </c>
      <c r="Q51" s="118"/>
      <c r="R51" s="114">
        <f t="shared" si="18"/>
        <v>14285.5245</v>
      </c>
      <c r="S51" s="238"/>
      <c r="T51" s="239"/>
    </row>
    <row r="52" spans="1:20" ht="32.25" customHeight="1">
      <c r="A52" s="124" t="s">
        <v>236</v>
      </c>
      <c r="B52" s="120"/>
      <c r="C52" s="97" t="s">
        <v>89</v>
      </c>
      <c r="D52" s="97" t="s">
        <v>90</v>
      </c>
      <c r="E52" s="121"/>
      <c r="F52" s="121"/>
      <c r="G52" s="122"/>
      <c r="H52" s="123"/>
      <c r="I52" s="123"/>
      <c r="J52" s="102">
        <v>81461.44</v>
      </c>
      <c r="K52" s="102"/>
      <c r="L52" s="101">
        <f t="shared" si="15"/>
        <v>81461.44</v>
      </c>
      <c r="M52" s="102">
        <v>81461.44</v>
      </c>
      <c r="N52" s="102"/>
      <c r="O52" s="101">
        <f t="shared" si="16"/>
        <v>81461.44</v>
      </c>
      <c r="P52" s="118">
        <f t="shared" si="17"/>
        <v>52949.936</v>
      </c>
      <c r="Q52" s="118"/>
      <c r="R52" s="114">
        <f t="shared" si="18"/>
        <v>52949.936</v>
      </c>
      <c r="S52" s="238"/>
      <c r="T52" s="239"/>
    </row>
    <row r="53" spans="1:20" ht="35.25" customHeight="1">
      <c r="A53" s="124" t="s">
        <v>236</v>
      </c>
      <c r="B53" s="120"/>
      <c r="C53" s="97" t="s">
        <v>178</v>
      </c>
      <c r="D53" s="97" t="s">
        <v>179</v>
      </c>
      <c r="E53" s="121"/>
      <c r="F53" s="121"/>
      <c r="G53" s="122"/>
      <c r="H53" s="123"/>
      <c r="I53" s="123"/>
      <c r="J53" s="102">
        <v>39865.34</v>
      </c>
      <c r="K53" s="102"/>
      <c r="L53" s="101">
        <f t="shared" si="15"/>
        <v>39865.34</v>
      </c>
      <c r="M53" s="102">
        <v>39865.34</v>
      </c>
      <c r="N53" s="102"/>
      <c r="O53" s="101">
        <f t="shared" si="16"/>
        <v>39865.34</v>
      </c>
      <c r="P53" s="118">
        <f t="shared" si="17"/>
        <v>25912.470999999998</v>
      </c>
      <c r="Q53" s="118"/>
      <c r="R53" s="114">
        <f t="shared" si="18"/>
        <v>25912.470999999998</v>
      </c>
      <c r="S53" s="238"/>
      <c r="T53" s="239"/>
    </row>
    <row r="54" spans="1:20" ht="35.25" customHeight="1">
      <c r="A54" s="124" t="s">
        <v>236</v>
      </c>
      <c r="B54" s="120"/>
      <c r="C54" s="97" t="s">
        <v>50</v>
      </c>
      <c r="D54" s="97" t="s">
        <v>213</v>
      </c>
      <c r="E54" s="121"/>
      <c r="F54" s="121"/>
      <c r="G54" s="122"/>
      <c r="H54" s="123"/>
      <c r="I54" s="123"/>
      <c r="J54" s="102">
        <v>16791</v>
      </c>
      <c r="K54" s="102"/>
      <c r="L54" s="101">
        <f t="shared" si="15"/>
        <v>16791</v>
      </c>
      <c r="M54" s="102">
        <v>16791</v>
      </c>
      <c r="N54" s="102"/>
      <c r="O54" s="101">
        <f t="shared" si="16"/>
        <v>16791</v>
      </c>
      <c r="P54" s="118">
        <f t="shared" si="17"/>
        <v>10914.15</v>
      </c>
      <c r="Q54" s="118"/>
      <c r="R54" s="114">
        <f t="shared" si="18"/>
        <v>10914.15</v>
      </c>
      <c r="S54" s="238"/>
      <c r="T54" s="239"/>
    </row>
    <row r="55" spans="1:20" ht="15.75" customHeight="1">
      <c r="A55" s="124"/>
      <c r="B55" s="120"/>
      <c r="C55" s="97"/>
      <c r="D55" s="121"/>
      <c r="E55" s="121"/>
      <c r="F55" s="121"/>
      <c r="G55" s="122"/>
      <c r="H55" s="123"/>
      <c r="I55" s="123"/>
      <c r="J55" s="102"/>
      <c r="K55" s="102"/>
      <c r="L55" s="101"/>
      <c r="M55" s="126">
        <f>L55</f>
        <v>0</v>
      </c>
      <c r="N55" s="102"/>
      <c r="O55" s="101"/>
      <c r="P55" s="102">
        <f>M55*0.65</f>
        <v>0</v>
      </c>
      <c r="Q55" s="102"/>
      <c r="R55" s="101"/>
      <c r="S55" s="292"/>
      <c r="T55" s="292"/>
    </row>
    <row r="56" ht="11.25"/>
    <row r="57" spans="1:20" s="69" customFormat="1" ht="11.25">
      <c r="A57" s="314" t="s">
        <v>7</v>
      </c>
      <c r="B57" s="315"/>
      <c r="C57" s="315"/>
      <c r="D57" s="315"/>
      <c r="E57" s="315"/>
      <c r="F57" s="315"/>
      <c r="G57" s="315"/>
      <c r="H57" s="315"/>
      <c r="I57" s="315"/>
      <c r="J57" s="315"/>
      <c r="K57" s="315"/>
      <c r="L57" s="316"/>
      <c r="M57" s="65" t="s">
        <v>44</v>
      </c>
      <c r="N57" s="66" t="s">
        <v>45</v>
      </c>
      <c r="O57" s="66" t="s">
        <v>46</v>
      </c>
      <c r="P57" s="66" t="s">
        <v>47</v>
      </c>
      <c r="Q57" s="66" t="s">
        <v>48</v>
      </c>
      <c r="R57" s="66" t="s">
        <v>43</v>
      </c>
      <c r="S57" s="67" t="s">
        <v>25</v>
      </c>
      <c r="T57" s="68" t="s">
        <v>26</v>
      </c>
    </row>
    <row r="58" spans="1:21" ht="11.25">
      <c r="A58" s="320"/>
      <c r="B58" s="321"/>
      <c r="C58" s="304"/>
      <c r="D58" s="300"/>
      <c r="E58" s="300"/>
      <c r="F58" s="300"/>
      <c r="G58" s="300"/>
      <c r="H58" s="300"/>
      <c r="I58" s="300"/>
      <c r="J58" s="300"/>
      <c r="K58" s="305"/>
      <c r="L58" s="127" t="s">
        <v>12</v>
      </c>
      <c r="M58" s="128">
        <f>1857.96*1000</f>
        <v>1857960</v>
      </c>
      <c r="N58" s="75">
        <f>M58*0.2</f>
        <v>371592</v>
      </c>
      <c r="O58" s="74">
        <f>SUM(M58:N58)</f>
        <v>2229552</v>
      </c>
      <c r="P58" s="75">
        <f>M58*0.65</f>
        <v>1207674</v>
      </c>
      <c r="Q58" s="75">
        <f>P58*0.2</f>
        <v>241534.80000000002</v>
      </c>
      <c r="R58" s="74">
        <f>SUM(P58:Q58)</f>
        <v>1449208.8</v>
      </c>
      <c r="S58" s="129"/>
      <c r="T58" s="129"/>
      <c r="U58" s="38"/>
    </row>
    <row r="59" spans="1:21" ht="11.25">
      <c r="A59" s="262"/>
      <c r="B59" s="297"/>
      <c r="C59" s="77"/>
      <c r="D59" s="78"/>
      <c r="E59" s="78"/>
      <c r="F59" s="78"/>
      <c r="G59" s="78"/>
      <c r="H59" s="78"/>
      <c r="I59" s="78"/>
      <c r="J59" s="78"/>
      <c r="K59" s="79">
        <v>0</v>
      </c>
      <c r="L59" s="130" t="s">
        <v>28</v>
      </c>
      <c r="M59" s="81">
        <f aca="true" t="shared" si="19" ref="M59:R59">SUM(M66:M83)</f>
        <v>190262.59</v>
      </c>
      <c r="N59" s="81">
        <f t="shared" si="19"/>
        <v>17379.291999999998</v>
      </c>
      <c r="O59" s="82">
        <f t="shared" si="19"/>
        <v>207641.88199999998</v>
      </c>
      <c r="P59" s="81">
        <f t="shared" si="19"/>
        <v>123670.68350000001</v>
      </c>
      <c r="Q59" s="81">
        <f t="shared" si="19"/>
        <v>11296.539799999999</v>
      </c>
      <c r="R59" s="82">
        <f t="shared" si="19"/>
        <v>134967.2233</v>
      </c>
      <c r="S59" s="83">
        <f>R59*0.375</f>
        <v>50612.708737500005</v>
      </c>
      <c r="T59" s="83">
        <f>R59-S59</f>
        <v>84354.5145625</v>
      </c>
      <c r="U59" s="38"/>
    </row>
    <row r="60" spans="1:21" ht="11.25">
      <c r="A60" s="262"/>
      <c r="B60" s="297"/>
      <c r="C60" s="77"/>
      <c r="D60" s="78"/>
      <c r="E60" s="78"/>
      <c r="F60" s="131"/>
      <c r="G60" s="132"/>
      <c r="H60" s="78"/>
      <c r="I60" s="78"/>
      <c r="J60" s="78"/>
      <c r="K60" s="84"/>
      <c r="L60" s="130" t="s">
        <v>29</v>
      </c>
      <c r="M60" s="81">
        <f>SUM(M84:M85)</f>
        <v>191699.64</v>
      </c>
      <c r="N60" s="81">
        <f>SUM(N84:N85)</f>
        <v>-16479.292</v>
      </c>
      <c r="O60" s="82">
        <f>+N60+M60</f>
        <v>175220.348</v>
      </c>
      <c r="P60" s="81">
        <f>SUM(P84:P85)</f>
        <v>124604.766</v>
      </c>
      <c r="Q60" s="81">
        <f>SUM(Q84:Q85)</f>
        <v>-10711.5398</v>
      </c>
      <c r="R60" s="82">
        <f>+Q60+P60</f>
        <v>113893.2262</v>
      </c>
      <c r="S60" s="83">
        <f>R60*0.375</f>
        <v>42709.959825</v>
      </c>
      <c r="T60" s="83">
        <f>R60-S60</f>
        <v>71183.266375</v>
      </c>
      <c r="U60" s="38"/>
    </row>
    <row r="61" spans="1:21" ht="11.25">
      <c r="A61" s="262"/>
      <c r="B61" s="297"/>
      <c r="C61" s="77"/>
      <c r="D61" s="78"/>
      <c r="E61" s="78"/>
      <c r="F61" s="78"/>
      <c r="G61" s="78"/>
      <c r="H61" s="78"/>
      <c r="I61" s="78"/>
      <c r="J61" s="78"/>
      <c r="K61" s="84"/>
      <c r="L61" s="80" t="s">
        <v>189</v>
      </c>
      <c r="M61" s="81">
        <f>SUM(M102:M117)</f>
        <v>53132.359999999986</v>
      </c>
      <c r="N61" s="81">
        <f>SUM(N102:N117)</f>
        <v>2760</v>
      </c>
      <c r="O61" s="82">
        <f>+N61+M61</f>
        <v>55892.359999999986</v>
      </c>
      <c r="P61" s="81">
        <f>SUM(P102:P117)</f>
        <v>34536.033999999985</v>
      </c>
      <c r="Q61" s="81">
        <f>SUM(Q102:Q117)</f>
        <v>1794</v>
      </c>
      <c r="R61" s="82">
        <f>+Q61+P61</f>
        <v>36330.033999999985</v>
      </c>
      <c r="S61" s="83">
        <f>R61*0.375</f>
        <v>13623.762749999994</v>
      </c>
      <c r="T61" s="83">
        <f>R61-S61</f>
        <v>22706.27124999999</v>
      </c>
      <c r="U61" s="38"/>
    </row>
    <row r="62" spans="1:21" ht="11.25">
      <c r="A62" s="262"/>
      <c r="B62" s="297"/>
      <c r="C62" s="77"/>
      <c r="D62" s="78"/>
      <c r="E62" s="78"/>
      <c r="F62" s="78"/>
      <c r="G62" s="78"/>
      <c r="H62" s="78"/>
      <c r="I62" s="78"/>
      <c r="J62" s="78"/>
      <c r="K62" s="84"/>
      <c r="L62" s="80" t="s">
        <v>317</v>
      </c>
      <c r="M62" s="81">
        <f>SUM(M118:M128)</f>
        <v>148387.44</v>
      </c>
      <c r="N62" s="81">
        <f>SUM(N118:N128)</f>
        <v>0</v>
      </c>
      <c r="O62" s="82">
        <f>+N62+M62</f>
        <v>148387.44</v>
      </c>
      <c r="P62" s="81">
        <f>SUM(P118:P128)</f>
        <v>96451.83600000001</v>
      </c>
      <c r="Q62" s="81">
        <f>SUM(Q118:Q128)</f>
        <v>0</v>
      </c>
      <c r="R62" s="82">
        <f>+Q62+P62</f>
        <v>96451.83600000001</v>
      </c>
      <c r="S62" s="83">
        <f>R62*0.375</f>
        <v>36169.438500000004</v>
      </c>
      <c r="T62" s="83">
        <f>R62-S62</f>
        <v>60282.39750000001</v>
      </c>
      <c r="U62" s="38"/>
    </row>
    <row r="63" spans="1:21" ht="11.25">
      <c r="A63" s="262"/>
      <c r="B63" s="297"/>
      <c r="C63" s="77"/>
      <c r="D63" s="78"/>
      <c r="E63" s="78"/>
      <c r="F63" s="78"/>
      <c r="G63" s="78"/>
      <c r="H63" s="78"/>
      <c r="I63" s="78"/>
      <c r="J63" s="78"/>
      <c r="K63" s="84"/>
      <c r="L63" s="80" t="s">
        <v>333</v>
      </c>
      <c r="M63" s="81">
        <f>SUM(M129:M133)</f>
        <v>278606.72</v>
      </c>
      <c r="N63" s="81">
        <f>SUM(N129:N133)</f>
        <v>39973.28</v>
      </c>
      <c r="O63" s="82">
        <f>+N63+M63</f>
        <v>318580</v>
      </c>
      <c r="P63" s="81">
        <f>SUM(P129:P133)</f>
        <v>181094.368</v>
      </c>
      <c r="Q63" s="81">
        <f>SUM(Q129:Q133)</f>
        <v>25982.632</v>
      </c>
      <c r="R63" s="82">
        <f>+Q63+P63</f>
        <v>207077</v>
      </c>
      <c r="S63" s="83">
        <f>R63*0.375</f>
        <v>77653.875</v>
      </c>
      <c r="T63" s="83">
        <f>R63-S63</f>
        <v>129423.125</v>
      </c>
      <c r="U63" s="38"/>
    </row>
    <row r="64" spans="1:21" ht="11.25">
      <c r="A64" s="298"/>
      <c r="B64" s="299"/>
      <c r="C64" s="306"/>
      <c r="D64" s="307"/>
      <c r="E64" s="307"/>
      <c r="F64" s="307"/>
      <c r="G64" s="307"/>
      <c r="H64" s="307"/>
      <c r="I64" s="307"/>
      <c r="J64" s="307"/>
      <c r="K64" s="308"/>
      <c r="L64" s="133" t="s">
        <v>13</v>
      </c>
      <c r="M64" s="89">
        <f>M58-M59-M60-M61-M62-M63</f>
        <v>995871.2500000002</v>
      </c>
      <c r="N64" s="90"/>
      <c r="O64" s="91"/>
      <c r="P64" s="90"/>
      <c r="Q64" s="90"/>
      <c r="R64" s="91"/>
      <c r="S64" s="83"/>
      <c r="T64" s="83"/>
      <c r="U64" s="38"/>
    </row>
    <row r="65" spans="1:20" ht="22.5">
      <c r="A65" s="37" t="s">
        <v>14</v>
      </c>
      <c r="B65" s="37" t="s">
        <v>11</v>
      </c>
      <c r="C65" s="93" t="s">
        <v>24</v>
      </c>
      <c r="D65" s="93" t="s">
        <v>20</v>
      </c>
      <c r="E65" s="94" t="s">
        <v>2</v>
      </c>
      <c r="F65" s="93" t="s">
        <v>19</v>
      </c>
      <c r="G65" s="93" t="s">
        <v>18</v>
      </c>
      <c r="H65" s="94" t="s">
        <v>17</v>
      </c>
      <c r="I65" s="94" t="s">
        <v>16</v>
      </c>
      <c r="J65" s="93" t="s">
        <v>3</v>
      </c>
      <c r="K65" s="93" t="s">
        <v>4</v>
      </c>
      <c r="L65" s="95" t="s">
        <v>5</v>
      </c>
      <c r="M65" s="96" t="s">
        <v>21</v>
      </c>
      <c r="N65" s="37" t="s">
        <v>40</v>
      </c>
      <c r="O65" s="95" t="s">
        <v>41</v>
      </c>
      <c r="P65" s="37" t="s">
        <v>22</v>
      </c>
      <c r="Q65" s="37" t="s">
        <v>42</v>
      </c>
      <c r="R65" s="95" t="s">
        <v>43</v>
      </c>
      <c r="S65" s="263" t="s">
        <v>27</v>
      </c>
      <c r="T65" s="263"/>
    </row>
    <row r="66" spans="1:20" s="144" customFormat="1" ht="30.75" customHeight="1">
      <c r="A66" s="124" t="s">
        <v>15</v>
      </c>
      <c r="B66" s="134"/>
      <c r="C66" s="97" t="s">
        <v>50</v>
      </c>
      <c r="D66" s="135" t="s">
        <v>51</v>
      </c>
      <c r="E66" s="136" t="s">
        <v>52</v>
      </c>
      <c r="F66" s="137">
        <v>8</v>
      </c>
      <c r="G66" s="138">
        <v>38412</v>
      </c>
      <c r="H66" s="138">
        <v>38419</v>
      </c>
      <c r="I66" s="139" t="s">
        <v>53</v>
      </c>
      <c r="J66" s="139">
        <v>1500</v>
      </c>
      <c r="K66" s="139">
        <f>J66*0.2</f>
        <v>300</v>
      </c>
      <c r="L66" s="140">
        <f>SUM(J66:K66)</f>
        <v>1800</v>
      </c>
      <c r="M66" s="141">
        <v>1500</v>
      </c>
      <c r="N66" s="141">
        <f>M66*0.2</f>
        <v>300</v>
      </c>
      <c r="O66" s="142">
        <f aca="true" t="shared" si="20" ref="O66:O71">SUM(M66:N66)</f>
        <v>1800</v>
      </c>
      <c r="P66" s="143">
        <f aca="true" t="shared" si="21" ref="P66:Q81">M66*0.65</f>
        <v>975</v>
      </c>
      <c r="Q66" s="143">
        <f t="shared" si="21"/>
        <v>195</v>
      </c>
      <c r="R66" s="142">
        <f aca="true" t="shared" si="22" ref="R66:R71">SUM(P66:Q66)</f>
        <v>1170</v>
      </c>
      <c r="S66" s="266"/>
      <c r="T66" s="267"/>
    </row>
    <row r="67" spans="1:20" s="144" customFormat="1" ht="30.75" customHeight="1">
      <c r="A67" s="124" t="s">
        <v>15</v>
      </c>
      <c r="B67" s="134"/>
      <c r="C67" s="97" t="s">
        <v>50</v>
      </c>
      <c r="D67" s="135" t="s">
        <v>51</v>
      </c>
      <c r="E67" s="136" t="s">
        <v>52</v>
      </c>
      <c r="F67" s="137">
        <v>12</v>
      </c>
      <c r="G67" s="138">
        <v>38474</v>
      </c>
      <c r="H67" s="138">
        <v>38470</v>
      </c>
      <c r="I67" s="139" t="s">
        <v>53</v>
      </c>
      <c r="J67" s="139">
        <v>1500</v>
      </c>
      <c r="K67" s="139">
        <v>300</v>
      </c>
      <c r="L67" s="140">
        <f>SUM(J67:K67)</f>
        <v>1800</v>
      </c>
      <c r="M67" s="141">
        <v>1500</v>
      </c>
      <c r="N67" s="141">
        <f>M67*0.2</f>
        <v>300</v>
      </c>
      <c r="O67" s="142">
        <f t="shared" si="20"/>
        <v>1800</v>
      </c>
      <c r="P67" s="143">
        <f t="shared" si="21"/>
        <v>975</v>
      </c>
      <c r="Q67" s="143">
        <f t="shared" si="21"/>
        <v>195</v>
      </c>
      <c r="R67" s="142">
        <f t="shared" si="22"/>
        <v>1170</v>
      </c>
      <c r="S67" s="266"/>
      <c r="T67" s="267"/>
    </row>
    <row r="68" spans="1:20" s="144" customFormat="1" ht="39.75" customHeight="1">
      <c r="A68" s="124" t="s">
        <v>15</v>
      </c>
      <c r="B68" s="134"/>
      <c r="C68" s="97" t="s">
        <v>50</v>
      </c>
      <c r="D68" s="135" t="s">
        <v>58</v>
      </c>
      <c r="E68" s="145" t="s">
        <v>60</v>
      </c>
      <c r="F68" s="137">
        <v>24</v>
      </c>
      <c r="G68" s="146">
        <v>38509</v>
      </c>
      <c r="H68" s="138">
        <v>38511</v>
      </c>
      <c r="I68" s="138" t="s">
        <v>61</v>
      </c>
      <c r="J68" s="139">
        <v>4164.66</v>
      </c>
      <c r="K68" s="139">
        <f>J68*0.2</f>
        <v>832.932</v>
      </c>
      <c r="L68" s="140">
        <f>SUM(J68:K68)</f>
        <v>4997.592</v>
      </c>
      <c r="M68" s="141">
        <v>4164.66</v>
      </c>
      <c r="N68" s="147">
        <f>+K68</f>
        <v>832.932</v>
      </c>
      <c r="O68" s="142">
        <f t="shared" si="20"/>
        <v>4997.592</v>
      </c>
      <c r="P68" s="143">
        <f t="shared" si="21"/>
        <v>2707.029</v>
      </c>
      <c r="Q68" s="143">
        <f t="shared" si="21"/>
        <v>541.4058</v>
      </c>
      <c r="R68" s="142">
        <f t="shared" si="22"/>
        <v>3248.4348</v>
      </c>
      <c r="S68" s="254" t="s">
        <v>209</v>
      </c>
      <c r="T68" s="255"/>
    </row>
    <row r="69" spans="1:20" s="144" customFormat="1" ht="39.75" customHeight="1">
      <c r="A69" s="124" t="s">
        <v>15</v>
      </c>
      <c r="B69" s="134"/>
      <c r="C69" s="97" t="s">
        <v>50</v>
      </c>
      <c r="D69" s="135" t="s">
        <v>58</v>
      </c>
      <c r="E69" s="145" t="s">
        <v>60</v>
      </c>
      <c r="F69" s="137">
        <v>25</v>
      </c>
      <c r="G69" s="138">
        <v>38525</v>
      </c>
      <c r="H69" s="138">
        <v>38531</v>
      </c>
      <c r="I69" s="138" t="s">
        <v>61</v>
      </c>
      <c r="J69" s="139">
        <v>2499</v>
      </c>
      <c r="K69" s="139">
        <f>J69*0.2</f>
        <v>499.8</v>
      </c>
      <c r="L69" s="140">
        <f>SUM(J69:K69)</f>
        <v>2998.8</v>
      </c>
      <c r="M69" s="141">
        <v>2499</v>
      </c>
      <c r="N69" s="147">
        <f>+K69</f>
        <v>499.8</v>
      </c>
      <c r="O69" s="142">
        <f t="shared" si="20"/>
        <v>2998.8</v>
      </c>
      <c r="P69" s="143">
        <f t="shared" si="21"/>
        <v>1624.3500000000001</v>
      </c>
      <c r="Q69" s="143">
        <f t="shared" si="21"/>
        <v>324.87</v>
      </c>
      <c r="R69" s="142">
        <f t="shared" si="22"/>
        <v>1949.2200000000003</v>
      </c>
      <c r="S69" s="254" t="s">
        <v>209</v>
      </c>
      <c r="T69" s="255"/>
    </row>
    <row r="70" spans="1:20" s="144" customFormat="1" ht="34.5" customHeight="1">
      <c r="A70" s="124" t="s">
        <v>15</v>
      </c>
      <c r="B70" s="134"/>
      <c r="C70" s="97" t="s">
        <v>50</v>
      </c>
      <c r="D70" s="135" t="s">
        <v>59</v>
      </c>
      <c r="E70" s="136" t="s">
        <v>62</v>
      </c>
      <c r="F70" s="137">
        <v>16</v>
      </c>
      <c r="G70" s="138">
        <v>38535</v>
      </c>
      <c r="H70" s="138">
        <v>38555</v>
      </c>
      <c r="I70" s="138" t="s">
        <v>61</v>
      </c>
      <c r="J70" s="139">
        <v>1500</v>
      </c>
      <c r="K70" s="139">
        <v>300</v>
      </c>
      <c r="L70" s="140">
        <v>1800</v>
      </c>
      <c r="M70" s="141">
        <v>1500</v>
      </c>
      <c r="N70" s="141">
        <f>M70*0.2</f>
        <v>300</v>
      </c>
      <c r="O70" s="142">
        <f t="shared" si="20"/>
        <v>1800</v>
      </c>
      <c r="P70" s="143">
        <f t="shared" si="21"/>
        <v>975</v>
      </c>
      <c r="Q70" s="143">
        <f t="shared" si="21"/>
        <v>195</v>
      </c>
      <c r="R70" s="142">
        <f t="shared" si="22"/>
        <v>1170</v>
      </c>
      <c r="S70" s="266"/>
      <c r="T70" s="267"/>
    </row>
    <row r="71" spans="1:20" s="144" customFormat="1" ht="34.5" customHeight="1">
      <c r="A71" s="124" t="s">
        <v>15</v>
      </c>
      <c r="B71" s="134"/>
      <c r="C71" s="97" t="s">
        <v>50</v>
      </c>
      <c r="D71" s="135" t="s">
        <v>59</v>
      </c>
      <c r="E71" s="136" t="s">
        <v>62</v>
      </c>
      <c r="F71" s="137">
        <v>23</v>
      </c>
      <c r="G71" s="138">
        <v>38596</v>
      </c>
      <c r="H71" s="138">
        <v>38617</v>
      </c>
      <c r="I71" s="138" t="s">
        <v>61</v>
      </c>
      <c r="J71" s="139">
        <v>1500</v>
      </c>
      <c r="K71" s="139">
        <v>300</v>
      </c>
      <c r="L71" s="140">
        <v>1800</v>
      </c>
      <c r="M71" s="141">
        <v>1500</v>
      </c>
      <c r="N71" s="147">
        <f>+K71</f>
        <v>300</v>
      </c>
      <c r="O71" s="142">
        <f t="shared" si="20"/>
        <v>1800</v>
      </c>
      <c r="P71" s="143">
        <f t="shared" si="21"/>
        <v>975</v>
      </c>
      <c r="Q71" s="143">
        <f t="shared" si="21"/>
        <v>195</v>
      </c>
      <c r="R71" s="142">
        <f t="shared" si="22"/>
        <v>1170</v>
      </c>
      <c r="S71" s="266"/>
      <c r="T71" s="267"/>
    </row>
    <row r="72" spans="1:20" s="144" customFormat="1" ht="24" customHeight="1">
      <c r="A72" s="124" t="s">
        <v>15</v>
      </c>
      <c r="B72" s="134"/>
      <c r="C72" s="97" t="s">
        <v>63</v>
      </c>
      <c r="D72" s="135" t="s">
        <v>64</v>
      </c>
      <c r="E72" s="145" t="s">
        <v>68</v>
      </c>
      <c r="F72" s="145">
        <v>166</v>
      </c>
      <c r="G72" s="138">
        <v>38490</v>
      </c>
      <c r="H72" s="138">
        <v>38513</v>
      </c>
      <c r="I72" s="138" t="s">
        <v>61</v>
      </c>
      <c r="J72" s="139">
        <v>4600</v>
      </c>
      <c r="K72" s="139">
        <f>J72*0.2</f>
        <v>920</v>
      </c>
      <c r="L72" s="140">
        <f>SUM(J72:K72)</f>
        <v>5520</v>
      </c>
      <c r="M72" s="141">
        <v>4600</v>
      </c>
      <c r="N72" s="147">
        <f>+K72</f>
        <v>920</v>
      </c>
      <c r="O72" s="142">
        <f aca="true" t="shared" si="23" ref="O72:O84">SUM(M72:N72)</f>
        <v>5520</v>
      </c>
      <c r="P72" s="143">
        <f aca="true" t="shared" si="24" ref="P72:Q83">M72*0.65</f>
        <v>2990</v>
      </c>
      <c r="Q72" s="143">
        <f t="shared" si="21"/>
        <v>598</v>
      </c>
      <c r="R72" s="142">
        <f>SUM(P72:Q72)</f>
        <v>3588</v>
      </c>
      <c r="S72" s="293"/>
      <c r="T72" s="294"/>
    </row>
    <row r="73" spans="1:20" s="144" customFormat="1" ht="22.5" customHeight="1">
      <c r="A73" s="124" t="s">
        <v>15</v>
      </c>
      <c r="B73" s="134"/>
      <c r="C73" s="121" t="s">
        <v>63</v>
      </c>
      <c r="D73" s="135" t="s">
        <v>65</v>
      </c>
      <c r="E73" s="145" t="s">
        <v>68</v>
      </c>
      <c r="F73" s="145">
        <v>167</v>
      </c>
      <c r="G73" s="138">
        <v>38490</v>
      </c>
      <c r="H73" s="138">
        <v>38516</v>
      </c>
      <c r="I73" s="138" t="s">
        <v>61</v>
      </c>
      <c r="J73" s="139">
        <v>15500</v>
      </c>
      <c r="K73" s="139">
        <f>J73*0.2</f>
        <v>3100</v>
      </c>
      <c r="L73" s="140">
        <f>SUM(J73:K73)</f>
        <v>18600</v>
      </c>
      <c r="M73" s="141">
        <v>15500</v>
      </c>
      <c r="N73" s="147">
        <f>+K73</f>
        <v>3100</v>
      </c>
      <c r="O73" s="142">
        <f t="shared" si="23"/>
        <v>18600</v>
      </c>
      <c r="P73" s="143">
        <f t="shared" si="24"/>
        <v>10075</v>
      </c>
      <c r="Q73" s="143">
        <f t="shared" si="21"/>
        <v>2015</v>
      </c>
      <c r="R73" s="142">
        <f>SUM(P73:Q73)</f>
        <v>12090</v>
      </c>
      <c r="S73" s="293"/>
      <c r="T73" s="294"/>
    </row>
    <row r="74" spans="1:20" s="144" customFormat="1" ht="24.75" customHeight="1">
      <c r="A74" s="124" t="s">
        <v>15</v>
      </c>
      <c r="B74" s="134"/>
      <c r="C74" s="121" t="s">
        <v>63</v>
      </c>
      <c r="D74" s="135" t="s">
        <v>66</v>
      </c>
      <c r="E74" s="145" t="s">
        <v>68</v>
      </c>
      <c r="F74" s="145">
        <v>168</v>
      </c>
      <c r="G74" s="138">
        <v>38490</v>
      </c>
      <c r="H74" s="138">
        <v>38513</v>
      </c>
      <c r="I74" s="138" t="s">
        <v>61</v>
      </c>
      <c r="J74" s="139">
        <v>2975.9</v>
      </c>
      <c r="K74" s="139">
        <f>J74*0.2</f>
        <v>595.1800000000001</v>
      </c>
      <c r="L74" s="140">
        <f>SUM(J74:K74)</f>
        <v>3571.08</v>
      </c>
      <c r="M74" s="141">
        <v>2975.9</v>
      </c>
      <c r="N74" s="147">
        <f>+K74</f>
        <v>595.1800000000001</v>
      </c>
      <c r="O74" s="142">
        <f t="shared" si="23"/>
        <v>3571.08</v>
      </c>
      <c r="P74" s="143">
        <f t="shared" si="24"/>
        <v>1934.335</v>
      </c>
      <c r="Q74" s="143">
        <f t="shared" si="21"/>
        <v>386.8670000000001</v>
      </c>
      <c r="R74" s="142">
        <f>SUM(P74:Q74)</f>
        <v>2321.202</v>
      </c>
      <c r="S74" s="293"/>
      <c r="T74" s="294"/>
    </row>
    <row r="75" spans="1:20" s="144" customFormat="1" ht="14.25" customHeight="1">
      <c r="A75" s="124" t="s">
        <v>15</v>
      </c>
      <c r="B75" s="134"/>
      <c r="C75" s="121" t="s">
        <v>63</v>
      </c>
      <c r="D75" s="135" t="s">
        <v>67</v>
      </c>
      <c r="E75" s="145" t="s">
        <v>69</v>
      </c>
      <c r="F75" s="145">
        <v>19</v>
      </c>
      <c r="G75" s="138">
        <v>38558</v>
      </c>
      <c r="H75" s="138">
        <v>38559</v>
      </c>
      <c r="I75" s="138" t="s">
        <v>61</v>
      </c>
      <c r="J75" s="139">
        <v>67760</v>
      </c>
      <c r="K75" s="139">
        <f>J75*0.2</f>
        <v>13552</v>
      </c>
      <c r="L75" s="140">
        <f>SUM(J75:K75)</f>
        <v>81312</v>
      </c>
      <c r="M75" s="141">
        <v>67760</v>
      </c>
      <c r="N75" s="147">
        <v>2980.77</v>
      </c>
      <c r="O75" s="142">
        <f t="shared" si="23"/>
        <v>70740.77</v>
      </c>
      <c r="P75" s="143">
        <f t="shared" si="24"/>
        <v>44044</v>
      </c>
      <c r="Q75" s="143">
        <f t="shared" si="21"/>
        <v>1937.5005</v>
      </c>
      <c r="R75" s="142">
        <f>SUM(P75:Q75)</f>
        <v>45981.5005</v>
      </c>
      <c r="S75" s="266" t="s">
        <v>208</v>
      </c>
      <c r="T75" s="267"/>
    </row>
    <row r="76" spans="1:20" s="144" customFormat="1" ht="14.25" customHeight="1">
      <c r="A76" s="124" t="s">
        <v>15</v>
      </c>
      <c r="B76" s="134"/>
      <c r="C76" s="121" t="s">
        <v>63</v>
      </c>
      <c r="D76" s="135" t="s">
        <v>67</v>
      </c>
      <c r="E76" s="145" t="s">
        <v>69</v>
      </c>
      <c r="F76" s="145">
        <v>26</v>
      </c>
      <c r="G76" s="138">
        <v>38615</v>
      </c>
      <c r="H76" s="138">
        <v>38615</v>
      </c>
      <c r="I76" s="138" t="s">
        <v>61</v>
      </c>
      <c r="J76" s="139">
        <f>38000+12510</f>
        <v>50510</v>
      </c>
      <c r="K76" s="139">
        <f>38000*0.2</f>
        <v>7600</v>
      </c>
      <c r="L76" s="140">
        <f>SUM(J76:K76)</f>
        <v>58110</v>
      </c>
      <c r="M76" s="141">
        <v>50510</v>
      </c>
      <c r="N76" s="141"/>
      <c r="O76" s="142">
        <f t="shared" si="23"/>
        <v>50510</v>
      </c>
      <c r="P76" s="143">
        <f t="shared" si="24"/>
        <v>32831.5</v>
      </c>
      <c r="Q76" s="143">
        <f t="shared" si="21"/>
        <v>0</v>
      </c>
      <c r="R76" s="142">
        <f>SUM(P76:Q76)</f>
        <v>32831.5</v>
      </c>
      <c r="S76" s="266" t="s">
        <v>208</v>
      </c>
      <c r="T76" s="267"/>
    </row>
    <row r="77" spans="1:20" s="144" customFormat="1" ht="34.5" customHeight="1">
      <c r="A77" s="124" t="s">
        <v>15</v>
      </c>
      <c r="B77" s="134"/>
      <c r="C77" s="121" t="s">
        <v>63</v>
      </c>
      <c r="D77" s="135" t="s">
        <v>71</v>
      </c>
      <c r="E77" s="145" t="s">
        <v>72</v>
      </c>
      <c r="F77" s="145" t="s">
        <v>73</v>
      </c>
      <c r="G77" s="138">
        <v>38533</v>
      </c>
      <c r="H77" s="138">
        <v>38645</v>
      </c>
      <c r="I77" s="138" t="s">
        <v>61</v>
      </c>
      <c r="J77" s="139">
        <v>19658.6</v>
      </c>
      <c r="K77" s="139">
        <v>3931.72</v>
      </c>
      <c r="L77" s="140">
        <v>23590.32</v>
      </c>
      <c r="M77" s="141">
        <v>19658.6</v>
      </c>
      <c r="N77" s="147">
        <f aca="true" t="shared" si="25" ref="N77:N83">+K77</f>
        <v>3931.72</v>
      </c>
      <c r="O77" s="142">
        <f t="shared" si="23"/>
        <v>23590.32</v>
      </c>
      <c r="P77" s="143">
        <f t="shared" si="24"/>
        <v>12778.09</v>
      </c>
      <c r="Q77" s="143">
        <f t="shared" si="21"/>
        <v>2555.618</v>
      </c>
      <c r="R77" s="142">
        <f aca="true" t="shared" si="26" ref="R77:R83">SUM(P77:Q77)</f>
        <v>15333.708</v>
      </c>
      <c r="S77" s="293"/>
      <c r="T77" s="294"/>
    </row>
    <row r="78" spans="1:20" s="144" customFormat="1" ht="36" customHeight="1">
      <c r="A78" s="124" t="s">
        <v>15</v>
      </c>
      <c r="B78" s="134"/>
      <c r="C78" s="121" t="s">
        <v>63</v>
      </c>
      <c r="D78" s="135" t="s">
        <v>74</v>
      </c>
      <c r="E78" s="145" t="s">
        <v>72</v>
      </c>
      <c r="F78" s="145" t="s">
        <v>75</v>
      </c>
      <c r="G78" s="138">
        <v>38533</v>
      </c>
      <c r="H78" s="138">
        <v>38645</v>
      </c>
      <c r="I78" s="138" t="s">
        <v>61</v>
      </c>
      <c r="J78" s="148">
        <v>6256.75</v>
      </c>
      <c r="K78" s="139">
        <v>1251.35</v>
      </c>
      <c r="L78" s="140">
        <v>7508.1</v>
      </c>
      <c r="M78" s="141">
        <v>6256.75</v>
      </c>
      <c r="N78" s="147">
        <f t="shared" si="25"/>
        <v>1251.35</v>
      </c>
      <c r="O78" s="142">
        <f t="shared" si="23"/>
        <v>7508.1</v>
      </c>
      <c r="P78" s="143">
        <f t="shared" si="24"/>
        <v>4066.8875000000003</v>
      </c>
      <c r="Q78" s="143">
        <f t="shared" si="21"/>
        <v>813.3774999999999</v>
      </c>
      <c r="R78" s="142">
        <f t="shared" si="26"/>
        <v>4880.265</v>
      </c>
      <c r="S78" s="293"/>
      <c r="T78" s="294"/>
    </row>
    <row r="79" spans="1:20" s="144" customFormat="1" ht="34.5" customHeight="1">
      <c r="A79" s="124" t="s">
        <v>15</v>
      </c>
      <c r="B79" s="134"/>
      <c r="C79" s="121" t="s">
        <v>63</v>
      </c>
      <c r="D79" s="135" t="s">
        <v>76</v>
      </c>
      <c r="E79" s="145" t="s">
        <v>72</v>
      </c>
      <c r="F79" s="145" t="s">
        <v>77</v>
      </c>
      <c r="G79" s="138">
        <v>38533</v>
      </c>
      <c r="H79" s="138">
        <v>38645</v>
      </c>
      <c r="I79" s="138" t="s">
        <v>61</v>
      </c>
      <c r="J79" s="139">
        <v>1501.5</v>
      </c>
      <c r="K79" s="149">
        <v>300.3</v>
      </c>
      <c r="L79" s="140">
        <v>1801.8</v>
      </c>
      <c r="M79" s="141">
        <v>1501.5</v>
      </c>
      <c r="N79" s="147">
        <f t="shared" si="25"/>
        <v>300.3</v>
      </c>
      <c r="O79" s="142">
        <f t="shared" si="23"/>
        <v>1801.8</v>
      </c>
      <c r="P79" s="143">
        <f t="shared" si="24"/>
        <v>975.975</v>
      </c>
      <c r="Q79" s="143">
        <f t="shared" si="21"/>
        <v>195.19500000000002</v>
      </c>
      <c r="R79" s="142">
        <f t="shared" si="26"/>
        <v>1171.17</v>
      </c>
      <c r="S79" s="293"/>
      <c r="T79" s="294"/>
    </row>
    <row r="80" spans="1:20" s="144" customFormat="1" ht="34.5" customHeight="1">
      <c r="A80" s="124" t="s">
        <v>15</v>
      </c>
      <c r="B80" s="134"/>
      <c r="C80" s="121" t="s">
        <v>63</v>
      </c>
      <c r="D80" s="135" t="s">
        <v>78</v>
      </c>
      <c r="E80" s="145" t="s">
        <v>72</v>
      </c>
      <c r="F80" s="145" t="s">
        <v>79</v>
      </c>
      <c r="G80" s="138">
        <v>38533</v>
      </c>
      <c r="H80" s="138">
        <v>38645</v>
      </c>
      <c r="I80" s="138" t="s">
        <v>61</v>
      </c>
      <c r="J80" s="139">
        <v>1774.5</v>
      </c>
      <c r="K80" s="149">
        <v>354.9</v>
      </c>
      <c r="L80" s="140">
        <v>2129.4</v>
      </c>
      <c r="M80" s="141">
        <v>1774.5</v>
      </c>
      <c r="N80" s="147">
        <f t="shared" si="25"/>
        <v>354.9</v>
      </c>
      <c r="O80" s="142">
        <f t="shared" si="23"/>
        <v>2129.4</v>
      </c>
      <c r="P80" s="143">
        <f t="shared" si="24"/>
        <v>1153.425</v>
      </c>
      <c r="Q80" s="143">
        <f t="shared" si="21"/>
        <v>230.685</v>
      </c>
      <c r="R80" s="142">
        <f t="shared" si="26"/>
        <v>1384.11</v>
      </c>
      <c r="S80" s="293"/>
      <c r="T80" s="294"/>
    </row>
    <row r="81" spans="1:20" s="144" customFormat="1" ht="34.5" customHeight="1">
      <c r="A81" s="124" t="s">
        <v>15</v>
      </c>
      <c r="B81" s="134"/>
      <c r="C81" s="121" t="s">
        <v>63</v>
      </c>
      <c r="D81" s="135" t="s">
        <v>80</v>
      </c>
      <c r="E81" s="145" t="s">
        <v>72</v>
      </c>
      <c r="F81" s="145" t="s">
        <v>81</v>
      </c>
      <c r="G81" s="138">
        <v>38533</v>
      </c>
      <c r="H81" s="138">
        <v>38645</v>
      </c>
      <c r="I81" s="138" t="s">
        <v>61</v>
      </c>
      <c r="J81" s="139">
        <v>1657.5</v>
      </c>
      <c r="K81" s="145">
        <v>331.5</v>
      </c>
      <c r="L81" s="150">
        <v>1989</v>
      </c>
      <c r="M81" s="141">
        <v>1657.5</v>
      </c>
      <c r="N81" s="147">
        <f t="shared" si="25"/>
        <v>331.5</v>
      </c>
      <c r="O81" s="142">
        <f t="shared" si="23"/>
        <v>1989</v>
      </c>
      <c r="P81" s="143">
        <f t="shared" si="24"/>
        <v>1077.375</v>
      </c>
      <c r="Q81" s="143">
        <f t="shared" si="21"/>
        <v>215.475</v>
      </c>
      <c r="R81" s="142">
        <f t="shared" si="26"/>
        <v>1292.85</v>
      </c>
      <c r="S81" s="293"/>
      <c r="T81" s="294"/>
    </row>
    <row r="82" spans="1:20" s="144" customFormat="1" ht="24" customHeight="1">
      <c r="A82" s="124" t="s">
        <v>15</v>
      </c>
      <c r="B82" s="134"/>
      <c r="C82" s="121" t="s">
        <v>63</v>
      </c>
      <c r="D82" s="135" t="s">
        <v>82</v>
      </c>
      <c r="E82" s="145" t="s">
        <v>72</v>
      </c>
      <c r="F82" s="145" t="s">
        <v>83</v>
      </c>
      <c r="G82" s="138">
        <v>38533</v>
      </c>
      <c r="H82" s="138">
        <v>38645</v>
      </c>
      <c r="I82" s="138" t="s">
        <v>61</v>
      </c>
      <c r="J82" s="139">
        <v>523.25</v>
      </c>
      <c r="K82" s="145">
        <v>104.65</v>
      </c>
      <c r="L82" s="151">
        <v>627.9</v>
      </c>
      <c r="M82" s="141">
        <v>523.25</v>
      </c>
      <c r="N82" s="147">
        <f t="shared" si="25"/>
        <v>104.65</v>
      </c>
      <c r="O82" s="142">
        <f t="shared" si="23"/>
        <v>627.9</v>
      </c>
      <c r="P82" s="143">
        <f t="shared" si="24"/>
        <v>340.1125</v>
      </c>
      <c r="Q82" s="143">
        <f t="shared" si="24"/>
        <v>68.02250000000001</v>
      </c>
      <c r="R82" s="142">
        <f t="shared" si="26"/>
        <v>408.135</v>
      </c>
      <c r="S82" s="293"/>
      <c r="T82" s="294"/>
    </row>
    <row r="83" spans="1:20" s="144" customFormat="1" ht="24" customHeight="1">
      <c r="A83" s="124" t="s">
        <v>15</v>
      </c>
      <c r="B83" s="134"/>
      <c r="C83" s="121" t="s">
        <v>63</v>
      </c>
      <c r="D83" s="135" t="s">
        <v>70</v>
      </c>
      <c r="E83" s="145" t="s">
        <v>72</v>
      </c>
      <c r="F83" s="145" t="s">
        <v>84</v>
      </c>
      <c r="G83" s="138">
        <v>38562</v>
      </c>
      <c r="H83" s="138">
        <v>38645</v>
      </c>
      <c r="I83" s="138" t="s">
        <v>61</v>
      </c>
      <c r="J83" s="139">
        <v>4880.93</v>
      </c>
      <c r="K83" s="145">
        <v>976.19</v>
      </c>
      <c r="L83" s="140">
        <v>5857.12</v>
      </c>
      <c r="M83" s="141">
        <v>4880.93</v>
      </c>
      <c r="N83" s="147">
        <f t="shared" si="25"/>
        <v>976.19</v>
      </c>
      <c r="O83" s="142">
        <f t="shared" si="23"/>
        <v>5857.120000000001</v>
      </c>
      <c r="P83" s="143">
        <f t="shared" si="24"/>
        <v>3172.6045000000004</v>
      </c>
      <c r="Q83" s="143">
        <f t="shared" si="24"/>
        <v>634.5235</v>
      </c>
      <c r="R83" s="142">
        <f t="shared" si="26"/>
        <v>3807.1280000000006</v>
      </c>
      <c r="S83" s="293"/>
      <c r="T83" s="294"/>
    </row>
    <row r="84" spans="1:20" s="159" customFormat="1" ht="96" customHeight="1">
      <c r="A84" s="152" t="s">
        <v>57</v>
      </c>
      <c r="B84" s="153"/>
      <c r="C84" s="107"/>
      <c r="D84" s="154"/>
      <c r="E84" s="155"/>
      <c r="F84" s="155"/>
      <c r="G84" s="156"/>
      <c r="H84" s="156"/>
      <c r="I84" s="156"/>
      <c r="J84" s="157"/>
      <c r="K84" s="155"/>
      <c r="L84" s="140"/>
      <c r="M84" s="158"/>
      <c r="N84" s="158">
        <f>-N83-N82-N81-N80-N79-N78-N77-N75-N74-N73-N72-N71-N69-N68</f>
        <v>-16479.292</v>
      </c>
      <c r="O84" s="142">
        <f t="shared" si="23"/>
        <v>-16479.292</v>
      </c>
      <c r="P84" s="158"/>
      <c r="Q84" s="158">
        <f>-Q83-Q82-Q81-Q80-Q79-Q78-Q77-Q75-Q74-Q73-Q72-Q71-Q69-Q68</f>
        <v>-10711.5398</v>
      </c>
      <c r="R84" s="142">
        <f>SUM(P84:Q84)</f>
        <v>-10711.5398</v>
      </c>
      <c r="S84" s="256" t="s">
        <v>104</v>
      </c>
      <c r="T84" s="257"/>
    </row>
    <row r="85" spans="1:20" s="159" customFormat="1" ht="35.25" customHeight="1">
      <c r="A85" s="152" t="s">
        <v>57</v>
      </c>
      <c r="B85" s="153"/>
      <c r="C85" s="107"/>
      <c r="D85" s="154"/>
      <c r="E85" s="160"/>
      <c r="F85" s="160"/>
      <c r="G85" s="161"/>
      <c r="H85" s="161"/>
      <c r="I85" s="156"/>
      <c r="J85" s="162"/>
      <c r="K85" s="160"/>
      <c r="L85" s="140"/>
      <c r="M85" s="163">
        <v>191699.64</v>
      </c>
      <c r="N85" s="163"/>
      <c r="O85" s="164">
        <f>+N85+M85</f>
        <v>191699.64</v>
      </c>
      <c r="P85" s="163">
        <v>124604.766</v>
      </c>
      <c r="Q85" s="163"/>
      <c r="R85" s="164">
        <f>+Q85+P85</f>
        <v>124604.766</v>
      </c>
      <c r="S85" s="256" t="s">
        <v>198</v>
      </c>
      <c r="T85" s="257"/>
    </row>
    <row r="86" spans="1:20" s="172" customFormat="1" ht="22.5" customHeight="1">
      <c r="A86" s="119" t="s">
        <v>57</v>
      </c>
      <c r="B86" s="165"/>
      <c r="C86" s="97" t="s">
        <v>50</v>
      </c>
      <c r="D86" s="166" t="s">
        <v>144</v>
      </c>
      <c r="E86" s="167" t="s">
        <v>52</v>
      </c>
      <c r="F86" s="168">
        <v>26</v>
      </c>
      <c r="G86" s="169">
        <v>38658</v>
      </c>
      <c r="H86" s="170">
        <v>38666</v>
      </c>
      <c r="I86" s="171" t="s">
        <v>53</v>
      </c>
      <c r="J86" s="118">
        <v>1500</v>
      </c>
      <c r="K86" s="118">
        <v>300</v>
      </c>
      <c r="L86" s="100">
        <v>1800</v>
      </c>
      <c r="M86" s="118">
        <v>1500</v>
      </c>
      <c r="N86" s="118"/>
      <c r="O86" s="114">
        <f>+N86+M86</f>
        <v>1500</v>
      </c>
      <c r="P86" s="118">
        <f>+M86*0.65</f>
        <v>975</v>
      </c>
      <c r="Q86" s="118"/>
      <c r="R86" s="114">
        <f>+Q86+P86</f>
        <v>975</v>
      </c>
      <c r="S86" s="290"/>
      <c r="T86" s="291"/>
    </row>
    <row r="87" spans="1:20" s="172" customFormat="1" ht="22.5" customHeight="1">
      <c r="A87" s="119" t="s">
        <v>57</v>
      </c>
      <c r="B87" s="165"/>
      <c r="C87" s="97" t="s">
        <v>50</v>
      </c>
      <c r="D87" s="166" t="s">
        <v>144</v>
      </c>
      <c r="E87" s="167" t="s">
        <v>52</v>
      </c>
      <c r="F87" s="168">
        <v>1</v>
      </c>
      <c r="G87" s="169">
        <v>38719</v>
      </c>
      <c r="H87" s="170">
        <v>38721</v>
      </c>
      <c r="I87" s="171" t="s">
        <v>53</v>
      </c>
      <c r="J87" s="118">
        <v>1500</v>
      </c>
      <c r="K87" s="118">
        <v>300</v>
      </c>
      <c r="L87" s="100">
        <v>1800</v>
      </c>
      <c r="M87" s="118">
        <v>1500</v>
      </c>
      <c r="N87" s="118"/>
      <c r="O87" s="114">
        <f aca="true" t="shared" si="27" ref="O87:O101">+N87+M87</f>
        <v>1500</v>
      </c>
      <c r="P87" s="118">
        <f aca="true" t="shared" si="28" ref="P87:P103">+M87*0.65</f>
        <v>975</v>
      </c>
      <c r="Q87" s="118"/>
      <c r="R87" s="114">
        <f aca="true" t="shared" si="29" ref="R87:R101">+Q87+P87</f>
        <v>975</v>
      </c>
      <c r="S87" s="290"/>
      <c r="T87" s="291"/>
    </row>
    <row r="88" spans="1:20" s="172" customFormat="1" ht="22.5" customHeight="1">
      <c r="A88" s="119" t="s">
        <v>57</v>
      </c>
      <c r="B88" s="165"/>
      <c r="C88" s="97" t="s">
        <v>50</v>
      </c>
      <c r="D88" s="166" t="s">
        <v>144</v>
      </c>
      <c r="E88" s="167" t="s">
        <v>52</v>
      </c>
      <c r="F88" s="168">
        <v>8</v>
      </c>
      <c r="G88" s="169">
        <v>38777</v>
      </c>
      <c r="H88" s="170">
        <v>38805</v>
      </c>
      <c r="I88" s="171" t="s">
        <v>53</v>
      </c>
      <c r="J88" s="118">
        <v>1500</v>
      </c>
      <c r="K88" s="118">
        <v>300</v>
      </c>
      <c r="L88" s="100">
        <v>1800</v>
      </c>
      <c r="M88" s="118">
        <v>1500</v>
      </c>
      <c r="N88" s="118"/>
      <c r="O88" s="114">
        <f t="shared" si="27"/>
        <v>1500</v>
      </c>
      <c r="P88" s="118">
        <f t="shared" si="28"/>
        <v>975</v>
      </c>
      <c r="Q88" s="118"/>
      <c r="R88" s="114">
        <f t="shared" si="29"/>
        <v>975</v>
      </c>
      <c r="S88" s="290"/>
      <c r="T88" s="291"/>
    </row>
    <row r="89" spans="1:20" s="172" customFormat="1" ht="22.5" customHeight="1">
      <c r="A89" s="119" t="s">
        <v>57</v>
      </c>
      <c r="B89" s="165"/>
      <c r="C89" s="97" t="s">
        <v>50</v>
      </c>
      <c r="D89" s="166" t="s">
        <v>144</v>
      </c>
      <c r="E89" s="167" t="s">
        <v>52</v>
      </c>
      <c r="F89" s="168">
        <v>13</v>
      </c>
      <c r="G89" s="169">
        <v>38839</v>
      </c>
      <c r="H89" s="170">
        <v>38859</v>
      </c>
      <c r="I89" s="171" t="s">
        <v>53</v>
      </c>
      <c r="J89" s="118">
        <v>1500</v>
      </c>
      <c r="K89" s="118">
        <v>300</v>
      </c>
      <c r="L89" s="100">
        <v>1800</v>
      </c>
      <c r="M89" s="118">
        <v>1500</v>
      </c>
      <c r="N89" s="118"/>
      <c r="O89" s="114">
        <f t="shared" si="27"/>
        <v>1500</v>
      </c>
      <c r="P89" s="118">
        <f t="shared" si="28"/>
        <v>975</v>
      </c>
      <c r="Q89" s="118"/>
      <c r="R89" s="114">
        <f t="shared" si="29"/>
        <v>975</v>
      </c>
      <c r="S89" s="290"/>
      <c r="T89" s="291"/>
    </row>
    <row r="90" spans="1:20" s="172" customFormat="1" ht="22.5" customHeight="1">
      <c r="A90" s="119" t="s">
        <v>57</v>
      </c>
      <c r="B90" s="165"/>
      <c r="C90" s="97" t="s">
        <v>50</v>
      </c>
      <c r="D90" s="166" t="s">
        <v>144</v>
      </c>
      <c r="E90" s="167" t="s">
        <v>52</v>
      </c>
      <c r="F90" s="168">
        <v>20</v>
      </c>
      <c r="G90" s="169">
        <v>38930</v>
      </c>
      <c r="H90" s="170">
        <v>38933</v>
      </c>
      <c r="I90" s="171" t="s">
        <v>53</v>
      </c>
      <c r="J90" s="118">
        <v>1500</v>
      </c>
      <c r="K90" s="118">
        <v>300</v>
      </c>
      <c r="L90" s="100">
        <v>1800</v>
      </c>
      <c r="M90" s="118">
        <v>1500</v>
      </c>
      <c r="N90" s="118"/>
      <c r="O90" s="114">
        <f t="shared" si="27"/>
        <v>1500</v>
      </c>
      <c r="P90" s="118">
        <f t="shared" si="28"/>
        <v>975</v>
      </c>
      <c r="Q90" s="118"/>
      <c r="R90" s="114">
        <f t="shared" si="29"/>
        <v>975</v>
      </c>
      <c r="S90" s="290"/>
      <c r="T90" s="291"/>
    </row>
    <row r="91" spans="1:20" s="172" customFormat="1" ht="44.25" customHeight="1">
      <c r="A91" s="119" t="s">
        <v>57</v>
      </c>
      <c r="B91" s="165"/>
      <c r="C91" s="97" t="s">
        <v>63</v>
      </c>
      <c r="D91" s="166" t="s">
        <v>149</v>
      </c>
      <c r="E91" s="167" t="s">
        <v>150</v>
      </c>
      <c r="F91" s="168">
        <v>36</v>
      </c>
      <c r="G91" s="169">
        <v>39041</v>
      </c>
      <c r="H91" s="170">
        <v>38679</v>
      </c>
      <c r="I91" s="171" t="s">
        <v>151</v>
      </c>
      <c r="J91" s="118">
        <v>48180</v>
      </c>
      <c r="K91" s="118">
        <v>9636</v>
      </c>
      <c r="L91" s="100">
        <v>57816</v>
      </c>
      <c r="M91" s="118">
        <v>34850</v>
      </c>
      <c r="N91" s="118"/>
      <c r="O91" s="114">
        <f t="shared" si="27"/>
        <v>34850</v>
      </c>
      <c r="P91" s="118">
        <f t="shared" si="28"/>
        <v>22652.5</v>
      </c>
      <c r="Q91" s="118"/>
      <c r="R91" s="114">
        <f t="shared" si="29"/>
        <v>22652.5</v>
      </c>
      <c r="S91" s="290" t="s">
        <v>197</v>
      </c>
      <c r="T91" s="291"/>
    </row>
    <row r="92" spans="1:20" s="172" customFormat="1" ht="29.25" customHeight="1">
      <c r="A92" s="119" t="s">
        <v>57</v>
      </c>
      <c r="B92" s="165"/>
      <c r="C92" s="97" t="s">
        <v>63</v>
      </c>
      <c r="D92" s="166" t="s">
        <v>149</v>
      </c>
      <c r="E92" s="167" t="s">
        <v>150</v>
      </c>
      <c r="F92" s="168">
        <v>37</v>
      </c>
      <c r="G92" s="169">
        <v>38676</v>
      </c>
      <c r="H92" s="170">
        <v>38680</v>
      </c>
      <c r="I92" s="171" t="s">
        <v>151</v>
      </c>
      <c r="J92" s="118">
        <v>7475.22</v>
      </c>
      <c r="K92" s="118">
        <v>1495.044</v>
      </c>
      <c r="L92" s="100">
        <v>8970.264000000001</v>
      </c>
      <c r="M92" s="118">
        <f>10.5*300</f>
        <v>3150</v>
      </c>
      <c r="N92" s="118"/>
      <c r="O92" s="114">
        <f t="shared" si="27"/>
        <v>3150</v>
      </c>
      <c r="P92" s="118">
        <f t="shared" si="28"/>
        <v>2047.5</v>
      </c>
      <c r="Q92" s="118"/>
      <c r="R92" s="114">
        <f t="shared" si="29"/>
        <v>2047.5</v>
      </c>
      <c r="S92" s="290" t="s">
        <v>217</v>
      </c>
      <c r="T92" s="291"/>
    </row>
    <row r="93" spans="1:20" s="172" customFormat="1" ht="25.5" customHeight="1">
      <c r="A93" s="119" t="s">
        <v>57</v>
      </c>
      <c r="B93" s="165"/>
      <c r="C93" s="97" t="s">
        <v>63</v>
      </c>
      <c r="D93" s="166" t="s">
        <v>149</v>
      </c>
      <c r="E93" s="167" t="s">
        <v>150</v>
      </c>
      <c r="F93" s="168">
        <v>11</v>
      </c>
      <c r="G93" s="169">
        <v>38796</v>
      </c>
      <c r="H93" s="170">
        <v>38799</v>
      </c>
      <c r="I93" s="171" t="s">
        <v>151</v>
      </c>
      <c r="J93" s="118">
        <v>64661.59</v>
      </c>
      <c r="K93" s="118">
        <v>12932.318</v>
      </c>
      <c r="L93" s="100">
        <v>77593.908</v>
      </c>
      <c r="M93" s="118">
        <f>300*18+300*42+350*25+350*34+300*36.5</f>
        <v>49600</v>
      </c>
      <c r="N93" s="118"/>
      <c r="O93" s="114">
        <f t="shared" si="27"/>
        <v>49600</v>
      </c>
      <c r="P93" s="118">
        <f t="shared" si="28"/>
        <v>32240</v>
      </c>
      <c r="Q93" s="118"/>
      <c r="R93" s="114">
        <f t="shared" si="29"/>
        <v>32240</v>
      </c>
      <c r="S93" s="290"/>
      <c r="T93" s="291"/>
    </row>
    <row r="94" spans="1:20" s="172" customFormat="1" ht="24.75" customHeight="1">
      <c r="A94" s="119" t="s">
        <v>57</v>
      </c>
      <c r="B94" s="165"/>
      <c r="C94" s="97" t="s">
        <v>63</v>
      </c>
      <c r="D94" s="166" t="s">
        <v>149</v>
      </c>
      <c r="E94" s="167" t="s">
        <v>150</v>
      </c>
      <c r="F94" s="168">
        <v>51</v>
      </c>
      <c r="G94" s="169">
        <v>38932</v>
      </c>
      <c r="H94" s="170">
        <v>38933</v>
      </c>
      <c r="I94" s="171" t="s">
        <v>151</v>
      </c>
      <c r="J94" s="118">
        <v>20833.33</v>
      </c>
      <c r="K94" s="118">
        <v>4166.666</v>
      </c>
      <c r="L94" s="100">
        <v>24999.996000000003</v>
      </c>
      <c r="M94" s="118">
        <f>300*2+300*6+350*11+350*21+300*11</f>
        <v>16900</v>
      </c>
      <c r="N94" s="118"/>
      <c r="O94" s="114">
        <f t="shared" si="27"/>
        <v>16900</v>
      </c>
      <c r="P94" s="118">
        <f t="shared" si="28"/>
        <v>10985</v>
      </c>
      <c r="Q94" s="118"/>
      <c r="R94" s="114">
        <f t="shared" si="29"/>
        <v>10985</v>
      </c>
      <c r="S94" s="290"/>
      <c r="T94" s="291"/>
    </row>
    <row r="95" spans="1:20" s="172" customFormat="1" ht="25.5" customHeight="1">
      <c r="A95" s="119" t="s">
        <v>57</v>
      </c>
      <c r="B95" s="165"/>
      <c r="C95" s="97" t="s">
        <v>63</v>
      </c>
      <c r="D95" s="166" t="s">
        <v>152</v>
      </c>
      <c r="E95" s="167" t="s">
        <v>72</v>
      </c>
      <c r="F95" s="168" t="s">
        <v>153</v>
      </c>
      <c r="G95" s="169">
        <v>38674</v>
      </c>
      <c r="H95" s="170">
        <v>38783</v>
      </c>
      <c r="I95" s="171" t="s">
        <v>151</v>
      </c>
      <c r="J95" s="118">
        <v>2275</v>
      </c>
      <c r="K95" s="118">
        <v>455</v>
      </c>
      <c r="L95" s="100">
        <v>2730</v>
      </c>
      <c r="M95" s="118">
        <v>2275</v>
      </c>
      <c r="N95" s="118"/>
      <c r="O95" s="114">
        <f t="shared" si="27"/>
        <v>2275</v>
      </c>
      <c r="P95" s="118">
        <f t="shared" si="28"/>
        <v>1478.75</v>
      </c>
      <c r="Q95" s="118"/>
      <c r="R95" s="114">
        <f t="shared" si="29"/>
        <v>1478.75</v>
      </c>
      <c r="S95" s="322" t="s">
        <v>340</v>
      </c>
      <c r="T95" s="323"/>
    </row>
    <row r="96" spans="1:20" s="172" customFormat="1" ht="26.25" customHeight="1">
      <c r="A96" s="119" t="s">
        <v>57</v>
      </c>
      <c r="B96" s="165"/>
      <c r="C96" s="97" t="s">
        <v>63</v>
      </c>
      <c r="D96" s="166" t="s">
        <v>152</v>
      </c>
      <c r="E96" s="167" t="s">
        <v>72</v>
      </c>
      <c r="F96" s="168" t="s">
        <v>154</v>
      </c>
      <c r="G96" s="169">
        <v>38674</v>
      </c>
      <c r="H96" s="170">
        <v>38783</v>
      </c>
      <c r="I96" s="171" t="s">
        <v>151</v>
      </c>
      <c r="J96" s="118">
        <v>2502.5</v>
      </c>
      <c r="K96" s="118">
        <v>500.5</v>
      </c>
      <c r="L96" s="100">
        <v>3003</v>
      </c>
      <c r="M96" s="118">
        <v>2502.5</v>
      </c>
      <c r="N96" s="118"/>
      <c r="O96" s="114">
        <f t="shared" si="27"/>
        <v>2502.5</v>
      </c>
      <c r="P96" s="118">
        <f t="shared" si="28"/>
        <v>1626.625</v>
      </c>
      <c r="Q96" s="118"/>
      <c r="R96" s="114">
        <f t="shared" si="29"/>
        <v>1626.625</v>
      </c>
      <c r="S96" s="324"/>
      <c r="T96" s="325"/>
    </row>
    <row r="97" spans="1:20" s="172" customFormat="1" ht="22.5">
      <c r="A97" s="119" t="s">
        <v>57</v>
      </c>
      <c r="B97" s="165"/>
      <c r="C97" s="97" t="s">
        <v>63</v>
      </c>
      <c r="D97" s="166" t="s">
        <v>155</v>
      </c>
      <c r="E97" s="167" t="s">
        <v>72</v>
      </c>
      <c r="F97" s="168" t="s">
        <v>156</v>
      </c>
      <c r="G97" s="169">
        <v>38674</v>
      </c>
      <c r="H97" s="170">
        <v>38783</v>
      </c>
      <c r="I97" s="171" t="s">
        <v>151</v>
      </c>
      <c r="J97" s="118">
        <v>9971</v>
      </c>
      <c r="K97" s="118">
        <v>1994.2</v>
      </c>
      <c r="L97" s="100">
        <v>11965.2</v>
      </c>
      <c r="M97" s="118">
        <v>9971</v>
      </c>
      <c r="N97" s="118"/>
      <c r="O97" s="114">
        <f t="shared" si="27"/>
        <v>9971</v>
      </c>
      <c r="P97" s="118">
        <f t="shared" si="28"/>
        <v>6481.150000000001</v>
      </c>
      <c r="Q97" s="118"/>
      <c r="R97" s="114">
        <f t="shared" si="29"/>
        <v>6481.150000000001</v>
      </c>
      <c r="S97" s="324"/>
      <c r="T97" s="325"/>
    </row>
    <row r="98" spans="1:20" s="172" customFormat="1" ht="22.5">
      <c r="A98" s="119" t="s">
        <v>57</v>
      </c>
      <c r="B98" s="165"/>
      <c r="C98" s="97" t="s">
        <v>63</v>
      </c>
      <c r="D98" s="166" t="s">
        <v>157</v>
      </c>
      <c r="E98" s="167" t="s">
        <v>72</v>
      </c>
      <c r="F98" s="168" t="s">
        <v>158</v>
      </c>
      <c r="G98" s="169">
        <v>38674</v>
      </c>
      <c r="H98" s="170">
        <v>38783</v>
      </c>
      <c r="I98" s="171" t="s">
        <v>151</v>
      </c>
      <c r="J98" s="118">
        <v>14755</v>
      </c>
      <c r="K98" s="118">
        <v>2951</v>
      </c>
      <c r="L98" s="100">
        <v>17706</v>
      </c>
      <c r="M98" s="118">
        <v>14755</v>
      </c>
      <c r="N98" s="118"/>
      <c r="O98" s="114">
        <f t="shared" si="27"/>
        <v>14755</v>
      </c>
      <c r="P98" s="118">
        <f t="shared" si="28"/>
        <v>9590.75</v>
      </c>
      <c r="Q98" s="118"/>
      <c r="R98" s="114">
        <f t="shared" si="29"/>
        <v>9590.75</v>
      </c>
      <c r="S98" s="324"/>
      <c r="T98" s="325"/>
    </row>
    <row r="99" spans="1:20" s="172" customFormat="1" ht="22.5">
      <c r="A99" s="119" t="s">
        <v>57</v>
      </c>
      <c r="B99" s="165"/>
      <c r="C99" s="97" t="s">
        <v>63</v>
      </c>
      <c r="D99" s="166" t="s">
        <v>159</v>
      </c>
      <c r="E99" s="167" t="s">
        <v>72</v>
      </c>
      <c r="F99" s="168" t="s">
        <v>160</v>
      </c>
      <c r="G99" s="169">
        <v>38674</v>
      </c>
      <c r="H99" s="170">
        <v>38783</v>
      </c>
      <c r="I99" s="171" t="s">
        <v>151</v>
      </c>
      <c r="J99" s="118">
        <v>6337.5</v>
      </c>
      <c r="K99" s="118">
        <v>1267.5</v>
      </c>
      <c r="L99" s="100">
        <v>7605</v>
      </c>
      <c r="M99" s="118">
        <v>6337.5</v>
      </c>
      <c r="N99" s="118"/>
      <c r="O99" s="114">
        <f t="shared" si="27"/>
        <v>6337.5</v>
      </c>
      <c r="P99" s="118">
        <f t="shared" si="28"/>
        <v>4119.375</v>
      </c>
      <c r="Q99" s="118"/>
      <c r="R99" s="114">
        <f t="shared" si="29"/>
        <v>4119.375</v>
      </c>
      <c r="S99" s="324"/>
      <c r="T99" s="325"/>
    </row>
    <row r="100" spans="1:20" s="172" customFormat="1" ht="22.5">
      <c r="A100" s="119" t="s">
        <v>57</v>
      </c>
      <c r="B100" s="165"/>
      <c r="C100" s="97" t="s">
        <v>63</v>
      </c>
      <c r="D100" s="166" t="s">
        <v>161</v>
      </c>
      <c r="E100" s="167" t="s">
        <v>72</v>
      </c>
      <c r="F100" s="168" t="s">
        <v>162</v>
      </c>
      <c r="G100" s="169">
        <v>38674</v>
      </c>
      <c r="H100" s="170">
        <v>38783</v>
      </c>
      <c r="I100" s="171" t="s">
        <v>151</v>
      </c>
      <c r="J100" s="118">
        <v>5616</v>
      </c>
      <c r="K100" s="118">
        <v>1123.2</v>
      </c>
      <c r="L100" s="100">
        <v>6739.2</v>
      </c>
      <c r="M100" s="118">
        <v>5616</v>
      </c>
      <c r="N100" s="118"/>
      <c r="O100" s="114">
        <f t="shared" si="27"/>
        <v>5616</v>
      </c>
      <c r="P100" s="118">
        <f t="shared" si="28"/>
        <v>3650.4</v>
      </c>
      <c r="Q100" s="118"/>
      <c r="R100" s="114">
        <f t="shared" si="29"/>
        <v>3650.4</v>
      </c>
      <c r="S100" s="324"/>
      <c r="T100" s="325"/>
    </row>
    <row r="101" spans="1:20" s="172" customFormat="1" ht="22.5">
      <c r="A101" s="119" t="s">
        <v>57</v>
      </c>
      <c r="B101" s="165"/>
      <c r="C101" s="97" t="s">
        <v>63</v>
      </c>
      <c r="D101" s="166" t="s">
        <v>161</v>
      </c>
      <c r="E101" s="167" t="s">
        <v>72</v>
      </c>
      <c r="F101" s="168" t="s">
        <v>163</v>
      </c>
      <c r="G101" s="169">
        <v>38674</v>
      </c>
      <c r="H101" s="170">
        <v>38783</v>
      </c>
      <c r="I101" s="171" t="s">
        <v>151</v>
      </c>
      <c r="J101" s="118">
        <v>1592.5</v>
      </c>
      <c r="K101" s="118">
        <v>318.5</v>
      </c>
      <c r="L101" s="100">
        <v>1911</v>
      </c>
      <c r="M101" s="118">
        <f>350*4.5</f>
        <v>1575</v>
      </c>
      <c r="N101" s="118"/>
      <c r="O101" s="114">
        <f t="shared" si="27"/>
        <v>1575</v>
      </c>
      <c r="P101" s="118">
        <f t="shared" si="28"/>
        <v>1023.75</v>
      </c>
      <c r="Q101" s="118"/>
      <c r="R101" s="114">
        <f t="shared" si="29"/>
        <v>1023.75</v>
      </c>
      <c r="S101" s="326"/>
      <c r="T101" s="327"/>
    </row>
    <row r="102" spans="1:20" s="172" customFormat="1" ht="22.5" customHeight="1">
      <c r="A102" s="165" t="s">
        <v>183</v>
      </c>
      <c r="B102" s="165"/>
      <c r="C102" s="97" t="s">
        <v>63</v>
      </c>
      <c r="D102" s="166"/>
      <c r="E102" s="167"/>
      <c r="F102" s="168"/>
      <c r="G102" s="169"/>
      <c r="H102" s="170"/>
      <c r="I102" s="171"/>
      <c r="J102" s="118"/>
      <c r="K102" s="118"/>
      <c r="L102" s="100"/>
      <c r="M102" s="118">
        <f>SUM(M86:M101)-M85</f>
        <v>-36667.640000000014</v>
      </c>
      <c r="N102" s="118"/>
      <c r="O102" s="114">
        <f>+N102+M102</f>
        <v>-36667.640000000014</v>
      </c>
      <c r="P102" s="118">
        <f t="shared" si="28"/>
        <v>-23833.96600000001</v>
      </c>
      <c r="Q102" s="118"/>
      <c r="R102" s="114">
        <f aca="true" t="shared" si="30" ref="R102:R116">+Q102+P102</f>
        <v>-23833.96600000001</v>
      </c>
      <c r="S102" s="266" t="s">
        <v>199</v>
      </c>
      <c r="T102" s="267"/>
    </row>
    <row r="103" spans="1:20" s="172" customFormat="1" ht="22.5" customHeight="1">
      <c r="A103" s="165" t="s">
        <v>183</v>
      </c>
      <c r="B103" s="165"/>
      <c r="C103" s="121" t="s">
        <v>63</v>
      </c>
      <c r="D103" s="135" t="s">
        <v>67</v>
      </c>
      <c r="E103" s="145" t="s">
        <v>69</v>
      </c>
      <c r="F103" s="145">
        <v>19</v>
      </c>
      <c r="G103" s="138">
        <v>38558</v>
      </c>
      <c r="H103" s="138">
        <v>38559</v>
      </c>
      <c r="I103" s="138" t="s">
        <v>61</v>
      </c>
      <c r="J103" s="139">
        <v>67760</v>
      </c>
      <c r="K103" s="139">
        <f>J103*0.2</f>
        <v>13552</v>
      </c>
      <c r="L103" s="140">
        <f>SUM(J103:K103)</f>
        <v>81312</v>
      </c>
      <c r="M103" s="118">
        <f>(300*37+350*41+350*39+350*39.5+300*19)-M75</f>
        <v>-9135</v>
      </c>
      <c r="N103" s="118"/>
      <c r="O103" s="114">
        <f>+N103+M103</f>
        <v>-9135</v>
      </c>
      <c r="P103" s="118">
        <f t="shared" si="28"/>
        <v>-5937.75</v>
      </c>
      <c r="Q103" s="118"/>
      <c r="R103" s="114">
        <f t="shared" si="30"/>
        <v>-5937.75</v>
      </c>
      <c r="S103" s="266" t="s">
        <v>207</v>
      </c>
      <c r="T103" s="267"/>
    </row>
    <row r="104" spans="1:20" s="172" customFormat="1" ht="22.5" customHeight="1">
      <c r="A104" s="165" t="s">
        <v>183</v>
      </c>
      <c r="B104" s="165"/>
      <c r="C104" s="121" t="s">
        <v>63</v>
      </c>
      <c r="D104" s="135" t="s">
        <v>67</v>
      </c>
      <c r="E104" s="145" t="s">
        <v>69</v>
      </c>
      <c r="F104" s="145">
        <v>26</v>
      </c>
      <c r="G104" s="138">
        <v>38615</v>
      </c>
      <c r="H104" s="138">
        <v>38615</v>
      </c>
      <c r="I104" s="138" t="s">
        <v>61</v>
      </c>
      <c r="J104" s="139">
        <f>38000+12510</f>
        <v>50510</v>
      </c>
      <c r="K104" s="139">
        <f>38000*0.2</f>
        <v>7600</v>
      </c>
      <c r="L104" s="140">
        <f>SUM(J104:K104)</f>
        <v>58110</v>
      </c>
      <c r="M104" s="118">
        <f>(19*300+350*18+350*21+300*20+300*18)-M76</f>
        <v>-19760</v>
      </c>
      <c r="N104" s="118"/>
      <c r="O104" s="114">
        <f>+N104+M104</f>
        <v>-19760</v>
      </c>
      <c r="P104" s="118">
        <f>+M104*0.65</f>
        <v>-12844</v>
      </c>
      <c r="Q104" s="118"/>
      <c r="R104" s="114">
        <f t="shared" si="30"/>
        <v>-12844</v>
      </c>
      <c r="S104" s="266" t="s">
        <v>207</v>
      </c>
      <c r="T104" s="267"/>
    </row>
    <row r="105" spans="1:20" s="172" customFormat="1" ht="46.5" customHeight="1">
      <c r="A105" s="165" t="s">
        <v>183</v>
      </c>
      <c r="B105" s="165"/>
      <c r="C105" s="97" t="s">
        <v>50</v>
      </c>
      <c r="D105" s="135" t="s">
        <v>59</v>
      </c>
      <c r="E105" s="136" t="s">
        <v>62</v>
      </c>
      <c r="F105" s="173">
        <v>23</v>
      </c>
      <c r="G105" s="174">
        <v>38961</v>
      </c>
      <c r="H105" s="174">
        <v>39003</v>
      </c>
      <c r="I105" s="138" t="s">
        <v>61</v>
      </c>
      <c r="J105" s="175">
        <v>1500</v>
      </c>
      <c r="K105" s="139">
        <f>+J105*0.2</f>
        <v>300</v>
      </c>
      <c r="L105" s="140">
        <f>SUM(J105:K105)</f>
        <v>1800</v>
      </c>
      <c r="M105" s="118">
        <f>+J105</f>
        <v>1500</v>
      </c>
      <c r="N105" s="118">
        <f>+K105</f>
        <v>300</v>
      </c>
      <c r="O105" s="114">
        <f aca="true" t="shared" si="31" ref="O105:O111">+N105+M105</f>
        <v>1800</v>
      </c>
      <c r="P105" s="118">
        <f>+M105*0.65</f>
        <v>975</v>
      </c>
      <c r="Q105" s="118">
        <f>+N105*0.65</f>
        <v>195</v>
      </c>
      <c r="R105" s="114">
        <f>+Q105+P105</f>
        <v>1170</v>
      </c>
      <c r="S105" s="295" t="s">
        <v>230</v>
      </c>
      <c r="T105" s="296"/>
    </row>
    <row r="106" spans="1:20" s="172" customFormat="1" ht="51.75" customHeight="1">
      <c r="A106" s="165" t="s">
        <v>183</v>
      </c>
      <c r="B106" s="165"/>
      <c r="C106" s="97" t="s">
        <v>50</v>
      </c>
      <c r="D106" s="135" t="s">
        <v>59</v>
      </c>
      <c r="E106" s="136" t="s">
        <v>62</v>
      </c>
      <c r="F106" s="173">
        <v>26</v>
      </c>
      <c r="G106" s="174">
        <v>39023</v>
      </c>
      <c r="H106" s="174">
        <v>39014</v>
      </c>
      <c r="I106" s="138" t="s">
        <v>61</v>
      </c>
      <c r="J106" s="175">
        <v>1500</v>
      </c>
      <c r="K106" s="139">
        <f aca="true" t="shared" si="32" ref="K106:K111">+J106*0.2</f>
        <v>300</v>
      </c>
      <c r="L106" s="140">
        <f aca="true" t="shared" si="33" ref="L106:L111">SUM(J106:K106)</f>
        <v>1800</v>
      </c>
      <c r="M106" s="118">
        <f aca="true" t="shared" si="34" ref="M106:M111">+J106</f>
        <v>1500</v>
      </c>
      <c r="N106" s="118">
        <f aca="true" t="shared" si="35" ref="N106:N111">+K106</f>
        <v>300</v>
      </c>
      <c r="O106" s="114">
        <f t="shared" si="31"/>
        <v>1800</v>
      </c>
      <c r="P106" s="118">
        <f>+M106*0.65</f>
        <v>975</v>
      </c>
      <c r="Q106" s="118">
        <f>+N106*0.65</f>
        <v>195</v>
      </c>
      <c r="R106" s="114">
        <f>+Q106+P106</f>
        <v>1170</v>
      </c>
      <c r="S106" s="295" t="s">
        <v>230</v>
      </c>
      <c r="T106" s="296"/>
    </row>
    <row r="107" spans="1:20" s="172" customFormat="1" ht="33.75">
      <c r="A107" s="165" t="s">
        <v>183</v>
      </c>
      <c r="B107" s="165"/>
      <c r="C107" s="97" t="s">
        <v>50</v>
      </c>
      <c r="D107" s="135" t="s">
        <v>59</v>
      </c>
      <c r="E107" s="136" t="s">
        <v>62</v>
      </c>
      <c r="F107" s="173">
        <v>1</v>
      </c>
      <c r="G107" s="174">
        <v>39023</v>
      </c>
      <c r="H107" s="174">
        <v>39090</v>
      </c>
      <c r="I107" s="138" t="s">
        <v>61</v>
      </c>
      <c r="J107" s="175">
        <v>1500</v>
      </c>
      <c r="K107" s="139">
        <f t="shared" si="32"/>
        <v>300</v>
      </c>
      <c r="L107" s="140">
        <f t="shared" si="33"/>
        <v>1800</v>
      </c>
      <c r="M107" s="118">
        <f t="shared" si="34"/>
        <v>1500</v>
      </c>
      <c r="N107" s="118">
        <f t="shared" si="35"/>
        <v>300</v>
      </c>
      <c r="O107" s="114">
        <f t="shared" si="31"/>
        <v>1800</v>
      </c>
      <c r="P107" s="118">
        <f aca="true" t="shared" si="36" ref="P107:Q112">+M107*0.65</f>
        <v>975</v>
      </c>
      <c r="Q107" s="118">
        <f t="shared" si="36"/>
        <v>195</v>
      </c>
      <c r="R107" s="114">
        <f t="shared" si="30"/>
        <v>1170</v>
      </c>
      <c r="S107" s="293"/>
      <c r="T107" s="294"/>
    </row>
    <row r="108" spans="1:20" s="172" customFormat="1" ht="33.75">
      <c r="A108" s="165" t="s">
        <v>183</v>
      </c>
      <c r="B108" s="165"/>
      <c r="C108" s="97" t="s">
        <v>50</v>
      </c>
      <c r="D108" s="135" t="s">
        <v>59</v>
      </c>
      <c r="E108" s="136" t="s">
        <v>62</v>
      </c>
      <c r="F108" s="173">
        <v>8</v>
      </c>
      <c r="G108" s="174">
        <v>39142</v>
      </c>
      <c r="H108" s="174">
        <v>39185</v>
      </c>
      <c r="I108" s="138" t="s">
        <v>61</v>
      </c>
      <c r="J108" s="175">
        <v>1500</v>
      </c>
      <c r="K108" s="139">
        <f t="shared" si="32"/>
        <v>300</v>
      </c>
      <c r="L108" s="140">
        <f t="shared" si="33"/>
        <v>1800</v>
      </c>
      <c r="M108" s="118">
        <f t="shared" si="34"/>
        <v>1500</v>
      </c>
      <c r="N108" s="118">
        <f t="shared" si="35"/>
        <v>300</v>
      </c>
      <c r="O108" s="114">
        <f t="shared" si="31"/>
        <v>1800</v>
      </c>
      <c r="P108" s="118">
        <f t="shared" si="36"/>
        <v>975</v>
      </c>
      <c r="Q108" s="118">
        <f t="shared" si="36"/>
        <v>195</v>
      </c>
      <c r="R108" s="114">
        <f t="shared" si="30"/>
        <v>1170</v>
      </c>
      <c r="S108" s="293"/>
      <c r="T108" s="294"/>
    </row>
    <row r="109" spans="1:20" s="172" customFormat="1" ht="33.75">
      <c r="A109" s="165" t="s">
        <v>183</v>
      </c>
      <c r="B109" s="165"/>
      <c r="C109" s="97" t="s">
        <v>50</v>
      </c>
      <c r="D109" s="135" t="s">
        <v>59</v>
      </c>
      <c r="E109" s="136" t="s">
        <v>62</v>
      </c>
      <c r="F109" s="173">
        <v>13</v>
      </c>
      <c r="G109" s="174">
        <v>39219</v>
      </c>
      <c r="H109" s="174">
        <v>39225</v>
      </c>
      <c r="I109" s="138" t="s">
        <v>61</v>
      </c>
      <c r="J109" s="175">
        <v>1500</v>
      </c>
      <c r="K109" s="139">
        <f t="shared" si="32"/>
        <v>300</v>
      </c>
      <c r="L109" s="140">
        <f t="shared" si="33"/>
        <v>1800</v>
      </c>
      <c r="M109" s="118">
        <f t="shared" si="34"/>
        <v>1500</v>
      </c>
      <c r="N109" s="118">
        <f t="shared" si="35"/>
        <v>300</v>
      </c>
      <c r="O109" s="114">
        <f t="shared" si="31"/>
        <v>1800</v>
      </c>
      <c r="P109" s="118">
        <f t="shared" si="36"/>
        <v>975</v>
      </c>
      <c r="Q109" s="118">
        <f t="shared" si="36"/>
        <v>195</v>
      </c>
      <c r="R109" s="114">
        <f t="shared" si="30"/>
        <v>1170</v>
      </c>
      <c r="S109" s="293"/>
      <c r="T109" s="294"/>
    </row>
    <row r="110" spans="1:20" s="172" customFormat="1" ht="33.75">
      <c r="A110" s="165" t="s">
        <v>183</v>
      </c>
      <c r="B110" s="165"/>
      <c r="C110" s="97" t="s">
        <v>50</v>
      </c>
      <c r="D110" s="135" t="s">
        <v>59</v>
      </c>
      <c r="E110" s="136" t="s">
        <v>62</v>
      </c>
      <c r="F110" s="173">
        <v>17</v>
      </c>
      <c r="G110" s="174">
        <v>39265</v>
      </c>
      <c r="H110" s="174">
        <v>39296</v>
      </c>
      <c r="I110" s="138" t="s">
        <v>61</v>
      </c>
      <c r="J110" s="175">
        <v>1500</v>
      </c>
      <c r="K110" s="139">
        <f t="shared" si="32"/>
        <v>300</v>
      </c>
      <c r="L110" s="140">
        <f t="shared" si="33"/>
        <v>1800</v>
      </c>
      <c r="M110" s="118">
        <f t="shared" si="34"/>
        <v>1500</v>
      </c>
      <c r="N110" s="118">
        <f t="shared" si="35"/>
        <v>300</v>
      </c>
      <c r="O110" s="114">
        <f t="shared" si="31"/>
        <v>1800</v>
      </c>
      <c r="P110" s="118">
        <f t="shared" si="36"/>
        <v>975</v>
      </c>
      <c r="Q110" s="118">
        <f t="shared" si="36"/>
        <v>195</v>
      </c>
      <c r="R110" s="114">
        <f t="shared" si="30"/>
        <v>1170</v>
      </c>
      <c r="S110" s="293"/>
      <c r="T110" s="294"/>
    </row>
    <row r="111" spans="1:20" s="172" customFormat="1" ht="30.75" customHeight="1">
      <c r="A111" s="165" t="s">
        <v>183</v>
      </c>
      <c r="B111" s="165"/>
      <c r="C111" s="97" t="s">
        <v>50</v>
      </c>
      <c r="D111" s="135" t="s">
        <v>231</v>
      </c>
      <c r="E111" s="173" t="s">
        <v>214</v>
      </c>
      <c r="F111" s="173">
        <v>3</v>
      </c>
      <c r="G111" s="174">
        <v>39090</v>
      </c>
      <c r="H111" s="174">
        <v>39090</v>
      </c>
      <c r="I111" s="138" t="s">
        <v>61</v>
      </c>
      <c r="J111" s="175">
        <v>4800</v>
      </c>
      <c r="K111" s="139">
        <f t="shared" si="32"/>
        <v>960</v>
      </c>
      <c r="L111" s="140">
        <f t="shared" si="33"/>
        <v>5760</v>
      </c>
      <c r="M111" s="118">
        <f t="shared" si="34"/>
        <v>4800</v>
      </c>
      <c r="N111" s="118">
        <f t="shared" si="35"/>
        <v>960</v>
      </c>
      <c r="O111" s="114">
        <f t="shared" si="31"/>
        <v>5760</v>
      </c>
      <c r="P111" s="118">
        <f t="shared" si="36"/>
        <v>3120</v>
      </c>
      <c r="Q111" s="118">
        <f t="shared" si="36"/>
        <v>624</v>
      </c>
      <c r="R111" s="114">
        <f t="shared" si="30"/>
        <v>3744</v>
      </c>
      <c r="S111" s="293" t="s">
        <v>337</v>
      </c>
      <c r="T111" s="294"/>
    </row>
    <row r="112" spans="1:20" s="172" customFormat="1" ht="48.75" customHeight="1">
      <c r="A112" s="165" t="s">
        <v>183</v>
      </c>
      <c r="B112" s="165"/>
      <c r="C112" s="97" t="s">
        <v>63</v>
      </c>
      <c r="D112" s="166" t="s">
        <v>152</v>
      </c>
      <c r="E112" s="167" t="s">
        <v>72</v>
      </c>
      <c r="F112" s="168" t="s">
        <v>184</v>
      </c>
      <c r="G112" s="169">
        <v>38776</v>
      </c>
      <c r="H112" s="170">
        <v>39114</v>
      </c>
      <c r="I112" s="171" t="s">
        <v>151</v>
      </c>
      <c r="J112" s="118">
        <f>9100</f>
        <v>9100</v>
      </c>
      <c r="K112" s="118">
        <f aca="true" t="shared" si="37" ref="K112:K117">+J112*0.2</f>
        <v>1820</v>
      </c>
      <c r="L112" s="100">
        <f aca="true" t="shared" si="38" ref="L112:L117">+K112+J112</f>
        <v>10920</v>
      </c>
      <c r="M112" s="118">
        <f>+J112-2275</f>
        <v>6825</v>
      </c>
      <c r="N112" s="118"/>
      <c r="O112" s="114">
        <f aca="true" t="shared" si="39" ref="O112:O117">+N112+M112</f>
        <v>6825</v>
      </c>
      <c r="P112" s="118">
        <f aca="true" t="shared" si="40" ref="P112:P117">+M112*0.65</f>
        <v>4436.25</v>
      </c>
      <c r="Q112" s="118">
        <f t="shared" si="36"/>
        <v>0</v>
      </c>
      <c r="R112" s="114">
        <f t="shared" si="30"/>
        <v>4436.25</v>
      </c>
      <c r="S112" s="290" t="s">
        <v>345</v>
      </c>
      <c r="T112" s="291"/>
    </row>
    <row r="113" spans="1:20" s="172" customFormat="1" ht="29.25" customHeight="1">
      <c r="A113" s="165" t="s">
        <v>183</v>
      </c>
      <c r="B113" s="165"/>
      <c r="C113" s="97" t="s">
        <v>63</v>
      </c>
      <c r="D113" s="166" t="s">
        <v>155</v>
      </c>
      <c r="E113" s="167" t="s">
        <v>72</v>
      </c>
      <c r="F113" s="168" t="s">
        <v>227</v>
      </c>
      <c r="G113" s="169">
        <v>38776</v>
      </c>
      <c r="H113" s="170">
        <v>39114</v>
      </c>
      <c r="I113" s="171" t="s">
        <v>151</v>
      </c>
      <c r="J113" s="118">
        <v>9000</v>
      </c>
      <c r="K113" s="118">
        <f t="shared" si="37"/>
        <v>1800</v>
      </c>
      <c r="L113" s="100">
        <f t="shared" si="38"/>
        <v>10800</v>
      </c>
      <c r="M113" s="118">
        <f>+J113-1750</f>
        <v>7250</v>
      </c>
      <c r="N113" s="118"/>
      <c r="O113" s="114">
        <f t="shared" si="39"/>
        <v>7250</v>
      </c>
      <c r="P113" s="118">
        <f t="shared" si="40"/>
        <v>4712.5</v>
      </c>
      <c r="Q113" s="118"/>
      <c r="R113" s="114">
        <f t="shared" si="30"/>
        <v>4712.5</v>
      </c>
      <c r="S113" s="290" t="s">
        <v>346</v>
      </c>
      <c r="T113" s="291"/>
    </row>
    <row r="114" spans="1:20" s="172" customFormat="1" ht="22.5">
      <c r="A114" s="165" t="s">
        <v>183</v>
      </c>
      <c r="B114" s="165"/>
      <c r="C114" s="97" t="s">
        <v>63</v>
      </c>
      <c r="D114" s="166" t="s">
        <v>161</v>
      </c>
      <c r="E114" s="167" t="s">
        <v>72</v>
      </c>
      <c r="F114" s="168" t="s">
        <v>185</v>
      </c>
      <c r="G114" s="169">
        <v>38776</v>
      </c>
      <c r="H114" s="170">
        <v>39538</v>
      </c>
      <c r="I114" s="171" t="s">
        <v>151</v>
      </c>
      <c r="J114" s="118">
        <v>17220</v>
      </c>
      <c r="K114" s="118">
        <f t="shared" si="37"/>
        <v>3444</v>
      </c>
      <c r="L114" s="100">
        <f t="shared" si="38"/>
        <v>20664</v>
      </c>
      <c r="M114" s="118">
        <f>+J114</f>
        <v>17220</v>
      </c>
      <c r="N114" s="118"/>
      <c r="O114" s="114">
        <f t="shared" si="39"/>
        <v>17220</v>
      </c>
      <c r="P114" s="118">
        <f t="shared" si="40"/>
        <v>11193</v>
      </c>
      <c r="Q114" s="118"/>
      <c r="R114" s="114">
        <f t="shared" si="30"/>
        <v>11193</v>
      </c>
      <c r="S114" s="290"/>
      <c r="T114" s="291"/>
    </row>
    <row r="115" spans="1:20" s="172" customFormat="1" ht="33.75">
      <c r="A115" s="165" t="s">
        <v>183</v>
      </c>
      <c r="B115" s="165"/>
      <c r="C115" s="97" t="s">
        <v>63</v>
      </c>
      <c r="D115" s="166" t="s">
        <v>149</v>
      </c>
      <c r="E115" s="167" t="s">
        <v>150</v>
      </c>
      <c r="F115" s="168">
        <v>83</v>
      </c>
      <c r="G115" s="169">
        <v>39020</v>
      </c>
      <c r="H115" s="170">
        <v>39020</v>
      </c>
      <c r="I115" s="171" t="s">
        <v>151</v>
      </c>
      <c r="J115" s="118">
        <f>25000</f>
        <v>25000</v>
      </c>
      <c r="K115" s="118">
        <f t="shared" si="37"/>
        <v>5000</v>
      </c>
      <c r="L115" s="100">
        <f t="shared" si="38"/>
        <v>30000</v>
      </c>
      <c r="M115" s="118">
        <f>2400+4200+6300+3900+3600</f>
        <v>20400</v>
      </c>
      <c r="N115" s="118"/>
      <c r="O115" s="114">
        <f t="shared" si="39"/>
        <v>20400</v>
      </c>
      <c r="P115" s="118">
        <f t="shared" si="40"/>
        <v>13260</v>
      </c>
      <c r="Q115" s="118"/>
      <c r="R115" s="114">
        <f t="shared" si="30"/>
        <v>13260</v>
      </c>
      <c r="S115" s="290" t="s">
        <v>347</v>
      </c>
      <c r="T115" s="291"/>
    </row>
    <row r="116" spans="1:20" s="172" customFormat="1" ht="33.75">
      <c r="A116" s="165" t="s">
        <v>183</v>
      </c>
      <c r="B116" s="165"/>
      <c r="C116" s="97" t="s">
        <v>63</v>
      </c>
      <c r="D116" s="166" t="s">
        <v>149</v>
      </c>
      <c r="E116" s="167" t="s">
        <v>150</v>
      </c>
      <c r="F116" s="168">
        <v>91</v>
      </c>
      <c r="G116" s="169">
        <v>39034</v>
      </c>
      <c r="H116" s="170">
        <v>39034</v>
      </c>
      <c r="I116" s="171" t="s">
        <v>151</v>
      </c>
      <c r="J116" s="118">
        <v>25000</v>
      </c>
      <c r="K116" s="118">
        <f t="shared" si="37"/>
        <v>5000</v>
      </c>
      <c r="L116" s="100">
        <f t="shared" si="38"/>
        <v>30000</v>
      </c>
      <c r="M116" s="118">
        <f>+J116-200-5250</f>
        <v>19550</v>
      </c>
      <c r="N116" s="118"/>
      <c r="O116" s="114">
        <f t="shared" si="39"/>
        <v>19550</v>
      </c>
      <c r="P116" s="118">
        <f t="shared" si="40"/>
        <v>12707.5</v>
      </c>
      <c r="Q116" s="118"/>
      <c r="R116" s="114">
        <f t="shared" si="30"/>
        <v>12707.5</v>
      </c>
      <c r="S116" s="290" t="s">
        <v>347</v>
      </c>
      <c r="T116" s="291"/>
    </row>
    <row r="117" spans="1:20" s="172" customFormat="1" ht="33.75">
      <c r="A117" s="165" t="s">
        <v>183</v>
      </c>
      <c r="B117" s="165"/>
      <c r="C117" s="97" t="s">
        <v>63</v>
      </c>
      <c r="D117" s="166" t="s">
        <v>149</v>
      </c>
      <c r="E117" s="167" t="s">
        <v>150</v>
      </c>
      <c r="F117" s="168">
        <v>106</v>
      </c>
      <c r="G117" s="169">
        <v>39066</v>
      </c>
      <c r="H117" s="170">
        <v>39597</v>
      </c>
      <c r="I117" s="171" t="s">
        <v>151</v>
      </c>
      <c r="J117" s="118">
        <v>49000</v>
      </c>
      <c r="K117" s="118">
        <f t="shared" si="37"/>
        <v>9800</v>
      </c>
      <c r="L117" s="100">
        <f t="shared" si="38"/>
        <v>58800</v>
      </c>
      <c r="M117" s="118">
        <f>300*27+10150+700+8700+6000</f>
        <v>33650</v>
      </c>
      <c r="N117" s="118"/>
      <c r="O117" s="114">
        <f t="shared" si="39"/>
        <v>33650</v>
      </c>
      <c r="P117" s="118">
        <f t="shared" si="40"/>
        <v>21872.5</v>
      </c>
      <c r="Q117" s="118"/>
      <c r="R117" s="114">
        <f>+Q117+P117</f>
        <v>21872.5</v>
      </c>
      <c r="S117" s="290" t="s">
        <v>347</v>
      </c>
      <c r="T117" s="291"/>
    </row>
    <row r="118" spans="1:20" s="172" customFormat="1" ht="45">
      <c r="A118" s="124" t="s">
        <v>236</v>
      </c>
      <c r="B118" s="120"/>
      <c r="C118" s="97" t="s">
        <v>63</v>
      </c>
      <c r="D118" s="166" t="s">
        <v>263</v>
      </c>
      <c r="E118" s="167" t="s">
        <v>72</v>
      </c>
      <c r="F118" s="168" t="s">
        <v>264</v>
      </c>
      <c r="G118" s="169">
        <v>38776</v>
      </c>
      <c r="H118" s="170">
        <v>39430</v>
      </c>
      <c r="I118" s="171" t="s">
        <v>151</v>
      </c>
      <c r="J118" s="118">
        <v>14000</v>
      </c>
      <c r="K118" s="118">
        <v>2800</v>
      </c>
      <c r="L118" s="100">
        <v>16800</v>
      </c>
      <c r="M118" s="118">
        <f>8*350+8*350+5*300+5*300+10*180+7*180+13*180</f>
        <v>14000</v>
      </c>
      <c r="N118" s="118"/>
      <c r="O118" s="114">
        <f>+N118+M118</f>
        <v>14000</v>
      </c>
      <c r="P118" s="118">
        <f aca="true" t="shared" si="41" ref="P118:Q128">+M118*0.65</f>
        <v>9100</v>
      </c>
      <c r="Q118" s="118"/>
      <c r="R118" s="114">
        <f aca="true" t="shared" si="42" ref="R118:R128">+Q118+P118</f>
        <v>9100</v>
      </c>
      <c r="S118" s="240" t="s">
        <v>318</v>
      </c>
      <c r="T118" s="241"/>
    </row>
    <row r="119" spans="1:20" s="172" customFormat="1" ht="22.5">
      <c r="A119" s="124" t="s">
        <v>236</v>
      </c>
      <c r="B119" s="120"/>
      <c r="C119" s="97" t="s">
        <v>63</v>
      </c>
      <c r="D119" s="166" t="s">
        <v>265</v>
      </c>
      <c r="E119" s="167" t="s">
        <v>72</v>
      </c>
      <c r="F119" s="168" t="s">
        <v>266</v>
      </c>
      <c r="G119" s="169">
        <v>38776</v>
      </c>
      <c r="H119" s="170">
        <v>39430</v>
      </c>
      <c r="I119" s="171" t="s">
        <v>151</v>
      </c>
      <c r="J119" s="118">
        <v>20100</v>
      </c>
      <c r="K119" s="118">
        <v>4020</v>
      </c>
      <c r="L119" s="100">
        <v>24120</v>
      </c>
      <c r="M119" s="118">
        <v>20100</v>
      </c>
      <c r="N119" s="118"/>
      <c r="O119" s="114">
        <f aca="true" t="shared" si="43" ref="O119:O131">+N119+M119</f>
        <v>20100</v>
      </c>
      <c r="P119" s="118">
        <f t="shared" si="41"/>
        <v>13065</v>
      </c>
      <c r="Q119" s="118"/>
      <c r="R119" s="114">
        <f t="shared" si="42"/>
        <v>13065</v>
      </c>
      <c r="S119" s="240" t="s">
        <v>318</v>
      </c>
      <c r="T119" s="241"/>
    </row>
    <row r="120" spans="1:20" s="172" customFormat="1" ht="22.5">
      <c r="A120" s="124" t="s">
        <v>236</v>
      </c>
      <c r="B120" s="120"/>
      <c r="C120" s="97" t="s">
        <v>63</v>
      </c>
      <c r="D120" s="166" t="s">
        <v>267</v>
      </c>
      <c r="E120" s="167" t="s">
        <v>72</v>
      </c>
      <c r="F120" s="168" t="s">
        <v>268</v>
      </c>
      <c r="G120" s="169">
        <v>38776</v>
      </c>
      <c r="H120" s="170">
        <v>39430</v>
      </c>
      <c r="I120" s="171" t="s">
        <v>151</v>
      </c>
      <c r="J120" s="118">
        <v>25680</v>
      </c>
      <c r="K120" s="118">
        <v>5136</v>
      </c>
      <c r="L120" s="100">
        <v>30816</v>
      </c>
      <c r="M120" s="118">
        <v>25680</v>
      </c>
      <c r="N120" s="118"/>
      <c r="O120" s="114">
        <f t="shared" si="43"/>
        <v>25680</v>
      </c>
      <c r="P120" s="118">
        <f t="shared" si="41"/>
        <v>16692</v>
      </c>
      <c r="Q120" s="118"/>
      <c r="R120" s="114">
        <f t="shared" si="42"/>
        <v>16692</v>
      </c>
      <c r="S120" s="240" t="s">
        <v>318</v>
      </c>
      <c r="T120" s="241"/>
    </row>
    <row r="121" spans="1:20" s="172" customFormat="1" ht="33.75">
      <c r="A121" s="124" t="s">
        <v>236</v>
      </c>
      <c r="B121" s="120"/>
      <c r="C121" s="97" t="s">
        <v>63</v>
      </c>
      <c r="D121" s="166" t="s">
        <v>269</v>
      </c>
      <c r="E121" s="167" t="s">
        <v>72</v>
      </c>
      <c r="F121" s="168" t="s">
        <v>270</v>
      </c>
      <c r="G121" s="169">
        <v>39070</v>
      </c>
      <c r="H121" s="170">
        <v>39723</v>
      </c>
      <c r="I121" s="171" t="s">
        <v>151</v>
      </c>
      <c r="J121" s="118">
        <v>45000</v>
      </c>
      <c r="K121" s="118">
        <v>9000</v>
      </c>
      <c r="L121" s="100">
        <v>54000</v>
      </c>
      <c r="M121" s="118"/>
      <c r="N121" s="118"/>
      <c r="O121" s="114">
        <f t="shared" si="43"/>
        <v>0</v>
      </c>
      <c r="P121" s="118">
        <f t="shared" si="41"/>
        <v>0</v>
      </c>
      <c r="Q121" s="118"/>
      <c r="R121" s="114">
        <f t="shared" si="42"/>
        <v>0</v>
      </c>
      <c r="S121" s="271" t="s">
        <v>335</v>
      </c>
      <c r="T121" s="272"/>
    </row>
    <row r="122" spans="1:20" s="172" customFormat="1" ht="33.75">
      <c r="A122" s="124" t="s">
        <v>236</v>
      </c>
      <c r="B122" s="120"/>
      <c r="C122" s="97" t="s">
        <v>63</v>
      </c>
      <c r="D122" s="166" t="s">
        <v>271</v>
      </c>
      <c r="E122" s="167" t="s">
        <v>272</v>
      </c>
      <c r="F122" s="168">
        <v>104</v>
      </c>
      <c r="G122" s="169">
        <v>39066</v>
      </c>
      <c r="H122" s="170">
        <v>39430</v>
      </c>
      <c r="I122" s="171" t="s">
        <v>151</v>
      </c>
      <c r="J122" s="118">
        <v>17666.24</v>
      </c>
      <c r="K122" s="118">
        <v>3533.25</v>
      </c>
      <c r="L122" s="100">
        <v>21199.49</v>
      </c>
      <c r="M122" s="118">
        <v>17666.24</v>
      </c>
      <c r="N122" s="118"/>
      <c r="O122" s="114">
        <f t="shared" si="43"/>
        <v>17666.24</v>
      </c>
      <c r="P122" s="118">
        <f t="shared" si="41"/>
        <v>11483.056000000002</v>
      </c>
      <c r="Q122" s="118"/>
      <c r="R122" s="114">
        <f t="shared" si="42"/>
        <v>11483.056000000002</v>
      </c>
      <c r="S122" s="240" t="s">
        <v>318</v>
      </c>
      <c r="T122" s="241"/>
    </row>
    <row r="123" spans="1:20" s="172" customFormat="1" ht="33.75">
      <c r="A123" s="124" t="s">
        <v>236</v>
      </c>
      <c r="B123" s="120"/>
      <c r="C123" s="97" t="s">
        <v>63</v>
      </c>
      <c r="D123" s="166" t="s">
        <v>271</v>
      </c>
      <c r="E123" s="167" t="s">
        <v>272</v>
      </c>
      <c r="F123" s="168">
        <v>105</v>
      </c>
      <c r="G123" s="169">
        <v>39066</v>
      </c>
      <c r="H123" s="170">
        <v>39430</v>
      </c>
      <c r="I123" s="171" t="s">
        <v>151</v>
      </c>
      <c r="J123" s="118">
        <v>38765.91</v>
      </c>
      <c r="K123" s="118">
        <v>7753.18</v>
      </c>
      <c r="L123" s="100">
        <v>46519.09</v>
      </c>
      <c r="M123" s="118">
        <v>38765.91</v>
      </c>
      <c r="N123" s="118"/>
      <c r="O123" s="114">
        <f t="shared" si="43"/>
        <v>38765.91</v>
      </c>
      <c r="P123" s="118">
        <f t="shared" si="41"/>
        <v>25197.841500000002</v>
      </c>
      <c r="Q123" s="118"/>
      <c r="R123" s="114">
        <f t="shared" si="42"/>
        <v>25197.841500000002</v>
      </c>
      <c r="S123" s="240" t="s">
        <v>318</v>
      </c>
      <c r="T123" s="241"/>
    </row>
    <row r="124" spans="1:20" s="172" customFormat="1" ht="22.5">
      <c r="A124" s="124" t="s">
        <v>236</v>
      </c>
      <c r="B124" s="120"/>
      <c r="C124" s="97" t="s">
        <v>89</v>
      </c>
      <c r="D124" s="166" t="s">
        <v>307</v>
      </c>
      <c r="E124" s="167" t="s">
        <v>308</v>
      </c>
      <c r="F124" s="168" t="s">
        <v>309</v>
      </c>
      <c r="G124" s="169">
        <v>39282</v>
      </c>
      <c r="H124" s="170">
        <v>39533</v>
      </c>
      <c r="I124" s="171" t="s">
        <v>247</v>
      </c>
      <c r="J124" s="118">
        <v>8333.34</v>
      </c>
      <c r="K124" s="118">
        <v>1666.66</v>
      </c>
      <c r="L124" s="100">
        <v>10000</v>
      </c>
      <c r="M124" s="118">
        <v>8333.34</v>
      </c>
      <c r="N124" s="118"/>
      <c r="O124" s="114">
        <f t="shared" si="43"/>
        <v>8333.34</v>
      </c>
      <c r="P124" s="118">
        <f t="shared" si="41"/>
        <v>5416.671</v>
      </c>
      <c r="Q124" s="118">
        <f t="shared" si="41"/>
        <v>0</v>
      </c>
      <c r="R124" s="114">
        <f t="shared" si="42"/>
        <v>5416.671</v>
      </c>
      <c r="S124" s="271"/>
      <c r="T124" s="272"/>
    </row>
    <row r="125" spans="1:20" s="172" customFormat="1" ht="22.5">
      <c r="A125" s="124" t="s">
        <v>236</v>
      </c>
      <c r="B125" s="120"/>
      <c r="C125" s="97" t="s">
        <v>89</v>
      </c>
      <c r="D125" s="166" t="s">
        <v>307</v>
      </c>
      <c r="E125" s="167" t="s">
        <v>308</v>
      </c>
      <c r="F125" s="168" t="s">
        <v>309</v>
      </c>
      <c r="G125" s="169">
        <v>39282</v>
      </c>
      <c r="H125" s="170">
        <v>39567</v>
      </c>
      <c r="I125" s="171" t="s">
        <v>247</v>
      </c>
      <c r="J125" s="118">
        <v>8333.34</v>
      </c>
      <c r="K125" s="118">
        <v>1666.66</v>
      </c>
      <c r="L125" s="100">
        <v>10000</v>
      </c>
      <c r="M125" s="118">
        <v>8333.34</v>
      </c>
      <c r="N125" s="118"/>
      <c r="O125" s="114">
        <f t="shared" si="43"/>
        <v>8333.34</v>
      </c>
      <c r="P125" s="118">
        <f t="shared" si="41"/>
        <v>5416.671</v>
      </c>
      <c r="Q125" s="118">
        <f t="shared" si="41"/>
        <v>0</v>
      </c>
      <c r="R125" s="114">
        <f t="shared" si="42"/>
        <v>5416.671</v>
      </c>
      <c r="S125" s="271"/>
      <c r="T125" s="272"/>
    </row>
    <row r="126" spans="1:20" s="172" customFormat="1" ht="22.5">
      <c r="A126" s="124" t="s">
        <v>236</v>
      </c>
      <c r="B126" s="120"/>
      <c r="C126" s="97" t="s">
        <v>89</v>
      </c>
      <c r="D126" s="166" t="s">
        <v>307</v>
      </c>
      <c r="E126" s="167" t="s">
        <v>308</v>
      </c>
      <c r="F126" s="168" t="s">
        <v>309</v>
      </c>
      <c r="G126" s="169">
        <v>39282</v>
      </c>
      <c r="H126" s="170">
        <v>39654</v>
      </c>
      <c r="I126" s="171" t="s">
        <v>247</v>
      </c>
      <c r="J126" s="118">
        <v>5000</v>
      </c>
      <c r="K126" s="118">
        <v>1000</v>
      </c>
      <c r="L126" s="100">
        <v>6000</v>
      </c>
      <c r="M126" s="118">
        <v>5000</v>
      </c>
      <c r="N126" s="118"/>
      <c r="O126" s="114">
        <f t="shared" si="43"/>
        <v>5000</v>
      </c>
      <c r="P126" s="118">
        <f t="shared" si="41"/>
        <v>3250</v>
      </c>
      <c r="Q126" s="118">
        <f t="shared" si="41"/>
        <v>0</v>
      </c>
      <c r="R126" s="114">
        <f t="shared" si="42"/>
        <v>3250</v>
      </c>
      <c r="S126" s="271"/>
      <c r="T126" s="272"/>
    </row>
    <row r="127" spans="1:20" s="172" customFormat="1" ht="22.5">
      <c r="A127" s="124" t="s">
        <v>236</v>
      </c>
      <c r="B127" s="120"/>
      <c r="C127" s="97" t="s">
        <v>89</v>
      </c>
      <c r="D127" s="166" t="s">
        <v>307</v>
      </c>
      <c r="E127" s="167" t="s">
        <v>308</v>
      </c>
      <c r="F127" s="168" t="s">
        <v>309</v>
      </c>
      <c r="G127" s="169">
        <v>39282</v>
      </c>
      <c r="H127" s="170">
        <v>39687</v>
      </c>
      <c r="I127" s="171" t="s">
        <v>247</v>
      </c>
      <c r="J127" s="118">
        <v>5000</v>
      </c>
      <c r="K127" s="118">
        <v>1000</v>
      </c>
      <c r="L127" s="100">
        <v>6000</v>
      </c>
      <c r="M127" s="118">
        <v>5000</v>
      </c>
      <c r="N127" s="118"/>
      <c r="O127" s="114">
        <f t="shared" si="43"/>
        <v>5000</v>
      </c>
      <c r="P127" s="118">
        <f t="shared" si="41"/>
        <v>3250</v>
      </c>
      <c r="Q127" s="118">
        <f t="shared" si="41"/>
        <v>0</v>
      </c>
      <c r="R127" s="114">
        <f t="shared" si="42"/>
        <v>3250</v>
      </c>
      <c r="S127" s="271"/>
      <c r="T127" s="272"/>
    </row>
    <row r="128" spans="1:20" s="172" customFormat="1" ht="22.5">
      <c r="A128" s="124" t="s">
        <v>236</v>
      </c>
      <c r="B128" s="120"/>
      <c r="C128" s="97" t="s">
        <v>89</v>
      </c>
      <c r="D128" s="166" t="s">
        <v>307</v>
      </c>
      <c r="E128" s="167" t="s">
        <v>308</v>
      </c>
      <c r="F128" s="168" t="s">
        <v>309</v>
      </c>
      <c r="G128" s="169">
        <v>39282</v>
      </c>
      <c r="H128" s="170">
        <v>39701</v>
      </c>
      <c r="I128" s="171" t="s">
        <v>247</v>
      </c>
      <c r="J128" s="118">
        <v>5508.61</v>
      </c>
      <c r="K128" s="118">
        <v>1101.71</v>
      </c>
      <c r="L128" s="100">
        <v>6610.32</v>
      </c>
      <c r="M128" s="118">
        <v>5508.61</v>
      </c>
      <c r="N128" s="118"/>
      <c r="O128" s="114">
        <f t="shared" si="43"/>
        <v>5508.61</v>
      </c>
      <c r="P128" s="118">
        <f t="shared" si="41"/>
        <v>3580.5965</v>
      </c>
      <c r="Q128" s="118">
        <f t="shared" si="41"/>
        <v>0</v>
      </c>
      <c r="R128" s="114">
        <f t="shared" si="42"/>
        <v>3580.5965</v>
      </c>
      <c r="S128" s="271"/>
      <c r="T128" s="272"/>
    </row>
    <row r="129" spans="1:20" s="172" customFormat="1" ht="22.5">
      <c r="A129" s="124" t="s">
        <v>322</v>
      </c>
      <c r="B129" s="120"/>
      <c r="C129" s="97" t="s">
        <v>63</v>
      </c>
      <c r="D129" s="166" t="s">
        <v>323</v>
      </c>
      <c r="E129" s="167" t="s">
        <v>308</v>
      </c>
      <c r="F129" s="168" t="s">
        <v>324</v>
      </c>
      <c r="G129" s="169">
        <v>39070</v>
      </c>
      <c r="H129" s="170">
        <v>39785</v>
      </c>
      <c r="I129" s="171" t="s">
        <v>53</v>
      </c>
      <c r="J129" s="118">
        <v>48885</v>
      </c>
      <c r="K129" s="118">
        <v>9777</v>
      </c>
      <c r="L129" s="100">
        <v>58662</v>
      </c>
      <c r="M129" s="118">
        <f>48870-12250</f>
        <v>36620</v>
      </c>
      <c r="N129" s="118"/>
      <c r="O129" s="114">
        <f t="shared" si="43"/>
        <v>36620</v>
      </c>
      <c r="P129" s="118">
        <f aca="true" t="shared" si="44" ref="P129:Q134">+M129*0.65</f>
        <v>23803</v>
      </c>
      <c r="Q129" s="118">
        <f t="shared" si="44"/>
        <v>0</v>
      </c>
      <c r="R129" s="114">
        <f aca="true" t="shared" si="45" ref="R129:R134">+Q129+P129</f>
        <v>23803</v>
      </c>
      <c r="S129" s="290" t="s">
        <v>341</v>
      </c>
      <c r="T129" s="291"/>
    </row>
    <row r="130" spans="1:20" s="172" customFormat="1" ht="56.25">
      <c r="A130" s="124" t="s">
        <v>322</v>
      </c>
      <c r="B130" s="120"/>
      <c r="C130" s="97" t="s">
        <v>85</v>
      </c>
      <c r="D130" s="166" t="s">
        <v>343</v>
      </c>
      <c r="E130" s="167" t="s">
        <v>308</v>
      </c>
      <c r="F130" s="168" t="s">
        <v>328</v>
      </c>
      <c r="G130" s="169" t="s">
        <v>329</v>
      </c>
      <c r="H130" s="170" t="s">
        <v>330</v>
      </c>
      <c r="I130" s="171" t="s">
        <v>334</v>
      </c>
      <c r="J130" s="118">
        <v>12350.69</v>
      </c>
      <c r="K130" s="118">
        <f>+J130*0.2</f>
        <v>2470.1380000000004</v>
      </c>
      <c r="L130" s="100">
        <f>+K130+J130</f>
        <v>14820.828000000001</v>
      </c>
      <c r="M130" s="118">
        <v>7650</v>
      </c>
      <c r="N130" s="118"/>
      <c r="O130" s="114">
        <f t="shared" si="43"/>
        <v>7650</v>
      </c>
      <c r="P130" s="118">
        <f t="shared" si="44"/>
        <v>4972.5</v>
      </c>
      <c r="Q130" s="118">
        <f t="shared" si="44"/>
        <v>0</v>
      </c>
      <c r="R130" s="114">
        <f t="shared" si="45"/>
        <v>4972.5</v>
      </c>
      <c r="S130" s="290" t="s">
        <v>341</v>
      </c>
      <c r="T130" s="291"/>
    </row>
    <row r="131" spans="1:20" s="172" customFormat="1" ht="33.75">
      <c r="A131" s="124" t="s">
        <v>322</v>
      </c>
      <c r="B131" s="120"/>
      <c r="C131" s="97" t="s">
        <v>50</v>
      </c>
      <c r="D131" s="166" t="s">
        <v>331</v>
      </c>
      <c r="E131" s="167" t="s">
        <v>332</v>
      </c>
      <c r="F131" s="168">
        <v>92</v>
      </c>
      <c r="G131" s="169">
        <v>39756</v>
      </c>
      <c r="H131" s="170">
        <v>39780</v>
      </c>
      <c r="I131" s="171" t="s">
        <v>53</v>
      </c>
      <c r="J131" s="118">
        <v>200000</v>
      </c>
      <c r="K131" s="118">
        <v>40000</v>
      </c>
      <c r="L131" s="100">
        <v>240000</v>
      </c>
      <c r="M131" s="118">
        <v>200000</v>
      </c>
      <c r="N131" s="118">
        <v>40000</v>
      </c>
      <c r="O131" s="114">
        <f t="shared" si="43"/>
        <v>240000</v>
      </c>
      <c r="P131" s="118">
        <f t="shared" si="44"/>
        <v>130000</v>
      </c>
      <c r="Q131" s="118">
        <f t="shared" si="44"/>
        <v>26000</v>
      </c>
      <c r="R131" s="114">
        <f t="shared" si="45"/>
        <v>156000</v>
      </c>
      <c r="S131" s="290" t="s">
        <v>339</v>
      </c>
      <c r="T131" s="291"/>
    </row>
    <row r="132" spans="1:20" s="172" customFormat="1" ht="33.75">
      <c r="A132" s="124" t="s">
        <v>322</v>
      </c>
      <c r="B132" s="120"/>
      <c r="C132" s="97" t="s">
        <v>63</v>
      </c>
      <c r="D132" s="166" t="s">
        <v>269</v>
      </c>
      <c r="E132" s="167" t="s">
        <v>72</v>
      </c>
      <c r="F132" s="168" t="s">
        <v>270</v>
      </c>
      <c r="G132" s="169">
        <v>39070</v>
      </c>
      <c r="H132" s="170">
        <v>39723</v>
      </c>
      <c r="I132" s="171" t="s">
        <v>151</v>
      </c>
      <c r="J132" s="118">
        <v>45000</v>
      </c>
      <c r="K132" s="118">
        <v>9000</v>
      </c>
      <c r="L132" s="100">
        <v>54000</v>
      </c>
      <c r="M132" s="118">
        <f>44970-10500</f>
        <v>34470</v>
      </c>
      <c r="N132" s="118"/>
      <c r="O132" s="114">
        <f>+N132+M132</f>
        <v>34470</v>
      </c>
      <c r="P132" s="118">
        <f t="shared" si="44"/>
        <v>22405.5</v>
      </c>
      <c r="Q132" s="118"/>
      <c r="R132" s="114">
        <f t="shared" si="45"/>
        <v>22405.5</v>
      </c>
      <c r="S132" s="271" t="s">
        <v>336</v>
      </c>
      <c r="T132" s="272"/>
    </row>
    <row r="133" spans="1:20" s="172" customFormat="1" ht="33.75">
      <c r="A133" s="124" t="s">
        <v>322</v>
      </c>
      <c r="B133" s="120"/>
      <c r="C133" s="97" t="s">
        <v>50</v>
      </c>
      <c r="D133" s="135" t="s">
        <v>231</v>
      </c>
      <c r="E133" s="173" t="s">
        <v>214</v>
      </c>
      <c r="F133" s="173">
        <v>3</v>
      </c>
      <c r="G133" s="174">
        <v>39090</v>
      </c>
      <c r="H133" s="174">
        <v>39090</v>
      </c>
      <c r="I133" s="138" t="s">
        <v>61</v>
      </c>
      <c r="J133" s="175">
        <v>4800</v>
      </c>
      <c r="K133" s="139">
        <f>+J133*0.2</f>
        <v>960</v>
      </c>
      <c r="L133" s="140">
        <f>SUM(J133:K133)</f>
        <v>5760</v>
      </c>
      <c r="M133" s="118">
        <f>-4800+16*291.67</f>
        <v>-133.27999999999975</v>
      </c>
      <c r="N133" s="118">
        <f>-960+16*58.33</f>
        <v>-26.720000000000027</v>
      </c>
      <c r="O133" s="114">
        <f>+N133+M133</f>
        <v>-159.99999999999977</v>
      </c>
      <c r="P133" s="118">
        <f t="shared" si="44"/>
        <v>-86.63199999999983</v>
      </c>
      <c r="Q133" s="118">
        <f>+N133*0.65</f>
        <v>-17.36800000000002</v>
      </c>
      <c r="R133" s="114">
        <f t="shared" si="45"/>
        <v>-103.99999999999986</v>
      </c>
      <c r="S133" s="293" t="s">
        <v>338</v>
      </c>
      <c r="T133" s="294"/>
    </row>
    <row r="134" spans="1:20" s="172" customFormat="1" ht="11.25">
      <c r="A134" s="124"/>
      <c r="B134" s="120"/>
      <c r="C134" s="97"/>
      <c r="D134" s="135"/>
      <c r="E134" s="173"/>
      <c r="F134" s="173"/>
      <c r="G134" s="174"/>
      <c r="H134" s="174"/>
      <c r="I134" s="138"/>
      <c r="J134" s="175"/>
      <c r="K134" s="139"/>
      <c r="L134" s="140"/>
      <c r="M134" s="118"/>
      <c r="N134" s="118"/>
      <c r="O134" s="114">
        <f>+N134+M134</f>
        <v>0</v>
      </c>
      <c r="P134" s="118">
        <f t="shared" si="44"/>
        <v>0</v>
      </c>
      <c r="Q134" s="118">
        <f>+N134*0.65</f>
        <v>0</v>
      </c>
      <c r="R134" s="114">
        <f t="shared" si="45"/>
        <v>0</v>
      </c>
      <c r="S134" s="234"/>
      <c r="T134" s="235"/>
    </row>
    <row r="135" spans="1:20" s="172" customFormat="1" ht="11.25">
      <c r="A135" s="124"/>
      <c r="B135" s="120"/>
      <c r="C135" s="97"/>
      <c r="D135" s="135"/>
      <c r="E135" s="173"/>
      <c r="F135" s="173"/>
      <c r="G135" s="174"/>
      <c r="H135" s="174"/>
      <c r="I135" s="138"/>
      <c r="J135" s="175"/>
      <c r="K135" s="139"/>
      <c r="L135" s="140"/>
      <c r="M135" s="118"/>
      <c r="N135" s="118"/>
      <c r="O135" s="114"/>
      <c r="P135" s="118"/>
      <c r="Q135" s="118"/>
      <c r="R135" s="114"/>
      <c r="S135" s="234"/>
      <c r="T135" s="235"/>
    </row>
    <row r="136" spans="1:20" s="172" customFormat="1" ht="11.25">
      <c r="A136" s="124"/>
      <c r="B136" s="120"/>
      <c r="C136" s="97"/>
      <c r="D136" s="135"/>
      <c r="E136" s="173"/>
      <c r="F136" s="173"/>
      <c r="G136" s="174"/>
      <c r="H136" s="174"/>
      <c r="I136" s="138"/>
      <c r="J136" s="175"/>
      <c r="K136" s="139"/>
      <c r="L136" s="140"/>
      <c r="M136" s="118"/>
      <c r="N136" s="118"/>
      <c r="O136" s="114"/>
      <c r="P136" s="118"/>
      <c r="Q136" s="118"/>
      <c r="R136" s="114"/>
      <c r="S136" s="234"/>
      <c r="T136" s="235"/>
    </row>
    <row r="137" spans="1:20" s="144" customFormat="1" ht="10.5" customHeight="1">
      <c r="A137" s="124"/>
      <c r="B137" s="120"/>
      <c r="C137" s="121"/>
      <c r="D137" s="97"/>
      <c r="E137" s="121"/>
      <c r="F137" s="97"/>
      <c r="G137" s="123"/>
      <c r="H137" s="176"/>
      <c r="I137" s="176"/>
      <c r="J137" s="143"/>
      <c r="K137" s="143">
        <f>+J137*0.2</f>
        <v>0</v>
      </c>
      <c r="L137" s="142">
        <f>SUM(J137:K137)</f>
        <v>0</v>
      </c>
      <c r="M137" s="141">
        <v>0</v>
      </c>
      <c r="N137" s="141"/>
      <c r="O137" s="142"/>
      <c r="P137" s="143">
        <f>M137*0.65</f>
        <v>0</v>
      </c>
      <c r="Q137" s="143"/>
      <c r="R137" s="142"/>
      <c r="S137" s="292"/>
      <c r="T137" s="292"/>
    </row>
    <row r="138" ht="11.25"/>
    <row r="139" spans="1:20" s="69" customFormat="1" ht="11.25">
      <c r="A139" s="313" t="s">
        <v>1</v>
      </c>
      <c r="B139" s="302"/>
      <c r="C139" s="302"/>
      <c r="D139" s="302"/>
      <c r="E139" s="302"/>
      <c r="F139" s="302"/>
      <c r="G139" s="302"/>
      <c r="H139" s="302"/>
      <c r="I139" s="302"/>
      <c r="J139" s="302"/>
      <c r="K139" s="302"/>
      <c r="L139" s="303"/>
      <c r="M139" s="65" t="s">
        <v>44</v>
      </c>
      <c r="N139" s="66" t="s">
        <v>45</v>
      </c>
      <c r="O139" s="66" t="s">
        <v>46</v>
      </c>
      <c r="P139" s="66" t="s">
        <v>47</v>
      </c>
      <c r="Q139" s="66" t="s">
        <v>48</v>
      </c>
      <c r="R139" s="66" t="s">
        <v>43</v>
      </c>
      <c r="S139" s="67" t="s">
        <v>25</v>
      </c>
      <c r="T139" s="68" t="s">
        <v>26</v>
      </c>
    </row>
    <row r="140" spans="1:21" ht="11.25">
      <c r="A140" s="262"/>
      <c r="B140" s="297"/>
      <c r="C140" s="317"/>
      <c r="D140" s="318"/>
      <c r="E140" s="318"/>
      <c r="F140" s="318"/>
      <c r="G140" s="318"/>
      <c r="H140" s="318"/>
      <c r="I140" s="318"/>
      <c r="J140" s="318"/>
      <c r="K140" s="319"/>
      <c r="L140" s="73" t="s">
        <v>12</v>
      </c>
      <c r="M140" s="128">
        <v>0</v>
      </c>
      <c r="N140" s="75">
        <f>M140*0.2</f>
        <v>0</v>
      </c>
      <c r="O140" s="74">
        <f>SUM(M140:N140)</f>
        <v>0</v>
      </c>
      <c r="P140" s="75">
        <f>M140*0.65</f>
        <v>0</v>
      </c>
      <c r="Q140" s="75">
        <f>P140*0.2</f>
        <v>0</v>
      </c>
      <c r="R140" s="74">
        <f>SUM(P140:Q140)</f>
        <v>0</v>
      </c>
      <c r="S140" s="129"/>
      <c r="T140" s="129"/>
      <c r="U140" s="38"/>
    </row>
    <row r="141" spans="1:21" ht="11.25">
      <c r="A141" s="262"/>
      <c r="B141" s="297"/>
      <c r="C141" s="77"/>
      <c r="D141" s="78"/>
      <c r="E141" s="78"/>
      <c r="F141" s="78"/>
      <c r="G141" s="78"/>
      <c r="H141" s="78"/>
      <c r="I141" s="78"/>
      <c r="J141" s="78"/>
      <c r="K141" s="177"/>
      <c r="L141" s="80" t="s">
        <v>28</v>
      </c>
      <c r="M141" s="81"/>
      <c r="N141" s="79"/>
      <c r="O141" s="82"/>
      <c r="P141" s="79"/>
      <c r="Q141" s="79"/>
      <c r="R141" s="82"/>
      <c r="S141" s="83">
        <f>R141*0.375</f>
        <v>0</v>
      </c>
      <c r="T141" s="83">
        <f>R141-S141</f>
        <v>0</v>
      </c>
      <c r="U141" s="38"/>
    </row>
    <row r="142" spans="1:21" ht="11.25">
      <c r="A142" s="262"/>
      <c r="B142" s="297"/>
      <c r="C142" s="77"/>
      <c r="D142" s="78"/>
      <c r="E142" s="78"/>
      <c r="F142" s="78"/>
      <c r="G142" s="78"/>
      <c r="H142" s="78"/>
      <c r="I142" s="78"/>
      <c r="J142" s="78"/>
      <c r="K142" s="84"/>
      <c r="L142" s="130" t="s">
        <v>29</v>
      </c>
      <c r="M142" s="81">
        <v>0</v>
      </c>
      <c r="N142" s="79"/>
      <c r="O142" s="82"/>
      <c r="P142" s="79">
        <v>0</v>
      </c>
      <c r="Q142" s="178"/>
      <c r="R142" s="179"/>
      <c r="S142" s="83">
        <f>R142*0.375</f>
        <v>0</v>
      </c>
      <c r="T142" s="83">
        <f>P142-S142</f>
        <v>0</v>
      </c>
      <c r="U142" s="38"/>
    </row>
    <row r="143" spans="1:21" ht="11.25">
      <c r="A143" s="262"/>
      <c r="B143" s="297"/>
      <c r="C143" s="77"/>
      <c r="D143" s="78"/>
      <c r="E143" s="78"/>
      <c r="F143" s="78"/>
      <c r="G143" s="78"/>
      <c r="H143" s="78"/>
      <c r="I143" s="78"/>
      <c r="J143" s="78"/>
      <c r="K143" s="84"/>
      <c r="L143" s="80" t="s">
        <v>189</v>
      </c>
      <c r="M143" s="81"/>
      <c r="N143" s="79"/>
      <c r="O143" s="82"/>
      <c r="P143" s="79">
        <v>0</v>
      </c>
      <c r="Q143" s="178"/>
      <c r="R143" s="179"/>
      <c r="S143" s="83">
        <f>R143*0.375</f>
        <v>0</v>
      </c>
      <c r="T143" s="83">
        <f>P143-S143</f>
        <v>0</v>
      </c>
      <c r="U143" s="38"/>
    </row>
    <row r="144" spans="1:21" ht="11.25">
      <c r="A144" s="262"/>
      <c r="B144" s="297"/>
      <c r="C144" s="77"/>
      <c r="D144" s="78"/>
      <c r="E144" s="78"/>
      <c r="F144" s="78"/>
      <c r="G144" s="78"/>
      <c r="H144" s="78"/>
      <c r="I144" s="78"/>
      <c r="J144" s="78"/>
      <c r="K144" s="84"/>
      <c r="L144" s="80" t="s">
        <v>317</v>
      </c>
      <c r="M144" s="81"/>
      <c r="N144" s="81"/>
      <c r="O144" s="82">
        <f>+N144+M144</f>
        <v>0</v>
      </c>
      <c r="P144" s="81"/>
      <c r="Q144" s="81"/>
      <c r="R144" s="82">
        <f>+Q144+P144</f>
        <v>0</v>
      </c>
      <c r="S144" s="180">
        <f>R144*0.375</f>
        <v>0</v>
      </c>
      <c r="T144" s="83">
        <f>R144-S144</f>
        <v>0</v>
      </c>
      <c r="U144" s="38"/>
    </row>
    <row r="145" spans="1:21" ht="11.25">
      <c r="A145" s="262"/>
      <c r="B145" s="297"/>
      <c r="C145" s="77"/>
      <c r="D145" s="78"/>
      <c r="E145" s="78"/>
      <c r="F145" s="78"/>
      <c r="G145" s="78"/>
      <c r="H145" s="78"/>
      <c r="I145" s="78"/>
      <c r="J145" s="78"/>
      <c r="K145" s="84"/>
      <c r="L145" s="80" t="s">
        <v>333</v>
      </c>
      <c r="M145" s="81"/>
      <c r="N145" s="81"/>
      <c r="O145" s="82">
        <f>+N145+M145</f>
        <v>0</v>
      </c>
      <c r="P145" s="81">
        <f>SUM(P149:P157)</f>
        <v>0</v>
      </c>
      <c r="Q145" s="81">
        <f>SUM(Q149:Q157)</f>
        <v>0</v>
      </c>
      <c r="R145" s="82">
        <f>+Q145+P145</f>
        <v>0</v>
      </c>
      <c r="S145" s="180">
        <f>R145*0.375</f>
        <v>0</v>
      </c>
      <c r="T145" s="83">
        <f>R145-S145</f>
        <v>0</v>
      </c>
      <c r="U145" s="38"/>
    </row>
    <row r="146" spans="1:21" ht="11.25">
      <c r="A146" s="298"/>
      <c r="B146" s="299"/>
      <c r="C146" s="306"/>
      <c r="D146" s="307"/>
      <c r="E146" s="307"/>
      <c r="F146" s="307"/>
      <c r="G146" s="307"/>
      <c r="H146" s="307"/>
      <c r="I146" s="307"/>
      <c r="J146" s="307"/>
      <c r="K146" s="308"/>
      <c r="L146" s="88" t="s">
        <v>13</v>
      </c>
      <c r="M146" s="89">
        <f>+M140-M145</f>
        <v>0</v>
      </c>
      <c r="N146" s="90"/>
      <c r="O146" s="91"/>
      <c r="P146" s="182">
        <f>P140-P141</f>
        <v>0</v>
      </c>
      <c r="Q146" s="183"/>
      <c r="R146" s="184"/>
      <c r="S146" s="183"/>
      <c r="T146" s="32"/>
      <c r="U146" s="38"/>
    </row>
    <row r="147" spans="1:20" ht="34.5" customHeight="1">
      <c r="A147" s="37" t="s">
        <v>14</v>
      </c>
      <c r="B147" s="37" t="s">
        <v>11</v>
      </c>
      <c r="C147" s="93" t="s">
        <v>24</v>
      </c>
      <c r="D147" s="93" t="s">
        <v>20</v>
      </c>
      <c r="E147" s="94" t="s">
        <v>2</v>
      </c>
      <c r="F147" s="93" t="s">
        <v>19</v>
      </c>
      <c r="G147" s="93" t="s">
        <v>18</v>
      </c>
      <c r="H147" s="94" t="s">
        <v>17</v>
      </c>
      <c r="I147" s="94" t="s">
        <v>16</v>
      </c>
      <c r="J147" s="93" t="s">
        <v>3</v>
      </c>
      <c r="K147" s="93" t="s">
        <v>4</v>
      </c>
      <c r="L147" s="95" t="s">
        <v>5</v>
      </c>
      <c r="M147" s="96" t="s">
        <v>21</v>
      </c>
      <c r="N147" s="37" t="s">
        <v>40</v>
      </c>
      <c r="O147" s="95" t="s">
        <v>41</v>
      </c>
      <c r="P147" s="37" t="s">
        <v>22</v>
      </c>
      <c r="Q147" s="37" t="s">
        <v>42</v>
      </c>
      <c r="R147" s="95" t="s">
        <v>43</v>
      </c>
      <c r="S147" s="263" t="s">
        <v>27</v>
      </c>
      <c r="T147" s="263"/>
    </row>
    <row r="148" ht="11.25"/>
    <row r="149" spans="1:20" ht="22.5">
      <c r="A149" s="124" t="s">
        <v>236</v>
      </c>
      <c r="B149" s="120"/>
      <c r="C149" s="97" t="s">
        <v>93</v>
      </c>
      <c r="D149" s="97" t="s">
        <v>240</v>
      </c>
      <c r="E149" s="121" t="s">
        <v>241</v>
      </c>
      <c r="F149" s="121">
        <v>101</v>
      </c>
      <c r="G149" s="122">
        <v>39262</v>
      </c>
      <c r="H149" s="123">
        <v>39660</v>
      </c>
      <c r="I149" s="123" t="s">
        <v>242</v>
      </c>
      <c r="J149" s="102">
        <v>6128.83</v>
      </c>
      <c r="K149" s="102">
        <v>1225.77</v>
      </c>
      <c r="L149" s="101">
        <v>7354.6</v>
      </c>
      <c r="M149" s="102"/>
      <c r="N149" s="102"/>
      <c r="O149" s="101">
        <f>+N149+M149</f>
        <v>0</v>
      </c>
      <c r="P149" s="242">
        <f>+M149*0.65</f>
        <v>0</v>
      </c>
      <c r="Q149" s="242">
        <f>+N149*0.65</f>
        <v>0</v>
      </c>
      <c r="R149" s="100">
        <f>+Q149+P149</f>
        <v>0</v>
      </c>
      <c r="S149" s="268"/>
      <c r="T149" s="268"/>
    </row>
    <row r="150" spans="1:20" ht="11.25">
      <c r="A150" s="124" t="s">
        <v>236</v>
      </c>
      <c r="B150" s="120"/>
      <c r="C150" s="97" t="s">
        <v>93</v>
      </c>
      <c r="D150" s="97"/>
      <c r="E150" s="121"/>
      <c r="F150" s="121"/>
      <c r="G150" s="122"/>
      <c r="H150" s="123">
        <v>39534</v>
      </c>
      <c r="I150" s="123" t="s">
        <v>242</v>
      </c>
      <c r="J150" s="102">
        <v>3111.03</v>
      </c>
      <c r="K150" s="102">
        <v>622.2</v>
      </c>
      <c r="L150" s="101">
        <v>3733.23</v>
      </c>
      <c r="M150" s="102"/>
      <c r="N150" s="102"/>
      <c r="O150" s="101">
        <f aca="true" t="shared" si="46" ref="O150:O156">+N150+M150</f>
        <v>0</v>
      </c>
      <c r="P150" s="242">
        <f aca="true" t="shared" si="47" ref="P150:P157">+M150*0.65</f>
        <v>0</v>
      </c>
      <c r="Q150" s="242">
        <f aca="true" t="shared" si="48" ref="Q150:Q157">+N150*0.65</f>
        <v>0</v>
      </c>
      <c r="R150" s="100">
        <f aca="true" t="shared" si="49" ref="R150:R157">+Q150+P150</f>
        <v>0</v>
      </c>
      <c r="S150" s="268"/>
      <c r="T150" s="268"/>
    </row>
    <row r="151" spans="1:20" ht="22.5">
      <c r="A151" s="124" t="s">
        <v>236</v>
      </c>
      <c r="B151" s="120"/>
      <c r="C151" s="97" t="s">
        <v>95</v>
      </c>
      <c r="D151" s="97" t="s">
        <v>240</v>
      </c>
      <c r="E151" s="121" t="s">
        <v>241</v>
      </c>
      <c r="F151" s="121">
        <v>103</v>
      </c>
      <c r="G151" s="122">
        <v>39262</v>
      </c>
      <c r="H151" s="123">
        <v>39294</v>
      </c>
      <c r="I151" s="123" t="s">
        <v>242</v>
      </c>
      <c r="J151" s="102">
        <v>3553.83</v>
      </c>
      <c r="K151" s="102">
        <v>710.77</v>
      </c>
      <c r="L151" s="101">
        <v>4264.6</v>
      </c>
      <c r="M151" s="102"/>
      <c r="N151" s="102"/>
      <c r="O151" s="101">
        <f t="shared" si="46"/>
        <v>0</v>
      </c>
      <c r="P151" s="242">
        <f t="shared" si="47"/>
        <v>0</v>
      </c>
      <c r="Q151" s="242">
        <f t="shared" si="48"/>
        <v>0</v>
      </c>
      <c r="R151" s="100">
        <f t="shared" si="49"/>
        <v>0</v>
      </c>
      <c r="S151" s="268"/>
      <c r="T151" s="268"/>
    </row>
    <row r="152" spans="1:20" ht="18" customHeight="1">
      <c r="A152" s="124" t="s">
        <v>236</v>
      </c>
      <c r="B152" s="120"/>
      <c r="C152" s="97" t="s">
        <v>95</v>
      </c>
      <c r="D152" s="97"/>
      <c r="E152" s="121"/>
      <c r="F152" s="121"/>
      <c r="G152" s="122"/>
      <c r="H152" s="123">
        <v>39660</v>
      </c>
      <c r="I152" s="123" t="s">
        <v>242</v>
      </c>
      <c r="J152" s="102">
        <v>3111.03</v>
      </c>
      <c r="K152" s="102">
        <v>622.2</v>
      </c>
      <c r="L152" s="101">
        <v>3733.23</v>
      </c>
      <c r="M152" s="102"/>
      <c r="N152" s="102"/>
      <c r="O152" s="101">
        <f t="shared" si="46"/>
        <v>0</v>
      </c>
      <c r="P152" s="242">
        <f t="shared" si="47"/>
        <v>0</v>
      </c>
      <c r="Q152" s="242">
        <f t="shared" si="48"/>
        <v>0</v>
      </c>
      <c r="R152" s="100">
        <f t="shared" si="49"/>
        <v>0</v>
      </c>
      <c r="S152" s="268"/>
      <c r="T152" s="268"/>
    </row>
    <row r="153" spans="1:20" ht="22.5">
      <c r="A153" s="124" t="s">
        <v>236</v>
      </c>
      <c r="B153" s="120"/>
      <c r="C153" s="97" t="s">
        <v>89</v>
      </c>
      <c r="D153" s="97" t="s">
        <v>307</v>
      </c>
      <c r="E153" s="121" t="s">
        <v>308</v>
      </c>
      <c r="F153" s="121" t="s">
        <v>309</v>
      </c>
      <c r="G153" s="122">
        <v>39281</v>
      </c>
      <c r="H153" s="123">
        <v>39322</v>
      </c>
      <c r="I153" s="123" t="s">
        <v>247</v>
      </c>
      <c r="J153" s="102">
        <v>42467.59</v>
      </c>
      <c r="K153" s="102">
        <v>8493.53</v>
      </c>
      <c r="L153" s="101">
        <v>50961.12</v>
      </c>
      <c r="M153" s="102"/>
      <c r="N153" s="102"/>
      <c r="O153" s="101">
        <f t="shared" si="46"/>
        <v>0</v>
      </c>
      <c r="P153" s="242">
        <f t="shared" si="47"/>
        <v>0</v>
      </c>
      <c r="Q153" s="242">
        <f t="shared" si="48"/>
        <v>0</v>
      </c>
      <c r="R153" s="100">
        <f t="shared" si="49"/>
        <v>0</v>
      </c>
      <c r="S153" s="268"/>
      <c r="T153" s="268"/>
    </row>
    <row r="154" spans="1:20" ht="22.5">
      <c r="A154" s="124" t="s">
        <v>236</v>
      </c>
      <c r="B154" s="120"/>
      <c r="C154" s="97" t="s">
        <v>89</v>
      </c>
      <c r="D154" s="97" t="s">
        <v>310</v>
      </c>
      <c r="E154" s="121" t="s">
        <v>311</v>
      </c>
      <c r="F154" s="121" t="s">
        <v>312</v>
      </c>
      <c r="G154" s="122">
        <v>39206</v>
      </c>
      <c r="H154" s="123">
        <v>39231</v>
      </c>
      <c r="I154" s="123" t="s">
        <v>247</v>
      </c>
      <c r="J154" s="102">
        <v>4140</v>
      </c>
      <c r="K154" s="102">
        <v>828</v>
      </c>
      <c r="L154" s="101">
        <v>4968</v>
      </c>
      <c r="M154" s="102"/>
      <c r="N154" s="102"/>
      <c r="O154" s="101">
        <f t="shared" si="46"/>
        <v>0</v>
      </c>
      <c r="P154" s="242">
        <f t="shared" si="47"/>
        <v>0</v>
      </c>
      <c r="Q154" s="242">
        <f t="shared" si="48"/>
        <v>0</v>
      </c>
      <c r="R154" s="100">
        <f t="shared" si="49"/>
        <v>0</v>
      </c>
      <c r="S154" s="268"/>
      <c r="T154" s="268"/>
    </row>
    <row r="155" spans="1:20" ht="22.5">
      <c r="A155" s="124" t="s">
        <v>236</v>
      </c>
      <c r="B155" s="120"/>
      <c r="C155" s="97" t="s">
        <v>178</v>
      </c>
      <c r="D155" s="97" t="s">
        <v>240</v>
      </c>
      <c r="E155" s="121" t="s">
        <v>241</v>
      </c>
      <c r="F155" s="121">
        <v>102</v>
      </c>
      <c r="G155" s="122">
        <v>39262</v>
      </c>
      <c r="H155" s="123">
        <v>39297</v>
      </c>
      <c r="I155" s="123" t="s">
        <v>247</v>
      </c>
      <c r="J155" s="102">
        <v>3553.83</v>
      </c>
      <c r="K155" s="102">
        <v>710.77</v>
      </c>
      <c r="L155" s="101">
        <v>4264.6</v>
      </c>
      <c r="M155" s="102"/>
      <c r="N155" s="102"/>
      <c r="O155" s="101">
        <f t="shared" si="46"/>
        <v>0</v>
      </c>
      <c r="P155" s="242">
        <f t="shared" si="47"/>
        <v>0</v>
      </c>
      <c r="Q155" s="242">
        <f t="shared" si="48"/>
        <v>0</v>
      </c>
      <c r="R155" s="100">
        <f t="shared" si="49"/>
        <v>0</v>
      </c>
      <c r="S155" s="268"/>
      <c r="T155" s="268"/>
    </row>
    <row r="156" spans="1:20" ht="11.25">
      <c r="A156" s="124" t="s">
        <v>236</v>
      </c>
      <c r="B156" s="120"/>
      <c r="C156" s="97" t="s">
        <v>178</v>
      </c>
      <c r="D156" s="121"/>
      <c r="E156" s="121"/>
      <c r="F156" s="121"/>
      <c r="G156" s="122"/>
      <c r="H156" s="123">
        <v>39689</v>
      </c>
      <c r="I156" s="123" t="s">
        <v>247</v>
      </c>
      <c r="J156" s="102">
        <v>3111.03</v>
      </c>
      <c r="K156" s="102">
        <v>622.2</v>
      </c>
      <c r="L156" s="101">
        <v>3733.23</v>
      </c>
      <c r="M156" s="102"/>
      <c r="N156" s="102"/>
      <c r="O156" s="101">
        <f t="shared" si="46"/>
        <v>0</v>
      </c>
      <c r="P156" s="242">
        <f t="shared" si="47"/>
        <v>0</v>
      </c>
      <c r="Q156" s="242">
        <f t="shared" si="48"/>
        <v>0</v>
      </c>
      <c r="R156" s="100">
        <f t="shared" si="49"/>
        <v>0</v>
      </c>
      <c r="S156" s="268"/>
      <c r="T156" s="268"/>
    </row>
    <row r="157" spans="1:20" ht="56.25">
      <c r="A157" s="124" t="s">
        <v>322</v>
      </c>
      <c r="B157" s="120"/>
      <c r="C157" s="97" t="s">
        <v>63</v>
      </c>
      <c r="D157" s="97" t="s">
        <v>325</v>
      </c>
      <c r="E157" s="121" t="s">
        <v>326</v>
      </c>
      <c r="F157" s="121" t="s">
        <v>327</v>
      </c>
      <c r="G157" s="122">
        <v>38835</v>
      </c>
      <c r="H157" s="123">
        <v>39777</v>
      </c>
      <c r="I157" s="123" t="s">
        <v>53</v>
      </c>
      <c r="J157" s="102">
        <v>60000</v>
      </c>
      <c r="K157" s="102">
        <v>12000</v>
      </c>
      <c r="L157" s="101">
        <v>72000</v>
      </c>
      <c r="M157" s="102"/>
      <c r="N157" s="102"/>
      <c r="O157" s="101">
        <f>+N157+M157</f>
        <v>0</v>
      </c>
      <c r="P157" s="118">
        <f t="shared" si="47"/>
        <v>0</v>
      </c>
      <c r="Q157" s="118">
        <f t="shared" si="48"/>
        <v>0</v>
      </c>
      <c r="R157" s="114">
        <f t="shared" si="49"/>
        <v>0</v>
      </c>
      <c r="S157" s="290" t="s">
        <v>342</v>
      </c>
      <c r="T157" s="291"/>
    </row>
    <row r="158" spans="1:20" ht="11.25">
      <c r="A158" s="124"/>
      <c r="B158" s="120"/>
      <c r="C158" s="97"/>
      <c r="D158" s="121"/>
      <c r="E158" s="121"/>
      <c r="F158" s="121"/>
      <c r="G158" s="122"/>
      <c r="H158" s="123"/>
      <c r="I158" s="123"/>
      <c r="J158" s="102"/>
      <c r="K158" s="102"/>
      <c r="L158" s="101"/>
      <c r="M158" s="102"/>
      <c r="N158" s="102"/>
      <c r="O158" s="101"/>
      <c r="P158" s="242"/>
      <c r="Q158" s="242"/>
      <c r="R158" s="100"/>
      <c r="S158" s="103"/>
      <c r="T158" s="103"/>
    </row>
    <row r="159" spans="1:20" ht="11.25">
      <c r="A159" s="185"/>
      <c r="B159" s="120"/>
      <c r="C159" s="121"/>
      <c r="D159" s="121"/>
      <c r="E159" s="121"/>
      <c r="F159" s="121"/>
      <c r="G159" s="122"/>
      <c r="H159" s="123"/>
      <c r="I159" s="123"/>
      <c r="J159" s="102"/>
      <c r="K159" s="102"/>
      <c r="L159" s="101"/>
      <c r="M159" s="126"/>
      <c r="N159" s="102"/>
      <c r="O159" s="101"/>
      <c r="P159" s="102"/>
      <c r="Q159" s="102"/>
      <c r="R159" s="101"/>
      <c r="S159" s="268"/>
      <c r="T159" s="268"/>
    </row>
    <row r="160" ht="11.25"/>
    <row r="161" spans="1:20" s="69" customFormat="1" ht="11.25">
      <c r="A161" s="313" t="s">
        <v>8</v>
      </c>
      <c r="B161" s="302"/>
      <c r="C161" s="302"/>
      <c r="D161" s="302"/>
      <c r="E161" s="302"/>
      <c r="F161" s="302"/>
      <c r="G161" s="302"/>
      <c r="H161" s="302"/>
      <c r="I161" s="302"/>
      <c r="J161" s="302"/>
      <c r="K161" s="302"/>
      <c r="L161" s="303"/>
      <c r="M161" s="65" t="s">
        <v>44</v>
      </c>
      <c r="N161" s="66" t="s">
        <v>45</v>
      </c>
      <c r="O161" s="66" t="s">
        <v>46</v>
      </c>
      <c r="P161" s="66" t="s">
        <v>47</v>
      </c>
      <c r="Q161" s="66" t="s">
        <v>48</v>
      </c>
      <c r="R161" s="66" t="s">
        <v>43</v>
      </c>
      <c r="S161" s="67" t="s">
        <v>25</v>
      </c>
      <c r="T161" s="68" t="s">
        <v>26</v>
      </c>
    </row>
    <row r="162" spans="1:21" ht="11.25">
      <c r="A162" s="262"/>
      <c r="B162" s="297"/>
      <c r="C162" s="317"/>
      <c r="D162" s="318"/>
      <c r="E162" s="318"/>
      <c r="F162" s="318"/>
      <c r="G162" s="318"/>
      <c r="H162" s="318"/>
      <c r="I162" s="318"/>
      <c r="J162" s="318"/>
      <c r="K162" s="319"/>
      <c r="L162" s="186" t="s">
        <v>12</v>
      </c>
      <c r="M162" s="128">
        <f>160*1000</f>
        <v>160000</v>
      </c>
      <c r="N162" s="75">
        <f>M162*0.2</f>
        <v>32000</v>
      </c>
      <c r="O162" s="74">
        <f>SUM(M162:N162)</f>
        <v>192000</v>
      </c>
      <c r="P162" s="75">
        <f>M162*0.65</f>
        <v>104000</v>
      </c>
      <c r="Q162" s="75">
        <f>P162*0.2</f>
        <v>20800</v>
      </c>
      <c r="R162" s="74">
        <f>SUM(P162:Q162)</f>
        <v>124800</v>
      </c>
      <c r="S162" s="129"/>
      <c r="T162" s="129"/>
      <c r="U162" s="38"/>
    </row>
    <row r="163" spans="1:21" ht="11.25">
      <c r="A163" s="262"/>
      <c r="B163" s="297"/>
      <c r="C163" s="77"/>
      <c r="D163" s="78"/>
      <c r="E163" s="78"/>
      <c r="F163" s="78"/>
      <c r="G163" s="78"/>
      <c r="H163" s="78"/>
      <c r="I163" s="78"/>
      <c r="J163" s="78"/>
      <c r="K163" s="79"/>
      <c r="L163" s="80" t="s">
        <v>28</v>
      </c>
      <c r="M163" s="81"/>
      <c r="N163" s="79">
        <f>SUM(N170:N176)</f>
        <v>0</v>
      </c>
      <c r="O163" s="82"/>
      <c r="P163" s="79"/>
      <c r="Q163" s="79">
        <f>SUM(Q170:Q176)</f>
        <v>0</v>
      </c>
      <c r="R163" s="82"/>
      <c r="S163" s="83">
        <f>R163*0.375</f>
        <v>0</v>
      </c>
      <c r="T163" s="83">
        <f>R163-S163</f>
        <v>0</v>
      </c>
      <c r="U163" s="38"/>
    </row>
    <row r="164" spans="1:21" ht="11.25">
      <c r="A164" s="262"/>
      <c r="B164" s="297"/>
      <c r="C164" s="77"/>
      <c r="D164" s="78"/>
      <c r="E164" s="78"/>
      <c r="F164" s="78"/>
      <c r="G164" s="78"/>
      <c r="H164" s="78"/>
      <c r="I164" s="78"/>
      <c r="J164" s="78"/>
      <c r="K164" s="84"/>
      <c r="L164" s="130" t="s">
        <v>29</v>
      </c>
      <c r="M164" s="81">
        <f>SUM(M170:M171)</f>
        <v>124214.34</v>
      </c>
      <c r="N164" s="81">
        <f>SUM(N170:N171)</f>
        <v>0</v>
      </c>
      <c r="O164" s="82">
        <f>+N164+M164</f>
        <v>124214.34</v>
      </c>
      <c r="P164" s="81">
        <f>SUM(P170:P171)</f>
        <v>80739.321</v>
      </c>
      <c r="Q164" s="81">
        <f>SUM(Q170:Q171)</f>
        <v>0</v>
      </c>
      <c r="R164" s="82">
        <f>+Q164+P164</f>
        <v>80739.321</v>
      </c>
      <c r="S164" s="180">
        <f>R164*0.375</f>
        <v>30277.245375</v>
      </c>
      <c r="T164" s="83">
        <f>R164-S164</f>
        <v>50462.075625</v>
      </c>
      <c r="U164" s="38"/>
    </row>
    <row r="165" spans="1:21" ht="11.25">
      <c r="A165" s="262"/>
      <c r="B165" s="297"/>
      <c r="C165" s="77"/>
      <c r="D165" s="78"/>
      <c r="E165" s="78"/>
      <c r="F165" s="78"/>
      <c r="G165" s="78"/>
      <c r="H165" s="78"/>
      <c r="I165" s="78"/>
      <c r="J165" s="78"/>
      <c r="K165" s="84"/>
      <c r="L165" s="80" t="s">
        <v>189</v>
      </c>
      <c r="M165" s="81">
        <f>SUM(M172:M174)</f>
        <v>68221.48999999999</v>
      </c>
      <c r="N165" s="81">
        <f>SUM(N172:N174)</f>
        <v>0</v>
      </c>
      <c r="O165" s="82">
        <f>+N165+M165</f>
        <v>68221.48999999999</v>
      </c>
      <c r="P165" s="81">
        <f>SUM(P172:P174)</f>
        <v>44343.9685</v>
      </c>
      <c r="Q165" s="81">
        <f>SUM(Q172:Q174)</f>
        <v>0</v>
      </c>
      <c r="R165" s="82">
        <f>+Q165+P165</f>
        <v>44343.9685</v>
      </c>
      <c r="S165" s="180">
        <f>R165*0.375</f>
        <v>16628.9881875</v>
      </c>
      <c r="T165" s="83">
        <f>R165-S165</f>
        <v>27714.980312500003</v>
      </c>
      <c r="U165" s="38"/>
    </row>
    <row r="166" spans="1:21" ht="11.25">
      <c r="A166" s="262"/>
      <c r="B166" s="297"/>
      <c r="C166" s="77"/>
      <c r="D166" s="78"/>
      <c r="E166" s="78"/>
      <c r="F166" s="78"/>
      <c r="G166" s="78"/>
      <c r="H166" s="78"/>
      <c r="I166" s="78"/>
      <c r="J166" s="78"/>
      <c r="K166" s="84"/>
      <c r="L166" s="80" t="s">
        <v>317</v>
      </c>
      <c r="M166" s="81">
        <f>+M175</f>
        <v>0</v>
      </c>
      <c r="N166" s="81">
        <f>+N175</f>
        <v>0</v>
      </c>
      <c r="O166" s="82">
        <f>+N166+M166</f>
        <v>0</v>
      </c>
      <c r="P166" s="81">
        <f>+P175</f>
        <v>0</v>
      </c>
      <c r="Q166" s="81">
        <f>+Q175</f>
        <v>0</v>
      </c>
      <c r="R166" s="82">
        <f>+Q166+P166</f>
        <v>0</v>
      </c>
      <c r="S166" s="180">
        <f>R166*0.375</f>
        <v>0</v>
      </c>
      <c r="T166" s="83">
        <f>R166-S166</f>
        <v>0</v>
      </c>
      <c r="U166" s="38"/>
    </row>
    <row r="167" spans="1:21" ht="11.25">
      <c r="A167" s="262"/>
      <c r="B167" s="297"/>
      <c r="C167" s="77"/>
      <c r="D167" s="78"/>
      <c r="E167" s="78"/>
      <c r="F167" s="78"/>
      <c r="G167" s="78"/>
      <c r="H167" s="78"/>
      <c r="I167" s="78"/>
      <c r="J167" s="78"/>
      <c r="K167" s="84"/>
      <c r="L167" s="80" t="s">
        <v>333</v>
      </c>
      <c r="M167" s="81"/>
      <c r="N167" s="79"/>
      <c r="O167" s="82"/>
      <c r="P167" s="79"/>
      <c r="Q167" s="178"/>
      <c r="R167" s="179"/>
      <c r="S167" s="181"/>
      <c r="T167" s="181"/>
      <c r="U167" s="38"/>
    </row>
    <row r="168" spans="1:21" ht="11.25">
      <c r="A168" s="298"/>
      <c r="B168" s="299"/>
      <c r="C168" s="306"/>
      <c r="D168" s="307"/>
      <c r="E168" s="307"/>
      <c r="F168" s="307"/>
      <c r="G168" s="307"/>
      <c r="H168" s="307"/>
      <c r="I168" s="307"/>
      <c r="J168" s="307"/>
      <c r="K168" s="308"/>
      <c r="L168" s="88" t="s">
        <v>13</v>
      </c>
      <c r="M168" s="89">
        <f>M162-M163-M164-M165-M166</f>
        <v>-32435.829999999987</v>
      </c>
      <c r="N168" s="90"/>
      <c r="O168" s="91"/>
      <c r="P168" s="90"/>
      <c r="Q168" s="90"/>
      <c r="R168" s="91"/>
      <c r="S168" s="32"/>
      <c r="T168" s="32"/>
      <c r="U168" s="38"/>
    </row>
    <row r="169" spans="1:20" ht="30.75" customHeight="1">
      <c r="A169" s="37" t="s">
        <v>14</v>
      </c>
      <c r="B169" s="37" t="s">
        <v>11</v>
      </c>
      <c r="C169" s="93" t="s">
        <v>24</v>
      </c>
      <c r="D169" s="93" t="s">
        <v>20</v>
      </c>
      <c r="E169" s="94" t="s">
        <v>2</v>
      </c>
      <c r="F169" s="93" t="s">
        <v>19</v>
      </c>
      <c r="G169" s="93" t="s">
        <v>18</v>
      </c>
      <c r="H169" s="94" t="s">
        <v>17</v>
      </c>
      <c r="I169" s="94" t="s">
        <v>16</v>
      </c>
      <c r="J169" s="93" t="s">
        <v>3</v>
      </c>
      <c r="K169" s="93" t="s">
        <v>4</v>
      </c>
      <c r="L169" s="95" t="s">
        <v>5</v>
      </c>
      <c r="M169" s="96" t="s">
        <v>21</v>
      </c>
      <c r="N169" s="37" t="s">
        <v>40</v>
      </c>
      <c r="O169" s="95" t="s">
        <v>41</v>
      </c>
      <c r="P169" s="37" t="s">
        <v>22</v>
      </c>
      <c r="Q169" s="37" t="s">
        <v>42</v>
      </c>
      <c r="R169" s="95" t="s">
        <v>43</v>
      </c>
      <c r="S169" s="263" t="s">
        <v>27</v>
      </c>
      <c r="T169" s="263"/>
    </row>
    <row r="170" spans="1:20" ht="22.5" customHeight="1">
      <c r="A170" s="96" t="s">
        <v>57</v>
      </c>
      <c r="B170" s="96"/>
      <c r="C170" s="97" t="s">
        <v>63</v>
      </c>
      <c r="D170" s="103" t="s">
        <v>165</v>
      </c>
      <c r="E170" s="120" t="s">
        <v>69</v>
      </c>
      <c r="F170" s="120">
        <v>37</v>
      </c>
      <c r="G170" s="187">
        <v>38676</v>
      </c>
      <c r="H170" s="188">
        <v>39045</v>
      </c>
      <c r="I170" s="189" t="s">
        <v>53</v>
      </c>
      <c r="J170" s="102">
        <v>16600</v>
      </c>
      <c r="K170" s="102">
        <v>3320</v>
      </c>
      <c r="L170" s="190">
        <v>19920</v>
      </c>
      <c r="M170" s="126">
        <v>16600</v>
      </c>
      <c r="N170" s="102"/>
      <c r="O170" s="101">
        <f>SUM(M170:N170)</f>
        <v>16600</v>
      </c>
      <c r="P170" s="102">
        <f>M170*0.65</f>
        <v>10790</v>
      </c>
      <c r="Q170" s="102">
        <f>N170*0.65</f>
        <v>0</v>
      </c>
      <c r="R170" s="101">
        <f>SUM(P170:Q170)</f>
        <v>10790</v>
      </c>
      <c r="S170" s="268"/>
      <c r="T170" s="268"/>
    </row>
    <row r="171" spans="1:20" ht="33.75" customHeight="1">
      <c r="A171" s="96" t="s">
        <v>57</v>
      </c>
      <c r="B171" s="96"/>
      <c r="C171" s="97" t="s">
        <v>63</v>
      </c>
      <c r="D171" s="97" t="s">
        <v>164</v>
      </c>
      <c r="E171" s="97" t="s">
        <v>72</v>
      </c>
      <c r="F171" s="121">
        <v>107</v>
      </c>
      <c r="G171" s="122">
        <v>38835</v>
      </c>
      <c r="H171" s="123">
        <v>38884</v>
      </c>
      <c r="I171" s="123" t="s">
        <v>151</v>
      </c>
      <c r="J171" s="102">
        <v>107614.34</v>
      </c>
      <c r="K171" s="102">
        <v>21522.87</v>
      </c>
      <c r="L171" s="101">
        <v>129137.21</v>
      </c>
      <c r="M171" s="126">
        <v>107614.34</v>
      </c>
      <c r="N171" s="102"/>
      <c r="O171" s="101">
        <f>SUM(M171:N171)</f>
        <v>107614.34</v>
      </c>
      <c r="P171" s="102">
        <f>M171*0.65</f>
        <v>69949.321</v>
      </c>
      <c r="Q171" s="102">
        <f>N171*0.65</f>
        <v>0</v>
      </c>
      <c r="R171" s="101">
        <f>SUM(P171:Q171)</f>
        <v>69949.321</v>
      </c>
      <c r="S171" s="268"/>
      <c r="T171" s="268"/>
    </row>
    <row r="172" spans="1:20" ht="39" customHeight="1">
      <c r="A172" s="165" t="s">
        <v>183</v>
      </c>
      <c r="B172" s="165"/>
      <c r="C172" s="97" t="s">
        <v>63</v>
      </c>
      <c r="D172" s="166" t="s">
        <v>186</v>
      </c>
      <c r="E172" s="167" t="s">
        <v>72</v>
      </c>
      <c r="F172" s="168" t="s">
        <v>187</v>
      </c>
      <c r="G172" s="191">
        <v>39262</v>
      </c>
      <c r="H172" s="192" t="s">
        <v>188</v>
      </c>
      <c r="I172" s="171" t="s">
        <v>151</v>
      </c>
      <c r="J172" s="118">
        <v>16528.57</v>
      </c>
      <c r="K172" s="118">
        <f>+J172*0.2</f>
        <v>3305.714</v>
      </c>
      <c r="L172" s="100">
        <f>+K172+J172</f>
        <v>19834.284</v>
      </c>
      <c r="M172" s="118">
        <f>+J172</f>
        <v>16528.57</v>
      </c>
      <c r="N172" s="118"/>
      <c r="O172" s="114">
        <f>+N172+M172</f>
        <v>16528.57</v>
      </c>
      <c r="P172" s="118">
        <f>+M172*0.65</f>
        <v>10743.5705</v>
      </c>
      <c r="Q172" s="118"/>
      <c r="R172" s="114">
        <f>+Q172+P172</f>
        <v>10743.5705</v>
      </c>
      <c r="S172" s="290"/>
      <c r="T172" s="291"/>
    </row>
    <row r="173" spans="1:20" ht="39" customHeight="1">
      <c r="A173" s="165" t="s">
        <v>183</v>
      </c>
      <c r="B173" s="165"/>
      <c r="C173" s="97" t="s">
        <v>85</v>
      </c>
      <c r="D173" s="166" t="s">
        <v>186</v>
      </c>
      <c r="E173" s="167" t="s">
        <v>72</v>
      </c>
      <c r="F173" s="168" t="s">
        <v>218</v>
      </c>
      <c r="G173" s="191">
        <v>39350</v>
      </c>
      <c r="H173" s="192">
        <v>39351</v>
      </c>
      <c r="I173" s="171" t="s">
        <v>151</v>
      </c>
      <c r="J173" s="118">
        <v>16263.6</v>
      </c>
      <c r="K173" s="118">
        <f>+J173*0.2</f>
        <v>3252.7200000000003</v>
      </c>
      <c r="L173" s="100">
        <f>+K173+J173</f>
        <v>19516.32</v>
      </c>
      <c r="M173" s="118">
        <f>+J173</f>
        <v>16263.6</v>
      </c>
      <c r="N173" s="118"/>
      <c r="O173" s="114">
        <f>+N173+M173</f>
        <v>16263.6</v>
      </c>
      <c r="P173" s="118">
        <f>+M173*0.65</f>
        <v>10571.34</v>
      </c>
      <c r="Q173" s="118"/>
      <c r="R173" s="114">
        <f>+Q173+P173</f>
        <v>10571.34</v>
      </c>
      <c r="S173" s="290" t="s">
        <v>220</v>
      </c>
      <c r="T173" s="291"/>
    </row>
    <row r="174" spans="1:20" ht="39" customHeight="1">
      <c r="A174" s="165" t="s">
        <v>183</v>
      </c>
      <c r="B174" s="165"/>
      <c r="C174" s="97" t="s">
        <v>63</v>
      </c>
      <c r="D174" s="166" t="s">
        <v>232</v>
      </c>
      <c r="E174" s="167" t="s">
        <v>228</v>
      </c>
      <c r="F174" s="168" t="s">
        <v>229</v>
      </c>
      <c r="G174" s="191"/>
      <c r="H174" s="192"/>
      <c r="I174" s="171" t="s">
        <v>151</v>
      </c>
      <c r="J174" s="118">
        <f>2142+660+6072+2988+1914+1254+462+2706+462+1254+2370+438.7+12706.62</f>
        <v>35429.32</v>
      </c>
      <c r="K174" s="118">
        <f>+J174*0.2</f>
        <v>7085.8640000000005</v>
      </c>
      <c r="L174" s="100">
        <f>+K174+J174</f>
        <v>42515.184</v>
      </c>
      <c r="M174" s="118">
        <f>2142+660+6072+2988+1914+1254+462+2706+462+1254+2370+438.7+12706.62</f>
        <v>35429.32</v>
      </c>
      <c r="N174" s="118"/>
      <c r="O174" s="114">
        <f>+N174+M174</f>
        <v>35429.32</v>
      </c>
      <c r="P174" s="118">
        <f>+M174*0.65</f>
        <v>23029.058</v>
      </c>
      <c r="Q174" s="118"/>
      <c r="R174" s="114">
        <f>+Q174+P174</f>
        <v>23029.058</v>
      </c>
      <c r="S174" s="273" t="s">
        <v>233</v>
      </c>
      <c r="T174" s="252"/>
    </row>
    <row r="175" spans="1:20" ht="60" customHeight="1">
      <c r="A175" s="124" t="s">
        <v>236</v>
      </c>
      <c r="B175" s="120"/>
      <c r="C175" s="97" t="s">
        <v>93</v>
      </c>
      <c r="D175" s="166" t="s">
        <v>243</v>
      </c>
      <c r="E175" s="167" t="s">
        <v>244</v>
      </c>
      <c r="F175" s="168">
        <v>144</v>
      </c>
      <c r="G175" s="191">
        <v>39155</v>
      </c>
      <c r="H175" s="192">
        <v>39379</v>
      </c>
      <c r="I175" s="171" t="s">
        <v>245</v>
      </c>
      <c r="J175" s="118">
        <v>1800</v>
      </c>
      <c r="K175" s="118">
        <v>360</v>
      </c>
      <c r="L175" s="100">
        <v>2160</v>
      </c>
      <c r="M175" s="118"/>
      <c r="N175" s="118"/>
      <c r="O175" s="100"/>
      <c r="P175" s="118">
        <f>+M175*0.65</f>
        <v>0</v>
      </c>
      <c r="Q175" s="118">
        <f>+N175*0.65</f>
        <v>0</v>
      </c>
      <c r="R175" s="114">
        <f>+Q175+P175</f>
        <v>0</v>
      </c>
      <c r="S175" s="269" t="s">
        <v>319</v>
      </c>
      <c r="T175" s="270"/>
    </row>
    <row r="176" spans="1:20" ht="11.25">
      <c r="A176" s="185"/>
      <c r="B176" s="120"/>
      <c r="C176" s="121"/>
      <c r="D176" s="121"/>
      <c r="E176" s="121"/>
      <c r="F176" s="121"/>
      <c r="G176" s="122"/>
      <c r="H176" s="123"/>
      <c r="I176" s="123"/>
      <c r="J176" s="102"/>
      <c r="K176" s="102"/>
      <c r="L176" s="101"/>
      <c r="M176" s="126"/>
      <c r="N176" s="102"/>
      <c r="O176" s="101"/>
      <c r="P176" s="102"/>
      <c r="Q176" s="102"/>
      <c r="R176" s="101"/>
      <c r="S176" s="268"/>
      <c r="T176" s="268"/>
    </row>
    <row r="177" ht="11.25"/>
    <row r="178" spans="1:20" s="69" customFormat="1" ht="11.25">
      <c r="A178" s="313" t="s">
        <v>23</v>
      </c>
      <c r="B178" s="302"/>
      <c r="C178" s="302"/>
      <c r="D178" s="302"/>
      <c r="E178" s="302"/>
      <c r="F178" s="302"/>
      <c r="G178" s="302"/>
      <c r="H178" s="302"/>
      <c r="I178" s="302"/>
      <c r="J178" s="302"/>
      <c r="K178" s="302"/>
      <c r="L178" s="303"/>
      <c r="M178" s="65" t="s">
        <v>44</v>
      </c>
      <c r="N178" s="66" t="s">
        <v>45</v>
      </c>
      <c r="O178" s="66" t="s">
        <v>46</v>
      </c>
      <c r="P178" s="66" t="s">
        <v>47</v>
      </c>
      <c r="Q178" s="66" t="s">
        <v>48</v>
      </c>
      <c r="R178" s="66" t="s">
        <v>43</v>
      </c>
      <c r="S178" s="67" t="s">
        <v>25</v>
      </c>
      <c r="T178" s="68" t="s">
        <v>26</v>
      </c>
    </row>
    <row r="179" spans="1:21" ht="11.25">
      <c r="A179" s="262"/>
      <c r="B179" s="297"/>
      <c r="C179" s="304"/>
      <c r="D179" s="300"/>
      <c r="E179" s="300"/>
      <c r="F179" s="300"/>
      <c r="G179" s="300"/>
      <c r="H179" s="300"/>
      <c r="I179" s="300"/>
      <c r="J179" s="300"/>
      <c r="K179" s="305"/>
      <c r="L179" s="186" t="s">
        <v>12</v>
      </c>
      <c r="M179" s="128">
        <f>90*1000</f>
        <v>90000</v>
      </c>
      <c r="N179" s="75"/>
      <c r="O179" s="74"/>
      <c r="P179" s="75"/>
      <c r="Q179" s="75"/>
      <c r="R179" s="74"/>
      <c r="S179" s="83"/>
      <c r="T179" s="83"/>
      <c r="U179" s="38"/>
    </row>
    <row r="180" spans="1:21" ht="11.25">
      <c r="A180" s="262"/>
      <c r="B180" s="297"/>
      <c r="C180" s="77"/>
      <c r="D180" s="78"/>
      <c r="E180" s="78"/>
      <c r="F180" s="78"/>
      <c r="G180" s="78"/>
      <c r="H180" s="78"/>
      <c r="I180" s="78"/>
      <c r="J180" s="78"/>
      <c r="K180" s="79"/>
      <c r="L180" s="80" t="s">
        <v>28</v>
      </c>
      <c r="M180" s="81"/>
      <c r="N180" s="79">
        <f>SUM(N187:N232)</f>
        <v>0</v>
      </c>
      <c r="O180" s="82"/>
      <c r="P180" s="79"/>
      <c r="Q180" s="79">
        <f>SUM(Q187:Q232)</f>
        <v>0</v>
      </c>
      <c r="R180" s="82"/>
      <c r="S180" s="83">
        <f>R180*0.375</f>
        <v>0</v>
      </c>
      <c r="T180" s="83">
        <f>R180-S180</f>
        <v>0</v>
      </c>
      <c r="U180" s="38"/>
    </row>
    <row r="181" spans="1:21" ht="11.25">
      <c r="A181" s="262"/>
      <c r="B181" s="297"/>
      <c r="C181" s="77"/>
      <c r="D181" s="78"/>
      <c r="E181" s="78"/>
      <c r="F181" s="78"/>
      <c r="G181" s="78"/>
      <c r="H181" s="78"/>
      <c r="I181" s="78"/>
      <c r="J181" s="78"/>
      <c r="K181" s="84"/>
      <c r="L181" s="80" t="s">
        <v>29</v>
      </c>
      <c r="M181" s="81">
        <f>+M187</f>
        <v>30650</v>
      </c>
      <c r="N181" s="81">
        <f>+N187</f>
        <v>0</v>
      </c>
      <c r="O181" s="82">
        <f>+N181+M181</f>
        <v>30650</v>
      </c>
      <c r="P181" s="81">
        <f>+P187</f>
        <v>19922.5</v>
      </c>
      <c r="Q181" s="81">
        <f>+Q187</f>
        <v>0</v>
      </c>
      <c r="R181" s="82">
        <f>+Q181+P181</f>
        <v>19922.5</v>
      </c>
      <c r="S181" s="180">
        <f>R181*0.375</f>
        <v>7470.9375</v>
      </c>
      <c r="T181" s="83">
        <f>R181-S181</f>
        <v>12451.5625</v>
      </c>
      <c r="U181" s="38"/>
    </row>
    <row r="182" spans="1:21" ht="11.25">
      <c r="A182" s="262"/>
      <c r="B182" s="297"/>
      <c r="C182" s="77"/>
      <c r="D182" s="78"/>
      <c r="E182" s="78"/>
      <c r="F182" s="78"/>
      <c r="G182" s="78"/>
      <c r="H182" s="78"/>
      <c r="I182" s="78"/>
      <c r="J182" s="78"/>
      <c r="K182" s="84"/>
      <c r="L182" s="80" t="s">
        <v>189</v>
      </c>
      <c r="M182" s="81"/>
      <c r="N182" s="79"/>
      <c r="O182" s="82">
        <f>+N182+M182</f>
        <v>0</v>
      </c>
      <c r="P182" s="79"/>
      <c r="Q182" s="178"/>
      <c r="R182" s="179"/>
      <c r="S182" s="180">
        <f>R182*0.375</f>
        <v>0</v>
      </c>
      <c r="T182" s="83">
        <f>R182-S182</f>
        <v>0</v>
      </c>
      <c r="U182" s="38"/>
    </row>
    <row r="183" spans="1:21" ht="11.25">
      <c r="A183" s="262"/>
      <c r="B183" s="297"/>
      <c r="C183" s="77"/>
      <c r="D183" s="78"/>
      <c r="E183" s="78"/>
      <c r="F183" s="78"/>
      <c r="G183" s="78"/>
      <c r="H183" s="78"/>
      <c r="I183" s="78"/>
      <c r="J183" s="78"/>
      <c r="K183" s="84"/>
      <c r="L183" s="80" t="s">
        <v>317</v>
      </c>
      <c r="M183" s="81">
        <f>SUM(M188:M230)</f>
        <v>74635.7</v>
      </c>
      <c r="N183" s="81">
        <f>SUM(N188:N230)</f>
        <v>0</v>
      </c>
      <c r="O183" s="82">
        <f>+N183+M183</f>
        <v>74635.7</v>
      </c>
      <c r="P183" s="81">
        <f>SUM(P188:P230)</f>
        <v>48513.205</v>
      </c>
      <c r="Q183" s="81">
        <f>SUM(Q188:Q230)</f>
        <v>0</v>
      </c>
      <c r="R183" s="82">
        <f>+Q183+P183</f>
        <v>48513.205</v>
      </c>
      <c r="S183" s="180">
        <f>R183*0.375</f>
        <v>18192.451875</v>
      </c>
      <c r="T183" s="83">
        <f>R183-S183</f>
        <v>30320.753125000003</v>
      </c>
      <c r="U183" s="38"/>
    </row>
    <row r="184" spans="1:21" ht="11.25">
      <c r="A184" s="262"/>
      <c r="B184" s="297"/>
      <c r="C184" s="77"/>
      <c r="D184" s="78"/>
      <c r="E184" s="78"/>
      <c r="F184" s="78"/>
      <c r="G184" s="78"/>
      <c r="H184" s="78"/>
      <c r="I184" s="78"/>
      <c r="J184" s="78"/>
      <c r="K184" s="84"/>
      <c r="L184" s="80" t="s">
        <v>333</v>
      </c>
      <c r="M184" s="81"/>
      <c r="N184" s="79"/>
      <c r="O184" s="82"/>
      <c r="P184" s="79"/>
      <c r="Q184" s="178"/>
      <c r="R184" s="179"/>
      <c r="S184" s="181"/>
      <c r="T184" s="181"/>
      <c r="U184" s="38"/>
    </row>
    <row r="185" spans="1:21" ht="11.25">
      <c r="A185" s="298"/>
      <c r="B185" s="299"/>
      <c r="C185" s="85"/>
      <c r="D185" s="86"/>
      <c r="E185" s="86"/>
      <c r="F185" s="86"/>
      <c r="G185" s="86"/>
      <c r="H185" s="86"/>
      <c r="I185" s="86"/>
      <c r="J185" s="86"/>
      <c r="K185" s="87"/>
      <c r="L185" s="88" t="s">
        <v>13</v>
      </c>
      <c r="M185" s="89">
        <f>M179-M180-M181-M183-M184</f>
        <v>-15285.699999999997</v>
      </c>
      <c r="N185" s="90"/>
      <c r="O185" s="91"/>
      <c r="P185" s="90"/>
      <c r="Q185" s="90"/>
      <c r="R185" s="91"/>
      <c r="S185" s="32"/>
      <c r="T185" s="32"/>
      <c r="U185" s="38"/>
    </row>
    <row r="186" spans="1:20" ht="34.5" customHeight="1">
      <c r="A186" s="37" t="s">
        <v>14</v>
      </c>
      <c r="B186" s="37" t="s">
        <v>11</v>
      </c>
      <c r="C186" s="93" t="s">
        <v>24</v>
      </c>
      <c r="D186" s="93" t="s">
        <v>20</v>
      </c>
      <c r="E186" s="94" t="s">
        <v>2</v>
      </c>
      <c r="F186" s="93" t="s">
        <v>19</v>
      </c>
      <c r="G186" s="93" t="s">
        <v>18</v>
      </c>
      <c r="H186" s="94" t="s">
        <v>17</v>
      </c>
      <c r="I186" s="94" t="s">
        <v>16</v>
      </c>
      <c r="J186" s="93" t="s">
        <v>3</v>
      </c>
      <c r="K186" s="93" t="s">
        <v>4</v>
      </c>
      <c r="L186" s="95" t="s">
        <v>5</v>
      </c>
      <c r="M186" s="96" t="s">
        <v>21</v>
      </c>
      <c r="N186" s="37" t="s">
        <v>40</v>
      </c>
      <c r="O186" s="95" t="s">
        <v>41</v>
      </c>
      <c r="P186" s="37" t="s">
        <v>22</v>
      </c>
      <c r="Q186" s="37" t="s">
        <v>42</v>
      </c>
      <c r="R186" s="95" t="s">
        <v>43</v>
      </c>
      <c r="S186" s="263" t="s">
        <v>27</v>
      </c>
      <c r="T186" s="263"/>
    </row>
    <row r="187" spans="1:20" ht="22.5" customHeight="1">
      <c r="A187" s="96" t="s">
        <v>57</v>
      </c>
      <c r="B187" s="96"/>
      <c r="C187" s="97" t="s">
        <v>63</v>
      </c>
      <c r="D187" s="193" t="s">
        <v>166</v>
      </c>
      <c r="E187" s="97" t="s">
        <v>69</v>
      </c>
      <c r="F187" s="194">
        <v>37</v>
      </c>
      <c r="G187" s="195">
        <v>38676</v>
      </c>
      <c r="H187" s="187">
        <v>39045</v>
      </c>
      <c r="I187" s="196" t="s">
        <v>151</v>
      </c>
      <c r="J187" s="197">
        <v>30650</v>
      </c>
      <c r="K187" s="198">
        <v>6130</v>
      </c>
      <c r="L187" s="199">
        <v>36780</v>
      </c>
      <c r="M187" s="126">
        <v>30650</v>
      </c>
      <c r="N187" s="102"/>
      <c r="O187" s="101">
        <f>SUM(M187:N187)</f>
        <v>30650</v>
      </c>
      <c r="P187" s="102">
        <f>M187*0.65</f>
        <v>19922.5</v>
      </c>
      <c r="Q187" s="102">
        <f>N187*0.65</f>
        <v>0</v>
      </c>
      <c r="R187" s="101">
        <f>SUM(P187:Q187)</f>
        <v>19922.5</v>
      </c>
      <c r="S187" s="268" t="s">
        <v>200</v>
      </c>
      <c r="T187" s="268"/>
    </row>
    <row r="188" spans="1:20" ht="22.5" customHeight="1">
      <c r="A188" s="124" t="s">
        <v>236</v>
      </c>
      <c r="B188" s="120"/>
      <c r="C188" s="97" t="s">
        <v>63</v>
      </c>
      <c r="D188" s="193" t="s">
        <v>273</v>
      </c>
      <c r="E188" s="97" t="s">
        <v>274</v>
      </c>
      <c r="F188" s="194">
        <v>70037</v>
      </c>
      <c r="G188" s="195">
        <v>39094</v>
      </c>
      <c r="H188" s="187">
        <v>39430</v>
      </c>
      <c r="I188" s="196" t="s">
        <v>151</v>
      </c>
      <c r="J188" s="197">
        <v>627.46</v>
      </c>
      <c r="K188" s="198">
        <v>125.492</v>
      </c>
      <c r="L188" s="199">
        <v>752.952</v>
      </c>
      <c r="M188" s="126">
        <v>627.46</v>
      </c>
      <c r="N188" s="102"/>
      <c r="O188" s="101">
        <f aca="true" t="shared" si="50" ref="O188:O230">SUM(M188:N188)</f>
        <v>627.46</v>
      </c>
      <c r="P188" s="102">
        <f aca="true" t="shared" si="51" ref="P188:P230">M188*0.65</f>
        <v>407.84900000000005</v>
      </c>
      <c r="Q188" s="102">
        <f aca="true" t="shared" si="52" ref="Q188:Q230">N188*0.65</f>
        <v>0</v>
      </c>
      <c r="R188" s="101">
        <f aca="true" t="shared" si="53" ref="R188:R230">SUM(P188:Q188)</f>
        <v>407.84900000000005</v>
      </c>
      <c r="S188" s="266" t="s">
        <v>318</v>
      </c>
      <c r="T188" s="267"/>
    </row>
    <row r="189" spans="1:20" ht="22.5" customHeight="1">
      <c r="A189" s="124" t="s">
        <v>236</v>
      </c>
      <c r="B189" s="120"/>
      <c r="C189" s="97" t="s">
        <v>63</v>
      </c>
      <c r="D189" s="193" t="s">
        <v>275</v>
      </c>
      <c r="E189" s="97" t="s">
        <v>274</v>
      </c>
      <c r="F189" s="194">
        <v>70042</v>
      </c>
      <c r="G189" s="195">
        <v>39094</v>
      </c>
      <c r="H189" s="187">
        <v>39430</v>
      </c>
      <c r="I189" s="196" t="s">
        <v>151</v>
      </c>
      <c r="J189" s="197">
        <v>2129.02</v>
      </c>
      <c r="K189" s="198">
        <v>425.80400000000003</v>
      </c>
      <c r="L189" s="199">
        <v>2554.824</v>
      </c>
      <c r="M189" s="126">
        <v>2129.02</v>
      </c>
      <c r="N189" s="102"/>
      <c r="O189" s="101">
        <f t="shared" si="50"/>
        <v>2129.02</v>
      </c>
      <c r="P189" s="102">
        <f t="shared" si="51"/>
        <v>1383.863</v>
      </c>
      <c r="Q189" s="102">
        <f t="shared" si="52"/>
        <v>0</v>
      </c>
      <c r="R189" s="101">
        <f t="shared" si="53"/>
        <v>1383.863</v>
      </c>
      <c r="S189" s="266" t="s">
        <v>318</v>
      </c>
      <c r="T189" s="267"/>
    </row>
    <row r="190" spans="1:20" ht="22.5" customHeight="1">
      <c r="A190" s="124" t="s">
        <v>236</v>
      </c>
      <c r="B190" s="120"/>
      <c r="C190" s="97" t="s">
        <v>63</v>
      </c>
      <c r="D190" s="193" t="s">
        <v>276</v>
      </c>
      <c r="E190" s="97" t="s">
        <v>274</v>
      </c>
      <c r="F190" s="194">
        <v>70376</v>
      </c>
      <c r="G190" s="195">
        <v>39114</v>
      </c>
      <c r="H190" s="187">
        <v>39430</v>
      </c>
      <c r="I190" s="196" t="s">
        <v>151</v>
      </c>
      <c r="J190" s="197">
        <v>1998</v>
      </c>
      <c r="K190" s="198">
        <v>399.6</v>
      </c>
      <c r="L190" s="199">
        <v>2397.6</v>
      </c>
      <c r="M190" s="126">
        <v>1998</v>
      </c>
      <c r="N190" s="102"/>
      <c r="O190" s="101">
        <f t="shared" si="50"/>
        <v>1998</v>
      </c>
      <c r="P190" s="102">
        <f t="shared" si="51"/>
        <v>1298.7</v>
      </c>
      <c r="Q190" s="102">
        <f t="shared" si="52"/>
        <v>0</v>
      </c>
      <c r="R190" s="101">
        <f t="shared" si="53"/>
        <v>1298.7</v>
      </c>
      <c r="S190" s="266" t="s">
        <v>318</v>
      </c>
      <c r="T190" s="267"/>
    </row>
    <row r="191" spans="1:20" ht="22.5" customHeight="1">
      <c r="A191" s="124" t="s">
        <v>236</v>
      </c>
      <c r="B191" s="120"/>
      <c r="C191" s="97" t="s">
        <v>63</v>
      </c>
      <c r="D191" s="193" t="s">
        <v>276</v>
      </c>
      <c r="E191" s="97" t="s">
        <v>274</v>
      </c>
      <c r="F191" s="194">
        <v>70377</v>
      </c>
      <c r="G191" s="195">
        <v>39114</v>
      </c>
      <c r="H191" s="187">
        <v>39430</v>
      </c>
      <c r="I191" s="196" t="s">
        <v>151</v>
      </c>
      <c r="J191" s="197">
        <v>1056</v>
      </c>
      <c r="K191" s="198">
        <v>211.2</v>
      </c>
      <c r="L191" s="199">
        <v>1267.2</v>
      </c>
      <c r="M191" s="126">
        <v>1056</v>
      </c>
      <c r="N191" s="102"/>
      <c r="O191" s="101">
        <f t="shared" si="50"/>
        <v>1056</v>
      </c>
      <c r="P191" s="102">
        <f t="shared" si="51"/>
        <v>686.4</v>
      </c>
      <c r="Q191" s="102">
        <f t="shared" si="52"/>
        <v>0</v>
      </c>
      <c r="R191" s="101">
        <f t="shared" si="53"/>
        <v>686.4</v>
      </c>
      <c r="S191" s="266" t="s">
        <v>318</v>
      </c>
      <c r="T191" s="267"/>
    </row>
    <row r="192" spans="1:20" ht="22.5" customHeight="1">
      <c r="A192" s="124" t="s">
        <v>236</v>
      </c>
      <c r="B192" s="120"/>
      <c r="C192" s="97" t="s">
        <v>63</v>
      </c>
      <c r="D192" s="193" t="s">
        <v>276</v>
      </c>
      <c r="E192" s="97" t="s">
        <v>274</v>
      </c>
      <c r="F192" s="194">
        <v>70378</v>
      </c>
      <c r="G192" s="195">
        <v>39114</v>
      </c>
      <c r="H192" s="187">
        <v>39430</v>
      </c>
      <c r="I192" s="196" t="s">
        <v>151</v>
      </c>
      <c r="J192" s="197">
        <v>5736</v>
      </c>
      <c r="K192" s="198">
        <v>1147.2</v>
      </c>
      <c r="L192" s="199">
        <v>6883.2</v>
      </c>
      <c r="M192" s="126">
        <v>5736</v>
      </c>
      <c r="N192" s="102"/>
      <c r="O192" s="101">
        <f t="shared" si="50"/>
        <v>5736</v>
      </c>
      <c r="P192" s="102">
        <f t="shared" si="51"/>
        <v>3728.4</v>
      </c>
      <c r="Q192" s="102">
        <f t="shared" si="52"/>
        <v>0</v>
      </c>
      <c r="R192" s="101">
        <f t="shared" si="53"/>
        <v>3728.4</v>
      </c>
      <c r="S192" s="266" t="s">
        <v>318</v>
      </c>
      <c r="T192" s="267"/>
    </row>
    <row r="193" spans="1:20" ht="22.5" customHeight="1">
      <c r="A193" s="124" t="s">
        <v>236</v>
      </c>
      <c r="B193" s="120"/>
      <c r="C193" s="97" t="s">
        <v>63</v>
      </c>
      <c r="D193" s="193" t="s">
        <v>276</v>
      </c>
      <c r="E193" s="97" t="s">
        <v>274</v>
      </c>
      <c r="F193" s="194">
        <v>70379</v>
      </c>
      <c r="G193" s="195">
        <v>39114</v>
      </c>
      <c r="H193" s="187">
        <v>39430</v>
      </c>
      <c r="I193" s="196" t="s">
        <v>151</v>
      </c>
      <c r="J193" s="197">
        <v>2586</v>
      </c>
      <c r="K193" s="198">
        <v>517.2</v>
      </c>
      <c r="L193" s="199">
        <v>3103.2</v>
      </c>
      <c r="M193" s="126">
        <v>2586</v>
      </c>
      <c r="N193" s="102"/>
      <c r="O193" s="101">
        <f t="shared" si="50"/>
        <v>2586</v>
      </c>
      <c r="P193" s="102">
        <f t="shared" si="51"/>
        <v>1680.9</v>
      </c>
      <c r="Q193" s="102">
        <f t="shared" si="52"/>
        <v>0</v>
      </c>
      <c r="R193" s="101">
        <f t="shared" si="53"/>
        <v>1680.9</v>
      </c>
      <c r="S193" s="266" t="s">
        <v>318</v>
      </c>
      <c r="T193" s="267"/>
    </row>
    <row r="194" spans="1:20" ht="22.5" customHeight="1">
      <c r="A194" s="124" t="s">
        <v>236</v>
      </c>
      <c r="B194" s="120"/>
      <c r="C194" s="97" t="s">
        <v>63</v>
      </c>
      <c r="D194" s="193" t="s">
        <v>276</v>
      </c>
      <c r="E194" s="97" t="s">
        <v>274</v>
      </c>
      <c r="F194" s="194">
        <v>70380</v>
      </c>
      <c r="G194" s="195">
        <v>39114</v>
      </c>
      <c r="H194" s="187">
        <v>39430</v>
      </c>
      <c r="I194" s="196" t="s">
        <v>151</v>
      </c>
      <c r="J194" s="197">
        <v>1998</v>
      </c>
      <c r="K194" s="198">
        <v>399.6</v>
      </c>
      <c r="L194" s="199">
        <v>2397.6</v>
      </c>
      <c r="M194" s="126">
        <v>1998</v>
      </c>
      <c r="N194" s="102"/>
      <c r="O194" s="101">
        <f t="shared" si="50"/>
        <v>1998</v>
      </c>
      <c r="P194" s="102">
        <f t="shared" si="51"/>
        <v>1298.7</v>
      </c>
      <c r="Q194" s="102">
        <f t="shared" si="52"/>
        <v>0</v>
      </c>
      <c r="R194" s="101">
        <f t="shared" si="53"/>
        <v>1298.7</v>
      </c>
      <c r="S194" s="266" t="s">
        <v>318</v>
      </c>
      <c r="T194" s="267"/>
    </row>
    <row r="195" spans="1:20" ht="22.5" customHeight="1">
      <c r="A195" s="124" t="s">
        <v>236</v>
      </c>
      <c r="B195" s="120"/>
      <c r="C195" s="97" t="s">
        <v>63</v>
      </c>
      <c r="D195" s="193" t="s">
        <v>276</v>
      </c>
      <c r="E195" s="97" t="s">
        <v>274</v>
      </c>
      <c r="F195" s="194">
        <v>70381</v>
      </c>
      <c r="G195" s="195">
        <v>39114</v>
      </c>
      <c r="H195" s="187">
        <v>39430</v>
      </c>
      <c r="I195" s="196" t="s">
        <v>151</v>
      </c>
      <c r="J195" s="197">
        <v>1320</v>
      </c>
      <c r="K195" s="198">
        <v>264</v>
      </c>
      <c r="L195" s="199">
        <v>1584</v>
      </c>
      <c r="M195" s="126">
        <v>1320</v>
      </c>
      <c r="N195" s="102"/>
      <c r="O195" s="101">
        <f t="shared" si="50"/>
        <v>1320</v>
      </c>
      <c r="P195" s="102">
        <f t="shared" si="51"/>
        <v>858</v>
      </c>
      <c r="Q195" s="102">
        <f t="shared" si="52"/>
        <v>0</v>
      </c>
      <c r="R195" s="101">
        <f t="shared" si="53"/>
        <v>858</v>
      </c>
      <c r="S195" s="266" t="s">
        <v>318</v>
      </c>
      <c r="T195" s="267"/>
    </row>
    <row r="196" spans="1:20" ht="22.5" customHeight="1">
      <c r="A196" s="124" t="s">
        <v>236</v>
      </c>
      <c r="B196" s="120"/>
      <c r="C196" s="97" t="s">
        <v>63</v>
      </c>
      <c r="D196" s="193" t="s">
        <v>276</v>
      </c>
      <c r="E196" s="97" t="s">
        <v>274</v>
      </c>
      <c r="F196" s="194">
        <v>70383</v>
      </c>
      <c r="G196" s="195">
        <v>39114</v>
      </c>
      <c r="H196" s="187">
        <v>39430</v>
      </c>
      <c r="I196" s="196" t="s">
        <v>151</v>
      </c>
      <c r="J196" s="197">
        <v>2688</v>
      </c>
      <c r="K196" s="198">
        <v>537.6</v>
      </c>
      <c r="L196" s="199">
        <v>3225.6</v>
      </c>
      <c r="M196" s="126">
        <v>2688</v>
      </c>
      <c r="N196" s="102"/>
      <c r="O196" s="101">
        <f t="shared" si="50"/>
        <v>2688</v>
      </c>
      <c r="P196" s="102">
        <f t="shared" si="51"/>
        <v>1747.2</v>
      </c>
      <c r="Q196" s="102">
        <f t="shared" si="52"/>
        <v>0</v>
      </c>
      <c r="R196" s="101">
        <f t="shared" si="53"/>
        <v>1747.2</v>
      </c>
      <c r="S196" s="266" t="s">
        <v>318</v>
      </c>
      <c r="T196" s="267"/>
    </row>
    <row r="197" spans="1:20" ht="22.5" customHeight="1">
      <c r="A197" s="124" t="s">
        <v>236</v>
      </c>
      <c r="B197" s="120"/>
      <c r="C197" s="97" t="s">
        <v>63</v>
      </c>
      <c r="D197" s="193" t="s">
        <v>276</v>
      </c>
      <c r="E197" s="97" t="s">
        <v>274</v>
      </c>
      <c r="F197" s="194">
        <v>70384</v>
      </c>
      <c r="G197" s="195">
        <v>39114</v>
      </c>
      <c r="H197" s="187">
        <v>39430</v>
      </c>
      <c r="I197" s="196" t="s">
        <v>151</v>
      </c>
      <c r="J197" s="197">
        <v>9996</v>
      </c>
      <c r="K197" s="198">
        <v>1999.2</v>
      </c>
      <c r="L197" s="199">
        <v>11995.2</v>
      </c>
      <c r="M197" s="126">
        <v>9996</v>
      </c>
      <c r="N197" s="102"/>
      <c r="O197" s="101">
        <f t="shared" si="50"/>
        <v>9996</v>
      </c>
      <c r="P197" s="102">
        <f t="shared" si="51"/>
        <v>6497.400000000001</v>
      </c>
      <c r="Q197" s="102">
        <f t="shared" si="52"/>
        <v>0</v>
      </c>
      <c r="R197" s="101">
        <f t="shared" si="53"/>
        <v>6497.400000000001</v>
      </c>
      <c r="S197" s="266" t="s">
        <v>318</v>
      </c>
      <c r="T197" s="267"/>
    </row>
    <row r="198" spans="1:20" ht="22.5" customHeight="1">
      <c r="A198" s="124" t="s">
        <v>236</v>
      </c>
      <c r="B198" s="120"/>
      <c r="C198" s="97" t="s">
        <v>63</v>
      </c>
      <c r="D198" s="193" t="s">
        <v>276</v>
      </c>
      <c r="E198" s="97" t="s">
        <v>274</v>
      </c>
      <c r="F198" s="194">
        <v>70385</v>
      </c>
      <c r="G198" s="195">
        <v>39114</v>
      </c>
      <c r="H198" s="187">
        <v>39430</v>
      </c>
      <c r="I198" s="196" t="s">
        <v>151</v>
      </c>
      <c r="J198" s="197">
        <v>1416</v>
      </c>
      <c r="K198" s="198">
        <v>283.2</v>
      </c>
      <c r="L198" s="199">
        <v>1699.2</v>
      </c>
      <c r="M198" s="126">
        <v>1416</v>
      </c>
      <c r="N198" s="102"/>
      <c r="O198" s="101">
        <f t="shared" si="50"/>
        <v>1416</v>
      </c>
      <c r="P198" s="102">
        <f t="shared" si="51"/>
        <v>920.4</v>
      </c>
      <c r="Q198" s="102">
        <f t="shared" si="52"/>
        <v>0</v>
      </c>
      <c r="R198" s="101">
        <f t="shared" si="53"/>
        <v>920.4</v>
      </c>
      <c r="S198" s="266" t="s">
        <v>318</v>
      </c>
      <c r="T198" s="267"/>
    </row>
    <row r="199" spans="1:20" ht="22.5" customHeight="1">
      <c r="A199" s="124" t="s">
        <v>236</v>
      </c>
      <c r="B199" s="120"/>
      <c r="C199" s="97" t="s">
        <v>63</v>
      </c>
      <c r="D199" s="193" t="s">
        <v>276</v>
      </c>
      <c r="E199" s="97" t="s">
        <v>274</v>
      </c>
      <c r="F199" s="194">
        <v>70388</v>
      </c>
      <c r="G199" s="195">
        <v>39114</v>
      </c>
      <c r="H199" s="187">
        <v>39430</v>
      </c>
      <c r="I199" s="196" t="s">
        <v>151</v>
      </c>
      <c r="J199" s="197">
        <v>2292</v>
      </c>
      <c r="K199" s="198">
        <v>458.4</v>
      </c>
      <c r="L199" s="199">
        <v>2750.4</v>
      </c>
      <c r="M199" s="126">
        <v>2292</v>
      </c>
      <c r="N199" s="102"/>
      <c r="O199" s="101">
        <f t="shared" si="50"/>
        <v>2292</v>
      </c>
      <c r="P199" s="102">
        <f t="shared" si="51"/>
        <v>1489.8</v>
      </c>
      <c r="Q199" s="102">
        <f t="shared" si="52"/>
        <v>0</v>
      </c>
      <c r="R199" s="101">
        <f t="shared" si="53"/>
        <v>1489.8</v>
      </c>
      <c r="S199" s="266" t="s">
        <v>318</v>
      </c>
      <c r="T199" s="267"/>
    </row>
    <row r="200" spans="1:20" ht="22.5" customHeight="1">
      <c r="A200" s="124" t="s">
        <v>236</v>
      </c>
      <c r="B200" s="120"/>
      <c r="C200" s="97" t="s">
        <v>63</v>
      </c>
      <c r="D200" s="193" t="s">
        <v>277</v>
      </c>
      <c r="E200" s="97" t="s">
        <v>274</v>
      </c>
      <c r="F200" s="194">
        <v>70450</v>
      </c>
      <c r="G200" s="195">
        <v>39132</v>
      </c>
      <c r="H200" s="187">
        <v>39430</v>
      </c>
      <c r="I200" s="196" t="s">
        <v>151</v>
      </c>
      <c r="J200" s="197">
        <v>2270.1</v>
      </c>
      <c r="K200" s="198">
        <v>454.02</v>
      </c>
      <c r="L200" s="199">
        <v>2724.12</v>
      </c>
      <c r="M200" s="126">
        <v>2270.1</v>
      </c>
      <c r="N200" s="102"/>
      <c r="O200" s="101">
        <f t="shared" si="50"/>
        <v>2270.1</v>
      </c>
      <c r="P200" s="102">
        <f t="shared" si="51"/>
        <v>1475.565</v>
      </c>
      <c r="Q200" s="102">
        <f t="shared" si="52"/>
        <v>0</v>
      </c>
      <c r="R200" s="101">
        <f t="shared" si="53"/>
        <v>1475.565</v>
      </c>
      <c r="S200" s="266" t="s">
        <v>318</v>
      </c>
      <c r="T200" s="267"/>
    </row>
    <row r="201" spans="1:20" ht="22.5" customHeight="1">
      <c r="A201" s="124" t="s">
        <v>236</v>
      </c>
      <c r="B201" s="120"/>
      <c r="C201" s="97" t="s">
        <v>63</v>
      </c>
      <c r="D201" s="193" t="s">
        <v>277</v>
      </c>
      <c r="E201" s="97" t="s">
        <v>274</v>
      </c>
      <c r="F201" s="194">
        <v>70544</v>
      </c>
      <c r="G201" s="195">
        <v>39157</v>
      </c>
      <c r="H201" s="187">
        <v>39430</v>
      </c>
      <c r="I201" s="196" t="s">
        <v>151</v>
      </c>
      <c r="J201" s="197">
        <v>1414.94</v>
      </c>
      <c r="K201" s="198">
        <v>282.98800000000006</v>
      </c>
      <c r="L201" s="199">
        <v>1697.928</v>
      </c>
      <c r="M201" s="126">
        <v>1414.94</v>
      </c>
      <c r="N201" s="102"/>
      <c r="O201" s="101">
        <f t="shared" si="50"/>
        <v>1414.94</v>
      </c>
      <c r="P201" s="102">
        <f t="shared" si="51"/>
        <v>919.711</v>
      </c>
      <c r="Q201" s="102">
        <f t="shared" si="52"/>
        <v>0</v>
      </c>
      <c r="R201" s="101">
        <f t="shared" si="53"/>
        <v>919.711</v>
      </c>
      <c r="S201" s="266" t="s">
        <v>318</v>
      </c>
      <c r="T201" s="267"/>
    </row>
    <row r="202" spans="1:20" ht="22.5" customHeight="1">
      <c r="A202" s="124" t="s">
        <v>236</v>
      </c>
      <c r="B202" s="120"/>
      <c r="C202" s="97" t="s">
        <v>63</v>
      </c>
      <c r="D202" s="193" t="s">
        <v>277</v>
      </c>
      <c r="E202" s="97" t="s">
        <v>274</v>
      </c>
      <c r="F202" s="194">
        <v>70651</v>
      </c>
      <c r="G202" s="195">
        <v>39195</v>
      </c>
      <c r="H202" s="187">
        <v>39430</v>
      </c>
      <c r="I202" s="196" t="s">
        <v>151</v>
      </c>
      <c r="J202" s="197">
        <v>1318.9</v>
      </c>
      <c r="K202" s="198">
        <v>263.78</v>
      </c>
      <c r="L202" s="199">
        <v>1582.68</v>
      </c>
      <c r="M202" s="126">
        <v>1318.9</v>
      </c>
      <c r="N202" s="102"/>
      <c r="O202" s="101">
        <f t="shared" si="50"/>
        <v>1318.9</v>
      </c>
      <c r="P202" s="102">
        <f t="shared" si="51"/>
        <v>857.2850000000001</v>
      </c>
      <c r="Q202" s="102">
        <f t="shared" si="52"/>
        <v>0</v>
      </c>
      <c r="R202" s="101">
        <f t="shared" si="53"/>
        <v>857.2850000000001</v>
      </c>
      <c r="S202" s="266" t="s">
        <v>318</v>
      </c>
      <c r="T202" s="267"/>
    </row>
    <row r="203" spans="1:20" ht="22.5" customHeight="1">
      <c r="A203" s="124" t="s">
        <v>236</v>
      </c>
      <c r="B203" s="120"/>
      <c r="C203" s="97" t="s">
        <v>63</v>
      </c>
      <c r="D203" s="193" t="s">
        <v>278</v>
      </c>
      <c r="E203" s="97" t="s">
        <v>274</v>
      </c>
      <c r="F203" s="194">
        <v>70730</v>
      </c>
      <c r="G203" s="195">
        <v>400814</v>
      </c>
      <c r="H203" s="187">
        <v>39430</v>
      </c>
      <c r="I203" s="196" t="s">
        <v>151</v>
      </c>
      <c r="J203" s="197">
        <v>965.4</v>
      </c>
      <c r="K203" s="198">
        <v>193.08</v>
      </c>
      <c r="L203" s="199">
        <v>1158.48</v>
      </c>
      <c r="M203" s="126">
        <v>965.4</v>
      </c>
      <c r="N203" s="102"/>
      <c r="O203" s="101">
        <f t="shared" si="50"/>
        <v>965.4</v>
      </c>
      <c r="P203" s="102">
        <f t="shared" si="51"/>
        <v>627.51</v>
      </c>
      <c r="Q203" s="102">
        <f t="shared" si="52"/>
        <v>0</v>
      </c>
      <c r="R203" s="101">
        <f t="shared" si="53"/>
        <v>627.51</v>
      </c>
      <c r="S203" s="266" t="s">
        <v>318</v>
      </c>
      <c r="T203" s="267"/>
    </row>
    <row r="204" spans="1:20" ht="22.5" customHeight="1">
      <c r="A204" s="124" t="s">
        <v>236</v>
      </c>
      <c r="B204" s="120"/>
      <c r="C204" s="97" t="s">
        <v>63</v>
      </c>
      <c r="D204" s="193" t="s">
        <v>279</v>
      </c>
      <c r="E204" s="97" t="s">
        <v>274</v>
      </c>
      <c r="F204" s="194">
        <v>70799</v>
      </c>
      <c r="G204" s="195">
        <v>39247</v>
      </c>
      <c r="H204" s="187">
        <v>39430</v>
      </c>
      <c r="I204" s="196" t="s">
        <v>151</v>
      </c>
      <c r="J204" s="197">
        <v>906.7</v>
      </c>
      <c r="K204" s="198">
        <v>181.34</v>
      </c>
      <c r="L204" s="199">
        <v>1088.04</v>
      </c>
      <c r="M204" s="126">
        <v>906.7</v>
      </c>
      <c r="N204" s="102"/>
      <c r="O204" s="101">
        <f t="shared" si="50"/>
        <v>906.7</v>
      </c>
      <c r="P204" s="102">
        <f t="shared" si="51"/>
        <v>589.355</v>
      </c>
      <c r="Q204" s="102">
        <f t="shared" si="52"/>
        <v>0</v>
      </c>
      <c r="R204" s="101">
        <f t="shared" si="53"/>
        <v>589.355</v>
      </c>
      <c r="S204" s="266" t="s">
        <v>318</v>
      </c>
      <c r="T204" s="267"/>
    </row>
    <row r="205" spans="1:20" ht="22.5" customHeight="1">
      <c r="A205" s="124" t="s">
        <v>236</v>
      </c>
      <c r="B205" s="120"/>
      <c r="C205" s="97" t="s">
        <v>63</v>
      </c>
      <c r="D205" s="193" t="s">
        <v>280</v>
      </c>
      <c r="E205" s="97" t="s">
        <v>274</v>
      </c>
      <c r="F205" s="194">
        <v>70871</v>
      </c>
      <c r="G205" s="195">
        <v>39273</v>
      </c>
      <c r="H205" s="187">
        <v>39430</v>
      </c>
      <c r="I205" s="196" t="s">
        <v>151</v>
      </c>
      <c r="J205" s="197">
        <v>528.76</v>
      </c>
      <c r="K205" s="198">
        <v>105.75200000000001</v>
      </c>
      <c r="L205" s="199">
        <v>634.512</v>
      </c>
      <c r="M205" s="126">
        <v>528.76</v>
      </c>
      <c r="N205" s="102"/>
      <c r="O205" s="101">
        <f t="shared" si="50"/>
        <v>528.76</v>
      </c>
      <c r="P205" s="102">
        <f t="shared" si="51"/>
        <v>343.694</v>
      </c>
      <c r="Q205" s="102">
        <f t="shared" si="52"/>
        <v>0</v>
      </c>
      <c r="R205" s="101">
        <f t="shared" si="53"/>
        <v>343.694</v>
      </c>
      <c r="S205" s="266" t="s">
        <v>318</v>
      </c>
      <c r="T205" s="267"/>
    </row>
    <row r="206" spans="1:20" ht="22.5" customHeight="1">
      <c r="A206" s="124" t="s">
        <v>236</v>
      </c>
      <c r="B206" s="120"/>
      <c r="C206" s="97" t="s">
        <v>63</v>
      </c>
      <c r="D206" s="193" t="s">
        <v>281</v>
      </c>
      <c r="E206" s="97" t="s">
        <v>274</v>
      </c>
      <c r="F206" s="194">
        <v>71176</v>
      </c>
      <c r="G206" s="195">
        <v>39287</v>
      </c>
      <c r="H206" s="187">
        <v>39430</v>
      </c>
      <c r="I206" s="196" t="s">
        <v>151</v>
      </c>
      <c r="J206" s="197">
        <v>33222</v>
      </c>
      <c r="K206" s="198">
        <v>6644.4</v>
      </c>
      <c r="L206" s="199">
        <v>39866.4</v>
      </c>
      <c r="M206" s="126">
        <v>33222</v>
      </c>
      <c r="N206" s="102"/>
      <c r="O206" s="101">
        <f t="shared" si="50"/>
        <v>33222</v>
      </c>
      <c r="P206" s="102">
        <f t="shared" si="51"/>
        <v>21594.3</v>
      </c>
      <c r="Q206" s="102">
        <f t="shared" si="52"/>
        <v>0</v>
      </c>
      <c r="R206" s="101">
        <f t="shared" si="53"/>
        <v>21594.3</v>
      </c>
      <c r="S206" s="266" t="s">
        <v>318</v>
      </c>
      <c r="T206" s="267"/>
    </row>
    <row r="207" spans="1:20" ht="22.5" customHeight="1">
      <c r="A207" s="124" t="s">
        <v>236</v>
      </c>
      <c r="B207" s="120"/>
      <c r="C207" s="97" t="s">
        <v>63</v>
      </c>
      <c r="D207" s="193" t="s">
        <v>282</v>
      </c>
      <c r="E207" s="97" t="s">
        <v>274</v>
      </c>
      <c r="F207" s="194">
        <v>71452</v>
      </c>
      <c r="G207" s="195">
        <v>39402</v>
      </c>
      <c r="H207" s="187">
        <v>39430</v>
      </c>
      <c r="I207" s="196" t="s">
        <v>151</v>
      </c>
      <c r="J207" s="197">
        <v>1797.22</v>
      </c>
      <c r="K207" s="198">
        <v>359.444</v>
      </c>
      <c r="L207" s="199">
        <v>2156.664</v>
      </c>
      <c r="M207" s="126">
        <v>1797.22</v>
      </c>
      <c r="N207" s="102"/>
      <c r="O207" s="101">
        <f t="shared" si="50"/>
        <v>1797.22</v>
      </c>
      <c r="P207" s="102">
        <f t="shared" si="51"/>
        <v>1168.193</v>
      </c>
      <c r="Q207" s="102">
        <f t="shared" si="52"/>
        <v>0</v>
      </c>
      <c r="R207" s="101">
        <f t="shared" si="53"/>
        <v>1168.193</v>
      </c>
      <c r="S207" s="266" t="s">
        <v>318</v>
      </c>
      <c r="T207" s="267"/>
    </row>
    <row r="208" spans="1:20" ht="22.5" customHeight="1">
      <c r="A208" s="124" t="s">
        <v>236</v>
      </c>
      <c r="B208" s="120"/>
      <c r="C208" s="97" t="s">
        <v>63</v>
      </c>
      <c r="D208" s="193"/>
      <c r="E208" s="97" t="s">
        <v>274</v>
      </c>
      <c r="F208" s="194" t="s">
        <v>283</v>
      </c>
      <c r="G208" s="195">
        <v>39094</v>
      </c>
      <c r="H208" s="187"/>
      <c r="I208" s="196"/>
      <c r="J208" s="197">
        <v>-48</v>
      </c>
      <c r="K208" s="198">
        <v>-9.6</v>
      </c>
      <c r="L208" s="199">
        <v>-57.6</v>
      </c>
      <c r="M208" s="126">
        <v>-48</v>
      </c>
      <c r="N208" s="102"/>
      <c r="O208" s="101">
        <f t="shared" si="50"/>
        <v>-48</v>
      </c>
      <c r="P208" s="102">
        <f t="shared" si="51"/>
        <v>-31.200000000000003</v>
      </c>
      <c r="Q208" s="102">
        <f t="shared" si="52"/>
        <v>0</v>
      </c>
      <c r="R208" s="101">
        <f t="shared" si="53"/>
        <v>-31.200000000000003</v>
      </c>
      <c r="S208" s="266" t="s">
        <v>318</v>
      </c>
      <c r="T208" s="267"/>
    </row>
    <row r="209" spans="1:20" ht="22.5" customHeight="1">
      <c r="A209" s="124" t="s">
        <v>236</v>
      </c>
      <c r="B209" s="120"/>
      <c r="C209" s="97" t="s">
        <v>63</v>
      </c>
      <c r="D209" s="193"/>
      <c r="E209" s="97" t="s">
        <v>274</v>
      </c>
      <c r="F209" s="194" t="s">
        <v>283</v>
      </c>
      <c r="G209" s="195">
        <v>39094</v>
      </c>
      <c r="H209" s="187"/>
      <c r="I209" s="196"/>
      <c r="J209" s="197">
        <v>-12</v>
      </c>
      <c r="K209" s="198">
        <v>-2.4</v>
      </c>
      <c r="L209" s="199">
        <v>-14.4</v>
      </c>
      <c r="M209" s="126">
        <v>-12</v>
      </c>
      <c r="N209" s="102"/>
      <c r="O209" s="101">
        <f t="shared" si="50"/>
        <v>-12</v>
      </c>
      <c r="P209" s="102">
        <f t="shared" si="51"/>
        <v>-7.800000000000001</v>
      </c>
      <c r="Q209" s="102">
        <f t="shared" si="52"/>
        <v>0</v>
      </c>
      <c r="R209" s="101">
        <f t="shared" si="53"/>
        <v>-7.800000000000001</v>
      </c>
      <c r="S209" s="266" t="s">
        <v>318</v>
      </c>
      <c r="T209" s="267"/>
    </row>
    <row r="210" spans="1:20" ht="22.5" customHeight="1">
      <c r="A210" s="124" t="s">
        <v>236</v>
      </c>
      <c r="B210" s="120"/>
      <c r="C210" s="97" t="s">
        <v>63</v>
      </c>
      <c r="D210" s="193"/>
      <c r="E210" s="97" t="s">
        <v>274</v>
      </c>
      <c r="F210" s="194" t="s">
        <v>284</v>
      </c>
      <c r="G210" s="195">
        <v>39094</v>
      </c>
      <c r="H210" s="187"/>
      <c r="I210" s="196"/>
      <c r="J210" s="197">
        <v>-18</v>
      </c>
      <c r="K210" s="198">
        <v>-3.6</v>
      </c>
      <c r="L210" s="199">
        <v>-21.6</v>
      </c>
      <c r="M210" s="126">
        <v>-18</v>
      </c>
      <c r="N210" s="102"/>
      <c r="O210" s="101">
        <f t="shared" si="50"/>
        <v>-18</v>
      </c>
      <c r="P210" s="102">
        <f t="shared" si="51"/>
        <v>-11.700000000000001</v>
      </c>
      <c r="Q210" s="102">
        <f t="shared" si="52"/>
        <v>0</v>
      </c>
      <c r="R210" s="101">
        <f t="shared" si="53"/>
        <v>-11.700000000000001</v>
      </c>
      <c r="S210" s="266" t="s">
        <v>318</v>
      </c>
      <c r="T210" s="267"/>
    </row>
    <row r="211" spans="1:20" ht="22.5" customHeight="1">
      <c r="A211" s="124" t="s">
        <v>236</v>
      </c>
      <c r="B211" s="120"/>
      <c r="C211" s="97" t="s">
        <v>63</v>
      </c>
      <c r="D211" s="193"/>
      <c r="E211" s="97" t="s">
        <v>274</v>
      </c>
      <c r="F211" s="194" t="s">
        <v>285</v>
      </c>
      <c r="G211" s="195">
        <v>39094</v>
      </c>
      <c r="H211" s="187"/>
      <c r="I211" s="196"/>
      <c r="J211" s="197">
        <v>-6</v>
      </c>
      <c r="K211" s="198">
        <v>-1.2</v>
      </c>
      <c r="L211" s="199">
        <v>-7.2</v>
      </c>
      <c r="M211" s="126">
        <v>-6</v>
      </c>
      <c r="N211" s="102"/>
      <c r="O211" s="101">
        <f t="shared" si="50"/>
        <v>-6</v>
      </c>
      <c r="P211" s="102">
        <f t="shared" si="51"/>
        <v>-3.9000000000000004</v>
      </c>
      <c r="Q211" s="102">
        <f t="shared" si="52"/>
        <v>0</v>
      </c>
      <c r="R211" s="101">
        <f t="shared" si="53"/>
        <v>-3.9000000000000004</v>
      </c>
      <c r="S211" s="266" t="s">
        <v>318</v>
      </c>
      <c r="T211" s="267"/>
    </row>
    <row r="212" spans="1:20" ht="22.5" customHeight="1">
      <c r="A212" s="124" t="s">
        <v>236</v>
      </c>
      <c r="B212" s="120"/>
      <c r="C212" s="97" t="s">
        <v>63</v>
      </c>
      <c r="D212" s="193"/>
      <c r="E212" s="97" t="s">
        <v>274</v>
      </c>
      <c r="F212" s="194" t="s">
        <v>286</v>
      </c>
      <c r="G212" s="195">
        <v>39094</v>
      </c>
      <c r="H212" s="187"/>
      <c r="I212" s="196"/>
      <c r="J212" s="197">
        <v>-6</v>
      </c>
      <c r="K212" s="198">
        <v>-1.2</v>
      </c>
      <c r="L212" s="199">
        <v>-7.2</v>
      </c>
      <c r="M212" s="126">
        <v>-6</v>
      </c>
      <c r="N212" s="102"/>
      <c r="O212" s="101">
        <f t="shared" si="50"/>
        <v>-6</v>
      </c>
      <c r="P212" s="102">
        <f t="shared" si="51"/>
        <v>-3.9000000000000004</v>
      </c>
      <c r="Q212" s="102">
        <f t="shared" si="52"/>
        <v>0</v>
      </c>
      <c r="R212" s="101">
        <f t="shared" si="53"/>
        <v>-3.9000000000000004</v>
      </c>
      <c r="S212" s="266" t="s">
        <v>318</v>
      </c>
      <c r="T212" s="267"/>
    </row>
    <row r="213" spans="1:20" ht="22.5" customHeight="1">
      <c r="A213" s="124" t="s">
        <v>236</v>
      </c>
      <c r="B213" s="120"/>
      <c r="C213" s="97" t="s">
        <v>63</v>
      </c>
      <c r="D213" s="193"/>
      <c r="E213" s="97" t="s">
        <v>274</v>
      </c>
      <c r="F213" s="194" t="s">
        <v>287</v>
      </c>
      <c r="G213" s="195">
        <v>39094</v>
      </c>
      <c r="H213" s="187"/>
      <c r="I213" s="196"/>
      <c r="J213" s="197">
        <v>-6</v>
      </c>
      <c r="K213" s="198">
        <v>-1.2</v>
      </c>
      <c r="L213" s="199">
        <v>-7.2</v>
      </c>
      <c r="M213" s="126">
        <v>-6</v>
      </c>
      <c r="N213" s="102"/>
      <c r="O213" s="101">
        <f t="shared" si="50"/>
        <v>-6</v>
      </c>
      <c r="P213" s="102">
        <f t="shared" si="51"/>
        <v>-3.9000000000000004</v>
      </c>
      <c r="Q213" s="102">
        <f t="shared" si="52"/>
        <v>0</v>
      </c>
      <c r="R213" s="101">
        <f t="shared" si="53"/>
        <v>-3.9000000000000004</v>
      </c>
      <c r="S213" s="266" t="s">
        <v>318</v>
      </c>
      <c r="T213" s="267"/>
    </row>
    <row r="214" spans="1:20" ht="22.5" customHeight="1">
      <c r="A214" s="124" t="s">
        <v>236</v>
      </c>
      <c r="B214" s="120"/>
      <c r="C214" s="97" t="s">
        <v>63</v>
      </c>
      <c r="D214" s="193"/>
      <c r="E214" s="97" t="s">
        <v>274</v>
      </c>
      <c r="F214" s="194" t="s">
        <v>288</v>
      </c>
      <c r="G214" s="195">
        <v>39094</v>
      </c>
      <c r="H214" s="187"/>
      <c r="I214" s="196"/>
      <c r="J214" s="197">
        <v>-36</v>
      </c>
      <c r="K214" s="198">
        <v>-7.2</v>
      </c>
      <c r="L214" s="199">
        <v>-43.2</v>
      </c>
      <c r="M214" s="126">
        <v>-36</v>
      </c>
      <c r="N214" s="102"/>
      <c r="O214" s="101">
        <f t="shared" si="50"/>
        <v>-36</v>
      </c>
      <c r="P214" s="102">
        <f t="shared" si="51"/>
        <v>-23.400000000000002</v>
      </c>
      <c r="Q214" s="102">
        <f t="shared" si="52"/>
        <v>0</v>
      </c>
      <c r="R214" s="101">
        <f t="shared" si="53"/>
        <v>-23.400000000000002</v>
      </c>
      <c r="S214" s="266" t="s">
        <v>318</v>
      </c>
      <c r="T214" s="267"/>
    </row>
    <row r="215" spans="1:20" ht="22.5" customHeight="1">
      <c r="A215" s="124" t="s">
        <v>236</v>
      </c>
      <c r="B215" s="120"/>
      <c r="C215" s="97" t="s">
        <v>63</v>
      </c>
      <c r="D215" s="193"/>
      <c r="E215" s="97" t="s">
        <v>274</v>
      </c>
      <c r="F215" s="194" t="s">
        <v>289</v>
      </c>
      <c r="G215" s="195">
        <v>39132</v>
      </c>
      <c r="H215" s="187"/>
      <c r="I215" s="196"/>
      <c r="J215" s="197">
        <v>-108</v>
      </c>
      <c r="K215" s="198">
        <v>-21.6</v>
      </c>
      <c r="L215" s="199">
        <v>-129.6</v>
      </c>
      <c r="M215" s="126">
        <v>-108</v>
      </c>
      <c r="N215" s="102"/>
      <c r="O215" s="101">
        <f t="shared" si="50"/>
        <v>-108</v>
      </c>
      <c r="P215" s="102">
        <f t="shared" si="51"/>
        <v>-70.2</v>
      </c>
      <c r="Q215" s="102">
        <f t="shared" si="52"/>
        <v>0</v>
      </c>
      <c r="R215" s="101">
        <f t="shared" si="53"/>
        <v>-70.2</v>
      </c>
      <c r="S215" s="266" t="s">
        <v>318</v>
      </c>
      <c r="T215" s="267"/>
    </row>
    <row r="216" spans="1:20" ht="22.5" customHeight="1">
      <c r="A216" s="124" t="s">
        <v>236</v>
      </c>
      <c r="B216" s="120"/>
      <c r="C216" s="97" t="s">
        <v>63</v>
      </c>
      <c r="D216" s="193"/>
      <c r="E216" s="97" t="s">
        <v>274</v>
      </c>
      <c r="F216" s="194" t="s">
        <v>290</v>
      </c>
      <c r="G216" s="195">
        <v>39132</v>
      </c>
      <c r="H216" s="187"/>
      <c r="I216" s="196"/>
      <c r="J216" s="197">
        <v>-72</v>
      </c>
      <c r="K216" s="198">
        <v>-14.4</v>
      </c>
      <c r="L216" s="199">
        <v>-86.4</v>
      </c>
      <c r="M216" s="126">
        <v>-72</v>
      </c>
      <c r="N216" s="102"/>
      <c r="O216" s="101">
        <f t="shared" si="50"/>
        <v>-72</v>
      </c>
      <c r="P216" s="102">
        <f t="shared" si="51"/>
        <v>-46.800000000000004</v>
      </c>
      <c r="Q216" s="102">
        <f t="shared" si="52"/>
        <v>0</v>
      </c>
      <c r="R216" s="101">
        <f t="shared" si="53"/>
        <v>-46.800000000000004</v>
      </c>
      <c r="S216" s="266" t="s">
        <v>318</v>
      </c>
      <c r="T216" s="267"/>
    </row>
    <row r="217" spans="1:20" ht="22.5" customHeight="1">
      <c r="A217" s="124" t="s">
        <v>236</v>
      </c>
      <c r="B217" s="120"/>
      <c r="C217" s="97" t="s">
        <v>63</v>
      </c>
      <c r="D217" s="193"/>
      <c r="E217" s="97" t="s">
        <v>274</v>
      </c>
      <c r="F217" s="194" t="s">
        <v>291</v>
      </c>
      <c r="G217" s="195">
        <v>39132</v>
      </c>
      <c r="H217" s="187"/>
      <c r="I217" s="196"/>
      <c r="J217" s="197">
        <v>-36</v>
      </c>
      <c r="K217" s="198">
        <v>-7.2</v>
      </c>
      <c r="L217" s="199">
        <v>-43.2</v>
      </c>
      <c r="M217" s="126">
        <v>-36</v>
      </c>
      <c r="N217" s="102"/>
      <c r="O217" s="101">
        <f t="shared" si="50"/>
        <v>-36</v>
      </c>
      <c r="P217" s="102">
        <f t="shared" si="51"/>
        <v>-23.400000000000002</v>
      </c>
      <c r="Q217" s="102">
        <f t="shared" si="52"/>
        <v>0</v>
      </c>
      <c r="R217" s="101">
        <f t="shared" si="53"/>
        <v>-23.400000000000002</v>
      </c>
      <c r="S217" s="266" t="s">
        <v>318</v>
      </c>
      <c r="T217" s="267"/>
    </row>
    <row r="218" spans="1:20" ht="22.5" customHeight="1">
      <c r="A218" s="124" t="s">
        <v>236</v>
      </c>
      <c r="B218" s="120"/>
      <c r="C218" s="97" t="s">
        <v>63</v>
      </c>
      <c r="D218" s="193"/>
      <c r="E218" s="97" t="s">
        <v>274</v>
      </c>
      <c r="F218" s="194" t="s">
        <v>292</v>
      </c>
      <c r="G218" s="195">
        <v>39132</v>
      </c>
      <c r="H218" s="187"/>
      <c r="I218" s="196"/>
      <c r="J218" s="197">
        <v>-30</v>
      </c>
      <c r="K218" s="198">
        <v>-6</v>
      </c>
      <c r="L218" s="199">
        <v>-36</v>
      </c>
      <c r="M218" s="126">
        <v>-30</v>
      </c>
      <c r="N218" s="102"/>
      <c r="O218" s="101">
        <f t="shared" si="50"/>
        <v>-30</v>
      </c>
      <c r="P218" s="102">
        <f t="shared" si="51"/>
        <v>-19.5</v>
      </c>
      <c r="Q218" s="102">
        <f t="shared" si="52"/>
        <v>0</v>
      </c>
      <c r="R218" s="101">
        <f t="shared" si="53"/>
        <v>-19.5</v>
      </c>
      <c r="S218" s="266" t="s">
        <v>318</v>
      </c>
      <c r="T218" s="267"/>
    </row>
    <row r="219" spans="1:20" ht="22.5" customHeight="1">
      <c r="A219" s="124" t="s">
        <v>236</v>
      </c>
      <c r="B219" s="120"/>
      <c r="C219" s="97" t="s">
        <v>63</v>
      </c>
      <c r="D219" s="193"/>
      <c r="E219" s="97" t="s">
        <v>274</v>
      </c>
      <c r="F219" s="194" t="s">
        <v>293</v>
      </c>
      <c r="G219" s="195">
        <v>39157</v>
      </c>
      <c r="H219" s="187"/>
      <c r="I219" s="196"/>
      <c r="J219" s="197">
        <v>-30</v>
      </c>
      <c r="K219" s="198">
        <v>-6</v>
      </c>
      <c r="L219" s="199">
        <v>-36</v>
      </c>
      <c r="M219" s="126">
        <v>-30</v>
      </c>
      <c r="N219" s="102"/>
      <c r="O219" s="101">
        <f t="shared" si="50"/>
        <v>-30</v>
      </c>
      <c r="P219" s="102">
        <f t="shared" si="51"/>
        <v>-19.5</v>
      </c>
      <c r="Q219" s="102">
        <f t="shared" si="52"/>
        <v>0</v>
      </c>
      <c r="R219" s="101">
        <f t="shared" si="53"/>
        <v>-19.5</v>
      </c>
      <c r="S219" s="266" t="s">
        <v>318</v>
      </c>
      <c r="T219" s="267"/>
    </row>
    <row r="220" spans="1:20" ht="22.5" customHeight="1">
      <c r="A220" s="124" t="s">
        <v>236</v>
      </c>
      <c r="B220" s="120"/>
      <c r="C220" s="97" t="s">
        <v>63</v>
      </c>
      <c r="D220" s="193"/>
      <c r="E220" s="97" t="s">
        <v>274</v>
      </c>
      <c r="F220" s="194" t="s">
        <v>294</v>
      </c>
      <c r="G220" s="195">
        <v>39157</v>
      </c>
      <c r="H220" s="187"/>
      <c r="I220" s="196"/>
      <c r="J220" s="197">
        <v>-30</v>
      </c>
      <c r="K220" s="198">
        <v>-6</v>
      </c>
      <c r="L220" s="199">
        <v>-36</v>
      </c>
      <c r="M220" s="126">
        <v>-30</v>
      </c>
      <c r="N220" s="102"/>
      <c r="O220" s="101">
        <f t="shared" si="50"/>
        <v>-30</v>
      </c>
      <c r="P220" s="102">
        <f t="shared" si="51"/>
        <v>-19.5</v>
      </c>
      <c r="Q220" s="102">
        <f t="shared" si="52"/>
        <v>0</v>
      </c>
      <c r="R220" s="101">
        <f t="shared" si="53"/>
        <v>-19.5</v>
      </c>
      <c r="S220" s="266" t="s">
        <v>318</v>
      </c>
      <c r="T220" s="267"/>
    </row>
    <row r="221" spans="1:20" ht="22.5" customHeight="1">
      <c r="A221" s="124" t="s">
        <v>236</v>
      </c>
      <c r="B221" s="120"/>
      <c r="C221" s="97" t="s">
        <v>63</v>
      </c>
      <c r="D221" s="193"/>
      <c r="E221" s="97" t="s">
        <v>274</v>
      </c>
      <c r="F221" s="194" t="s">
        <v>295</v>
      </c>
      <c r="G221" s="195">
        <v>39157</v>
      </c>
      <c r="H221" s="187"/>
      <c r="I221" s="196"/>
      <c r="J221" s="197">
        <v>-48</v>
      </c>
      <c r="K221" s="198">
        <v>-9.6</v>
      </c>
      <c r="L221" s="199">
        <v>-57.6</v>
      </c>
      <c r="M221" s="126">
        <v>-48</v>
      </c>
      <c r="N221" s="102"/>
      <c r="O221" s="101">
        <f t="shared" si="50"/>
        <v>-48</v>
      </c>
      <c r="P221" s="102">
        <f t="shared" si="51"/>
        <v>-31.200000000000003</v>
      </c>
      <c r="Q221" s="102">
        <f t="shared" si="52"/>
        <v>0</v>
      </c>
      <c r="R221" s="101">
        <f t="shared" si="53"/>
        <v>-31.200000000000003</v>
      </c>
      <c r="S221" s="266" t="s">
        <v>318</v>
      </c>
      <c r="T221" s="267"/>
    </row>
    <row r="222" spans="1:20" ht="22.5" customHeight="1">
      <c r="A222" s="124" t="s">
        <v>236</v>
      </c>
      <c r="B222" s="120"/>
      <c r="C222" s="97" t="s">
        <v>63</v>
      </c>
      <c r="D222" s="193"/>
      <c r="E222" s="97" t="s">
        <v>274</v>
      </c>
      <c r="F222" s="194" t="s">
        <v>296</v>
      </c>
      <c r="G222" s="195">
        <v>39195</v>
      </c>
      <c r="H222" s="187"/>
      <c r="I222" s="196"/>
      <c r="J222" s="197">
        <v>-24</v>
      </c>
      <c r="K222" s="198">
        <v>-4.8</v>
      </c>
      <c r="L222" s="199">
        <v>-28.8</v>
      </c>
      <c r="M222" s="126">
        <v>-28.8</v>
      </c>
      <c r="N222" s="102"/>
      <c r="O222" s="101">
        <f t="shared" si="50"/>
        <v>-28.8</v>
      </c>
      <c r="P222" s="102">
        <f t="shared" si="51"/>
        <v>-18.720000000000002</v>
      </c>
      <c r="Q222" s="102">
        <f t="shared" si="52"/>
        <v>0</v>
      </c>
      <c r="R222" s="101">
        <f t="shared" si="53"/>
        <v>-18.720000000000002</v>
      </c>
      <c r="S222" s="266" t="s">
        <v>318</v>
      </c>
      <c r="T222" s="267"/>
    </row>
    <row r="223" spans="1:20" ht="22.5" customHeight="1">
      <c r="A223" s="124" t="s">
        <v>236</v>
      </c>
      <c r="B223" s="120"/>
      <c r="C223" s="97" t="s">
        <v>63</v>
      </c>
      <c r="D223" s="193"/>
      <c r="E223" s="97" t="s">
        <v>274</v>
      </c>
      <c r="F223" s="194" t="s">
        <v>297</v>
      </c>
      <c r="G223" s="195">
        <v>39195</v>
      </c>
      <c r="H223" s="187"/>
      <c r="I223" s="196"/>
      <c r="J223" s="197">
        <v>-48</v>
      </c>
      <c r="K223" s="198">
        <v>-9.6</v>
      </c>
      <c r="L223" s="199">
        <v>-57.6</v>
      </c>
      <c r="M223" s="126">
        <v>-48</v>
      </c>
      <c r="N223" s="102"/>
      <c r="O223" s="101">
        <f t="shared" si="50"/>
        <v>-48</v>
      </c>
      <c r="P223" s="102">
        <f t="shared" si="51"/>
        <v>-31.200000000000003</v>
      </c>
      <c r="Q223" s="102">
        <f t="shared" si="52"/>
        <v>0</v>
      </c>
      <c r="R223" s="101">
        <f t="shared" si="53"/>
        <v>-31.200000000000003</v>
      </c>
      <c r="S223" s="266" t="s">
        <v>318</v>
      </c>
      <c r="T223" s="267"/>
    </row>
    <row r="224" spans="1:20" ht="22.5" customHeight="1">
      <c r="A224" s="124" t="s">
        <v>236</v>
      </c>
      <c r="B224" s="120"/>
      <c r="C224" s="97" t="s">
        <v>63</v>
      </c>
      <c r="D224" s="193"/>
      <c r="E224" s="97" t="s">
        <v>274</v>
      </c>
      <c r="F224" s="194" t="s">
        <v>298</v>
      </c>
      <c r="G224" s="195">
        <v>39195</v>
      </c>
      <c r="H224" s="187"/>
      <c r="I224" s="196"/>
      <c r="J224" s="197">
        <v>-180</v>
      </c>
      <c r="K224" s="198">
        <v>-36</v>
      </c>
      <c r="L224" s="199">
        <v>-216</v>
      </c>
      <c r="M224" s="126">
        <v>-180</v>
      </c>
      <c r="N224" s="102"/>
      <c r="O224" s="101">
        <f t="shared" si="50"/>
        <v>-180</v>
      </c>
      <c r="P224" s="102">
        <f t="shared" si="51"/>
        <v>-117</v>
      </c>
      <c r="Q224" s="102">
        <f t="shared" si="52"/>
        <v>0</v>
      </c>
      <c r="R224" s="101">
        <f t="shared" si="53"/>
        <v>-117</v>
      </c>
      <c r="S224" s="266" t="s">
        <v>318</v>
      </c>
      <c r="T224" s="267"/>
    </row>
    <row r="225" spans="1:20" ht="22.5" customHeight="1">
      <c r="A225" s="124" t="s">
        <v>236</v>
      </c>
      <c r="B225" s="120"/>
      <c r="C225" s="97" t="s">
        <v>63</v>
      </c>
      <c r="D225" s="193"/>
      <c r="E225" s="97" t="s">
        <v>274</v>
      </c>
      <c r="F225" s="194" t="s">
        <v>299</v>
      </c>
      <c r="G225" s="195">
        <v>39223</v>
      </c>
      <c r="H225" s="187"/>
      <c r="I225" s="196"/>
      <c r="J225" s="197">
        <v>-120</v>
      </c>
      <c r="K225" s="198">
        <v>-24</v>
      </c>
      <c r="L225" s="199">
        <v>-144</v>
      </c>
      <c r="M225" s="126">
        <v>-120</v>
      </c>
      <c r="N225" s="102"/>
      <c r="O225" s="101">
        <f t="shared" si="50"/>
        <v>-120</v>
      </c>
      <c r="P225" s="102">
        <f t="shared" si="51"/>
        <v>-78</v>
      </c>
      <c r="Q225" s="102">
        <f t="shared" si="52"/>
        <v>0</v>
      </c>
      <c r="R225" s="101">
        <f t="shared" si="53"/>
        <v>-78</v>
      </c>
      <c r="S225" s="266" t="s">
        <v>318</v>
      </c>
      <c r="T225" s="267"/>
    </row>
    <row r="226" spans="1:20" ht="22.5" customHeight="1">
      <c r="A226" s="124" t="s">
        <v>236</v>
      </c>
      <c r="B226" s="120"/>
      <c r="C226" s="97" t="s">
        <v>63</v>
      </c>
      <c r="D226" s="193"/>
      <c r="E226" s="97" t="s">
        <v>274</v>
      </c>
      <c r="F226" s="194" t="s">
        <v>300</v>
      </c>
      <c r="G226" s="195">
        <v>39247</v>
      </c>
      <c r="H226" s="187"/>
      <c r="I226" s="196"/>
      <c r="J226" s="197">
        <v>-6</v>
      </c>
      <c r="K226" s="198">
        <v>-1.2</v>
      </c>
      <c r="L226" s="199">
        <v>-7.2</v>
      </c>
      <c r="M226" s="126">
        <v>-6</v>
      </c>
      <c r="N226" s="102"/>
      <c r="O226" s="101">
        <f t="shared" si="50"/>
        <v>-6</v>
      </c>
      <c r="P226" s="102">
        <f t="shared" si="51"/>
        <v>-3.9000000000000004</v>
      </c>
      <c r="Q226" s="102">
        <f t="shared" si="52"/>
        <v>0</v>
      </c>
      <c r="R226" s="101">
        <f t="shared" si="53"/>
        <v>-3.9000000000000004</v>
      </c>
      <c r="S226" s="266" t="s">
        <v>318</v>
      </c>
      <c r="T226" s="267"/>
    </row>
    <row r="227" spans="1:20" ht="22.5" customHeight="1">
      <c r="A227" s="124" t="s">
        <v>236</v>
      </c>
      <c r="B227" s="120"/>
      <c r="C227" s="97" t="s">
        <v>63</v>
      </c>
      <c r="D227" s="193"/>
      <c r="E227" s="97" t="s">
        <v>274</v>
      </c>
      <c r="F227" s="194" t="s">
        <v>301</v>
      </c>
      <c r="G227" s="195">
        <v>39273</v>
      </c>
      <c r="H227" s="187"/>
      <c r="I227" s="196"/>
      <c r="J227" s="197">
        <v>-144</v>
      </c>
      <c r="K227" s="198">
        <v>-28.8</v>
      </c>
      <c r="L227" s="199">
        <v>-172.8</v>
      </c>
      <c r="M227" s="126">
        <v>-144</v>
      </c>
      <c r="N227" s="102"/>
      <c r="O227" s="101">
        <f t="shared" si="50"/>
        <v>-144</v>
      </c>
      <c r="P227" s="102">
        <f t="shared" si="51"/>
        <v>-93.60000000000001</v>
      </c>
      <c r="Q227" s="102">
        <f t="shared" si="52"/>
        <v>0</v>
      </c>
      <c r="R227" s="101">
        <f t="shared" si="53"/>
        <v>-93.60000000000001</v>
      </c>
      <c r="S227" s="266" t="s">
        <v>318</v>
      </c>
      <c r="T227" s="267"/>
    </row>
    <row r="228" spans="1:20" ht="22.5" customHeight="1">
      <c r="A228" s="124" t="s">
        <v>236</v>
      </c>
      <c r="B228" s="120"/>
      <c r="C228" s="97" t="s">
        <v>63</v>
      </c>
      <c r="D228" s="193"/>
      <c r="E228" s="97" t="s">
        <v>274</v>
      </c>
      <c r="F228" s="194" t="s">
        <v>302</v>
      </c>
      <c r="G228" s="195">
        <v>39321</v>
      </c>
      <c r="H228" s="187"/>
      <c r="I228" s="196"/>
      <c r="J228" s="197">
        <v>-30</v>
      </c>
      <c r="K228" s="198">
        <v>-6</v>
      </c>
      <c r="L228" s="199">
        <v>-36</v>
      </c>
      <c r="M228" s="126">
        <v>-30</v>
      </c>
      <c r="N228" s="102"/>
      <c r="O228" s="101">
        <f t="shared" si="50"/>
        <v>-30</v>
      </c>
      <c r="P228" s="102">
        <f t="shared" si="51"/>
        <v>-19.5</v>
      </c>
      <c r="Q228" s="102">
        <f t="shared" si="52"/>
        <v>0</v>
      </c>
      <c r="R228" s="101">
        <f t="shared" si="53"/>
        <v>-19.5</v>
      </c>
      <c r="S228" s="266" t="s">
        <v>318</v>
      </c>
      <c r="T228" s="267"/>
    </row>
    <row r="229" spans="1:20" ht="22.5" customHeight="1">
      <c r="A229" s="124" t="s">
        <v>236</v>
      </c>
      <c r="B229" s="120"/>
      <c r="C229" s="97" t="s">
        <v>63</v>
      </c>
      <c r="D229" s="193"/>
      <c r="E229" s="97" t="s">
        <v>274</v>
      </c>
      <c r="F229" s="194" t="s">
        <v>303</v>
      </c>
      <c r="G229" s="195">
        <v>39344</v>
      </c>
      <c r="H229" s="187"/>
      <c r="I229" s="196"/>
      <c r="J229" s="197">
        <v>-120</v>
      </c>
      <c r="K229" s="198">
        <v>-24</v>
      </c>
      <c r="L229" s="199">
        <v>-144</v>
      </c>
      <c r="M229" s="126">
        <v>-120</v>
      </c>
      <c r="N229" s="102"/>
      <c r="O229" s="101">
        <f t="shared" si="50"/>
        <v>-120</v>
      </c>
      <c r="P229" s="102">
        <f t="shared" si="51"/>
        <v>-78</v>
      </c>
      <c r="Q229" s="102">
        <f t="shared" si="52"/>
        <v>0</v>
      </c>
      <c r="R229" s="101">
        <f t="shared" si="53"/>
        <v>-78</v>
      </c>
      <c r="S229" s="266" t="s">
        <v>318</v>
      </c>
      <c r="T229" s="267"/>
    </row>
    <row r="230" spans="1:20" ht="22.5" customHeight="1">
      <c r="A230" s="124" t="s">
        <v>236</v>
      </c>
      <c r="B230" s="120"/>
      <c r="C230" s="97" t="s">
        <v>63</v>
      </c>
      <c r="D230" s="193"/>
      <c r="E230" s="97" t="s">
        <v>274</v>
      </c>
      <c r="F230" s="194" t="s">
        <v>304</v>
      </c>
      <c r="G230" s="195">
        <v>39377</v>
      </c>
      <c r="H230" s="187"/>
      <c r="I230" s="196"/>
      <c r="J230" s="197">
        <v>-468</v>
      </c>
      <c r="K230" s="198">
        <v>-93.6</v>
      </c>
      <c r="L230" s="199">
        <v>-561.6</v>
      </c>
      <c r="M230" s="126">
        <v>-468</v>
      </c>
      <c r="N230" s="102"/>
      <c r="O230" s="101">
        <f t="shared" si="50"/>
        <v>-468</v>
      </c>
      <c r="P230" s="102">
        <f t="shared" si="51"/>
        <v>-304.2</v>
      </c>
      <c r="Q230" s="102">
        <f t="shared" si="52"/>
        <v>0</v>
      </c>
      <c r="R230" s="101">
        <f t="shared" si="53"/>
        <v>-304.2</v>
      </c>
      <c r="S230" s="266" t="s">
        <v>318</v>
      </c>
      <c r="T230" s="267"/>
    </row>
    <row r="231" spans="1:20" ht="11.25">
      <c r="A231" s="124"/>
      <c r="B231" s="120"/>
      <c r="C231" s="121"/>
      <c r="D231" s="193"/>
      <c r="E231" s="97"/>
      <c r="F231" s="194"/>
      <c r="G231" s="195"/>
      <c r="H231" s="187"/>
      <c r="I231" s="196"/>
      <c r="J231" s="197"/>
      <c r="K231" s="198"/>
      <c r="L231" s="199"/>
      <c r="M231" s="126"/>
      <c r="N231" s="102"/>
      <c r="O231" s="101"/>
      <c r="P231" s="102"/>
      <c r="Q231" s="102"/>
      <c r="R231" s="101"/>
      <c r="S231" s="103"/>
      <c r="T231" s="103"/>
    </row>
    <row r="232" spans="1:20" ht="11.25">
      <c r="A232" s="124"/>
      <c r="B232" s="120"/>
      <c r="C232" s="121"/>
      <c r="D232" s="121"/>
      <c r="E232" s="121"/>
      <c r="F232" s="120"/>
      <c r="G232" s="187"/>
      <c r="H232" s="187"/>
      <c r="I232" s="196"/>
      <c r="J232" s="200"/>
      <c r="K232" s="198"/>
      <c r="L232" s="199"/>
      <c r="M232" s="126"/>
      <c r="N232" s="102"/>
      <c r="O232" s="101"/>
      <c r="P232" s="102"/>
      <c r="Q232" s="102"/>
      <c r="R232" s="101"/>
      <c r="S232" s="268"/>
      <c r="T232" s="268"/>
    </row>
    <row r="233" ht="11.25"/>
    <row r="234" spans="1:20" s="69" customFormat="1" ht="11.25">
      <c r="A234" s="313" t="s">
        <v>9</v>
      </c>
      <c r="B234" s="302"/>
      <c r="C234" s="302"/>
      <c r="D234" s="302"/>
      <c r="E234" s="302"/>
      <c r="F234" s="302"/>
      <c r="G234" s="302"/>
      <c r="H234" s="302"/>
      <c r="I234" s="302"/>
      <c r="J234" s="302"/>
      <c r="K234" s="302"/>
      <c r="L234" s="303"/>
      <c r="M234" s="65" t="s">
        <v>44</v>
      </c>
      <c r="N234" s="66" t="s">
        <v>45</v>
      </c>
      <c r="O234" s="66" t="s">
        <v>46</v>
      </c>
      <c r="P234" s="66" t="s">
        <v>47</v>
      </c>
      <c r="Q234" s="66" t="s">
        <v>48</v>
      </c>
      <c r="R234" s="66" t="s">
        <v>43</v>
      </c>
      <c r="S234" s="67" t="s">
        <v>25</v>
      </c>
      <c r="T234" s="68" t="s">
        <v>26</v>
      </c>
    </row>
    <row r="235" spans="1:21" ht="11.25">
      <c r="A235" s="262"/>
      <c r="B235" s="297"/>
      <c r="C235" s="304"/>
      <c r="D235" s="300"/>
      <c r="E235" s="300"/>
      <c r="F235" s="300"/>
      <c r="G235" s="300"/>
      <c r="H235" s="300"/>
      <c r="I235" s="300"/>
      <c r="J235" s="300"/>
      <c r="K235" s="305"/>
      <c r="L235" s="186" t="s">
        <v>12</v>
      </c>
      <c r="M235" s="128">
        <f>360*1000</f>
        <v>360000</v>
      </c>
      <c r="N235" s="75"/>
      <c r="O235" s="74"/>
      <c r="P235" s="75"/>
      <c r="Q235" s="75"/>
      <c r="R235" s="74"/>
      <c r="S235" s="83"/>
      <c r="T235" s="83"/>
      <c r="U235" s="38"/>
    </row>
    <row r="236" spans="1:21" ht="11.25">
      <c r="A236" s="262"/>
      <c r="B236" s="297"/>
      <c r="C236" s="77"/>
      <c r="D236" s="78"/>
      <c r="E236" s="78"/>
      <c r="F236" s="78"/>
      <c r="G236" s="78"/>
      <c r="H236" s="78"/>
      <c r="I236" s="78"/>
      <c r="J236" s="78"/>
      <c r="K236" s="79">
        <f>SUM(K248:K248)</f>
        <v>0</v>
      </c>
      <c r="L236" s="80" t="s">
        <v>28</v>
      </c>
      <c r="M236" s="81">
        <f aca="true" t="shared" si="54" ref="M236:R236">SUM(M248:M248)</f>
        <v>0</v>
      </c>
      <c r="N236" s="79">
        <f t="shared" si="54"/>
        <v>0</v>
      </c>
      <c r="O236" s="82">
        <f t="shared" si="54"/>
        <v>0</v>
      </c>
      <c r="P236" s="79">
        <f t="shared" si="54"/>
        <v>0</v>
      </c>
      <c r="Q236" s="79">
        <f t="shared" si="54"/>
        <v>0</v>
      </c>
      <c r="R236" s="82">
        <f t="shared" si="54"/>
        <v>0</v>
      </c>
      <c r="S236" s="83">
        <f>R236*0.375</f>
        <v>0</v>
      </c>
      <c r="T236" s="83">
        <f>R236-S236</f>
        <v>0</v>
      </c>
      <c r="U236" s="38"/>
    </row>
    <row r="237" spans="1:21" ht="11.25">
      <c r="A237" s="262"/>
      <c r="B237" s="297"/>
      <c r="C237" s="77"/>
      <c r="D237" s="78"/>
      <c r="E237" s="78"/>
      <c r="F237" s="78"/>
      <c r="G237" s="78"/>
      <c r="H237" s="78"/>
      <c r="I237" s="78"/>
      <c r="J237" s="78"/>
      <c r="K237" s="84"/>
      <c r="L237" s="80" t="s">
        <v>29</v>
      </c>
      <c r="M237" s="81">
        <f>+M243+M244</f>
        <v>17106</v>
      </c>
      <c r="N237" s="81">
        <f>+N243+N244</f>
        <v>0</v>
      </c>
      <c r="O237" s="82">
        <f>+N237+M237</f>
        <v>17106</v>
      </c>
      <c r="P237" s="81">
        <f>+P243+P244</f>
        <v>11118.900000000001</v>
      </c>
      <c r="Q237" s="81">
        <f>+Q243+Q244</f>
        <v>0</v>
      </c>
      <c r="R237" s="82">
        <f>+Q237+P237</f>
        <v>11118.900000000001</v>
      </c>
      <c r="S237" s="180">
        <f>R237*0.375</f>
        <v>4169.587500000001</v>
      </c>
      <c r="T237" s="83">
        <f>R237-S237</f>
        <v>6949.312500000001</v>
      </c>
      <c r="U237" s="38"/>
    </row>
    <row r="238" spans="1:21" ht="11.25">
      <c r="A238" s="262"/>
      <c r="B238" s="297"/>
      <c r="C238" s="77"/>
      <c r="D238" s="78"/>
      <c r="E238" s="78"/>
      <c r="F238" s="78"/>
      <c r="G238" s="78"/>
      <c r="H238" s="78"/>
      <c r="I238" s="78"/>
      <c r="J238" s="78"/>
      <c r="K238" s="84"/>
      <c r="L238" s="80" t="s">
        <v>189</v>
      </c>
      <c r="M238" s="81"/>
      <c r="N238" s="79"/>
      <c r="O238" s="82"/>
      <c r="P238" s="79"/>
      <c r="Q238" s="178"/>
      <c r="R238" s="179"/>
      <c r="S238" s="180">
        <f>R238*0.375</f>
        <v>0</v>
      </c>
      <c r="T238" s="83">
        <f>R238-S238</f>
        <v>0</v>
      </c>
      <c r="U238" s="38"/>
    </row>
    <row r="239" spans="1:21" ht="11.25">
      <c r="A239" s="262"/>
      <c r="B239" s="297"/>
      <c r="C239" s="77"/>
      <c r="D239" s="78"/>
      <c r="E239" s="78"/>
      <c r="F239" s="78"/>
      <c r="G239" s="78"/>
      <c r="H239" s="78"/>
      <c r="I239" s="78"/>
      <c r="J239" s="78"/>
      <c r="K239" s="84"/>
      <c r="L239" s="80" t="s">
        <v>317</v>
      </c>
      <c r="M239" s="81">
        <f>SUM(M245:M246)</f>
        <v>24637.1</v>
      </c>
      <c r="N239" s="81">
        <f>SUM(N245:N246)</f>
        <v>4927.42</v>
      </c>
      <c r="O239" s="82">
        <f>+N239+M239</f>
        <v>29564.519999999997</v>
      </c>
      <c r="P239" s="81">
        <f>SUM(P245:P246)</f>
        <v>16014.115</v>
      </c>
      <c r="Q239" s="81">
        <f>SUM(Q245:Q246)</f>
        <v>3202.8230000000003</v>
      </c>
      <c r="R239" s="82">
        <f>+Q239+P239</f>
        <v>19216.938000000002</v>
      </c>
      <c r="S239" s="180">
        <f>R239*0.375</f>
        <v>7206.351750000001</v>
      </c>
      <c r="T239" s="83">
        <f>R239-S239</f>
        <v>12010.58625</v>
      </c>
      <c r="U239" s="38"/>
    </row>
    <row r="240" spans="1:21" ht="11.25">
      <c r="A240" s="262"/>
      <c r="B240" s="297"/>
      <c r="C240" s="77"/>
      <c r="D240" s="78"/>
      <c r="E240" s="78"/>
      <c r="F240" s="78"/>
      <c r="G240" s="78"/>
      <c r="H240" s="78"/>
      <c r="I240" s="78"/>
      <c r="J240" s="78"/>
      <c r="K240" s="84"/>
      <c r="L240" s="80" t="s">
        <v>333</v>
      </c>
      <c r="M240" s="81"/>
      <c r="N240" s="79"/>
      <c r="O240" s="82"/>
      <c r="P240" s="79"/>
      <c r="Q240" s="178"/>
      <c r="R240" s="179"/>
      <c r="S240" s="181"/>
      <c r="T240" s="181"/>
      <c r="U240" s="38"/>
    </row>
    <row r="241" spans="1:21" ht="11.25">
      <c r="A241" s="298"/>
      <c r="B241" s="299"/>
      <c r="C241" s="306"/>
      <c r="D241" s="307"/>
      <c r="E241" s="307"/>
      <c r="F241" s="307"/>
      <c r="G241" s="307"/>
      <c r="H241" s="307"/>
      <c r="I241" s="307"/>
      <c r="J241" s="307"/>
      <c r="K241" s="308"/>
      <c r="L241" s="88" t="s">
        <v>13</v>
      </c>
      <c r="M241" s="89">
        <f>M235-M236-M237-M238-M239-M240</f>
        <v>318256.9</v>
      </c>
      <c r="N241" s="90"/>
      <c r="O241" s="91"/>
      <c r="P241" s="90"/>
      <c r="Q241" s="90"/>
      <c r="R241" s="91"/>
      <c r="S241" s="32"/>
      <c r="T241" s="32"/>
      <c r="U241" s="38"/>
    </row>
    <row r="242" spans="1:20" ht="22.5">
      <c r="A242" s="37" t="s">
        <v>14</v>
      </c>
      <c r="B242" s="37" t="s">
        <v>11</v>
      </c>
      <c r="C242" s="93" t="s">
        <v>24</v>
      </c>
      <c r="D242" s="93" t="s">
        <v>20</v>
      </c>
      <c r="E242" s="94" t="s">
        <v>2</v>
      </c>
      <c r="F242" s="93" t="s">
        <v>19</v>
      </c>
      <c r="G242" s="93" t="s">
        <v>18</v>
      </c>
      <c r="H242" s="94" t="s">
        <v>17</v>
      </c>
      <c r="I242" s="94" t="s">
        <v>16</v>
      </c>
      <c r="J242" s="93" t="s">
        <v>3</v>
      </c>
      <c r="K242" s="93" t="s">
        <v>4</v>
      </c>
      <c r="L242" s="95" t="s">
        <v>5</v>
      </c>
      <c r="M242" s="96" t="s">
        <v>21</v>
      </c>
      <c r="N242" s="37" t="s">
        <v>40</v>
      </c>
      <c r="O242" s="95" t="s">
        <v>41</v>
      </c>
      <c r="P242" s="37" t="s">
        <v>22</v>
      </c>
      <c r="Q242" s="37" t="s">
        <v>42</v>
      </c>
      <c r="R242" s="95" t="s">
        <v>43</v>
      </c>
      <c r="S242" s="263" t="s">
        <v>27</v>
      </c>
      <c r="T242" s="263"/>
    </row>
    <row r="243" spans="1:20" ht="22.5">
      <c r="A243" s="96" t="s">
        <v>57</v>
      </c>
      <c r="B243" s="96"/>
      <c r="C243" s="97" t="s">
        <v>63</v>
      </c>
      <c r="D243" s="201" t="s">
        <v>167</v>
      </c>
      <c r="E243" s="202" t="s">
        <v>168</v>
      </c>
      <c r="F243" s="201">
        <v>2</v>
      </c>
      <c r="G243" s="201">
        <v>38748</v>
      </c>
      <c r="H243" s="202">
        <v>38835</v>
      </c>
      <c r="I243" s="202" t="s">
        <v>53</v>
      </c>
      <c r="J243" s="99">
        <v>13468</v>
      </c>
      <c r="K243" s="99">
        <v>2693.6</v>
      </c>
      <c r="L243" s="100">
        <v>16161.6</v>
      </c>
      <c r="M243" s="242">
        <v>13468</v>
      </c>
      <c r="N243" s="225"/>
      <c r="O243" s="243">
        <f>+N243+M243</f>
        <v>13468</v>
      </c>
      <c r="P243" s="244">
        <f>+M243*0.65</f>
        <v>8754.2</v>
      </c>
      <c r="Q243" s="244"/>
      <c r="R243" s="243">
        <f>+P243+Q243</f>
        <v>8754.2</v>
      </c>
      <c r="S243" s="264"/>
      <c r="T243" s="265"/>
    </row>
    <row r="244" spans="1:20" ht="22.5" customHeight="1">
      <c r="A244" s="96" t="s">
        <v>57</v>
      </c>
      <c r="B244" s="96"/>
      <c r="C244" s="97" t="s">
        <v>63</v>
      </c>
      <c r="D244" s="201" t="s">
        <v>167</v>
      </c>
      <c r="E244" s="202" t="s">
        <v>168</v>
      </c>
      <c r="F244" s="201">
        <v>15</v>
      </c>
      <c r="G244" s="201">
        <v>38827</v>
      </c>
      <c r="H244" s="202">
        <v>38835</v>
      </c>
      <c r="I244" s="202" t="s">
        <v>53</v>
      </c>
      <c r="J244" s="99">
        <v>3638</v>
      </c>
      <c r="K244" s="99">
        <v>727.6</v>
      </c>
      <c r="L244" s="100">
        <v>4365</v>
      </c>
      <c r="M244" s="242">
        <v>3638</v>
      </c>
      <c r="N244" s="225"/>
      <c r="O244" s="243">
        <f>+N244+M244</f>
        <v>3638</v>
      </c>
      <c r="P244" s="244">
        <f>+M244*0.65</f>
        <v>2364.7000000000003</v>
      </c>
      <c r="Q244" s="244"/>
      <c r="R244" s="243">
        <f>+P244+Q244</f>
        <v>2364.7000000000003</v>
      </c>
      <c r="S244" s="264"/>
      <c r="T244" s="265"/>
    </row>
    <row r="245" spans="1:20" ht="22.5" customHeight="1">
      <c r="A245" s="124" t="s">
        <v>236</v>
      </c>
      <c r="B245" s="120"/>
      <c r="C245" s="97" t="s">
        <v>93</v>
      </c>
      <c r="D245" s="201" t="s">
        <v>246</v>
      </c>
      <c r="E245" s="202" t="s">
        <v>244</v>
      </c>
      <c r="F245" s="201">
        <v>107</v>
      </c>
      <c r="G245" s="201">
        <v>39139</v>
      </c>
      <c r="H245" s="202">
        <v>39170</v>
      </c>
      <c r="I245" s="202" t="s">
        <v>247</v>
      </c>
      <c r="J245" s="99">
        <v>7675</v>
      </c>
      <c r="K245" s="99">
        <v>1535</v>
      </c>
      <c r="L245" s="100">
        <v>9210</v>
      </c>
      <c r="M245" s="99">
        <v>7675</v>
      </c>
      <c r="N245" s="99">
        <v>1535</v>
      </c>
      <c r="O245" s="243">
        <f>+N245+M245</f>
        <v>9210</v>
      </c>
      <c r="P245" s="244">
        <f>+M245*0.65</f>
        <v>4988.75</v>
      </c>
      <c r="Q245" s="244">
        <f>+N245*0.65</f>
        <v>997.75</v>
      </c>
      <c r="R245" s="243">
        <f>+P245+Q245</f>
        <v>5986.5</v>
      </c>
      <c r="S245" s="236"/>
      <c r="T245" s="237"/>
    </row>
    <row r="246" spans="1:20" ht="22.5" customHeight="1">
      <c r="A246" s="124" t="s">
        <v>236</v>
      </c>
      <c r="B246" s="120"/>
      <c r="C246" s="97" t="s">
        <v>89</v>
      </c>
      <c r="D246" s="201" t="s">
        <v>313</v>
      </c>
      <c r="E246" s="202" t="s">
        <v>311</v>
      </c>
      <c r="F246" s="201" t="s">
        <v>312</v>
      </c>
      <c r="G246" s="201">
        <v>39206</v>
      </c>
      <c r="H246" s="202">
        <v>39231</v>
      </c>
      <c r="I246" s="202" t="s">
        <v>247</v>
      </c>
      <c r="J246" s="99">
        <v>16962.1</v>
      </c>
      <c r="K246" s="99">
        <v>3392.42</v>
      </c>
      <c r="L246" s="100">
        <v>20354.52</v>
      </c>
      <c r="M246" s="99">
        <v>16962.1</v>
      </c>
      <c r="N246" s="99">
        <v>3392.42</v>
      </c>
      <c r="O246" s="243">
        <f>+N246+M246</f>
        <v>20354.519999999997</v>
      </c>
      <c r="P246" s="244">
        <f>+M246*0.65</f>
        <v>11025.365</v>
      </c>
      <c r="Q246" s="244">
        <f>+N246*0.65</f>
        <v>2205.0730000000003</v>
      </c>
      <c r="R246" s="243">
        <f>+P246+Q246</f>
        <v>13230.438</v>
      </c>
      <c r="S246" s="236"/>
      <c r="T246" s="237"/>
    </row>
    <row r="247" spans="1:20" ht="22.5" customHeight="1">
      <c r="A247" s="124"/>
      <c r="B247" s="120"/>
      <c r="C247" s="97"/>
      <c r="D247" s="201"/>
      <c r="E247" s="202"/>
      <c r="F247" s="201"/>
      <c r="G247" s="201"/>
      <c r="H247" s="202"/>
      <c r="I247" s="202"/>
      <c r="J247" s="203"/>
      <c r="K247" s="203"/>
      <c r="L247" s="204"/>
      <c r="M247" s="205"/>
      <c r="N247" s="37"/>
      <c r="O247" s="206"/>
      <c r="P247" s="207"/>
      <c r="Q247" s="207"/>
      <c r="R247" s="206"/>
      <c r="S247" s="236"/>
      <c r="T247" s="237"/>
    </row>
    <row r="248" spans="1:20" ht="11.25">
      <c r="A248" s="185"/>
      <c r="B248" s="120"/>
      <c r="C248" s="121"/>
      <c r="D248" s="121"/>
      <c r="E248" s="121"/>
      <c r="F248" s="121"/>
      <c r="G248" s="122"/>
      <c r="H248" s="123"/>
      <c r="I248" s="123"/>
      <c r="J248" s="102"/>
      <c r="K248" s="102"/>
      <c r="L248" s="101"/>
      <c r="M248" s="126"/>
      <c r="N248" s="102"/>
      <c r="O248" s="101"/>
      <c r="P248" s="102"/>
      <c r="Q248" s="102"/>
      <c r="R248" s="101"/>
      <c r="S248" s="268"/>
      <c r="T248" s="268"/>
    </row>
    <row r="249" ht="11.25"/>
    <row r="250" spans="1:20" s="69" customFormat="1" ht="11.25">
      <c r="A250" s="313" t="s">
        <v>10</v>
      </c>
      <c r="B250" s="302"/>
      <c r="C250" s="302"/>
      <c r="D250" s="302"/>
      <c r="E250" s="302"/>
      <c r="F250" s="302"/>
      <c r="G250" s="302"/>
      <c r="H250" s="302"/>
      <c r="I250" s="302"/>
      <c r="J250" s="302"/>
      <c r="K250" s="302"/>
      <c r="L250" s="303"/>
      <c r="M250" s="65" t="s">
        <v>44</v>
      </c>
      <c r="N250" s="66" t="s">
        <v>45</v>
      </c>
      <c r="O250" s="66" t="s">
        <v>46</v>
      </c>
      <c r="P250" s="66" t="s">
        <v>47</v>
      </c>
      <c r="Q250" s="66" t="s">
        <v>48</v>
      </c>
      <c r="R250" s="66" t="s">
        <v>43</v>
      </c>
      <c r="S250" s="67" t="s">
        <v>25</v>
      </c>
      <c r="T250" s="68" t="s">
        <v>26</v>
      </c>
    </row>
    <row r="251" spans="1:21" ht="11.25">
      <c r="A251" s="309"/>
      <c r="B251" s="310"/>
      <c r="C251" s="304"/>
      <c r="D251" s="300"/>
      <c r="E251" s="300"/>
      <c r="F251" s="300"/>
      <c r="G251" s="300"/>
      <c r="H251" s="300"/>
      <c r="I251" s="300"/>
      <c r="J251" s="300"/>
      <c r="K251" s="305"/>
      <c r="L251" s="186" t="s">
        <v>12</v>
      </c>
      <c r="M251" s="128">
        <f>161.013*1000+192*1000</f>
        <v>353013</v>
      </c>
      <c r="N251" s="75">
        <f>M251*0.2</f>
        <v>70602.6</v>
      </c>
      <c r="O251" s="74">
        <f>SUM(M251:N251)</f>
        <v>423615.6</v>
      </c>
      <c r="P251" s="75">
        <f>M251*0.65</f>
        <v>229458.45</v>
      </c>
      <c r="Q251" s="75">
        <f>P251*0.2</f>
        <v>45891.69</v>
      </c>
      <c r="R251" s="74">
        <f>SUM(P251:Q251)</f>
        <v>275350.14</v>
      </c>
      <c r="S251" s="83"/>
      <c r="T251" s="83"/>
      <c r="U251" s="38"/>
    </row>
    <row r="252" spans="1:21" ht="11.25">
      <c r="A252" s="309"/>
      <c r="B252" s="310"/>
      <c r="C252" s="77"/>
      <c r="D252" s="78"/>
      <c r="E252" s="78"/>
      <c r="F252" s="78"/>
      <c r="G252" s="78"/>
      <c r="H252" s="78"/>
      <c r="I252" s="78"/>
      <c r="J252" s="78"/>
      <c r="K252" s="79"/>
      <c r="L252" s="80" t="s">
        <v>28</v>
      </c>
      <c r="M252" s="81">
        <f aca="true" t="shared" si="55" ref="M252:R252">+M259</f>
        <v>4125</v>
      </c>
      <c r="N252" s="81">
        <f t="shared" si="55"/>
        <v>0</v>
      </c>
      <c r="O252" s="82">
        <f t="shared" si="55"/>
        <v>4125</v>
      </c>
      <c r="P252" s="81">
        <f t="shared" si="55"/>
        <v>2681.25</v>
      </c>
      <c r="Q252" s="81">
        <f t="shared" si="55"/>
        <v>0</v>
      </c>
      <c r="R252" s="82">
        <f t="shared" si="55"/>
        <v>2681.25</v>
      </c>
      <c r="S252" s="83">
        <f>R252*0.375</f>
        <v>1005.46875</v>
      </c>
      <c r="T252" s="83">
        <f>R252-S252</f>
        <v>1675.78125</v>
      </c>
      <c r="U252" s="38"/>
    </row>
    <row r="253" spans="1:21" ht="11.25">
      <c r="A253" s="309"/>
      <c r="B253" s="310"/>
      <c r="C253" s="77"/>
      <c r="D253" s="78"/>
      <c r="E253" s="78"/>
      <c r="F253" s="78"/>
      <c r="G253" s="78"/>
      <c r="H253" s="78"/>
      <c r="I253" s="78"/>
      <c r="J253" s="78"/>
      <c r="K253" s="84"/>
      <c r="L253" s="80" t="s">
        <v>29</v>
      </c>
      <c r="M253" s="81">
        <f>SUM(M260:M266)</f>
        <v>34017.18</v>
      </c>
      <c r="N253" s="81">
        <f>SUM(N260:N266)</f>
        <v>0</v>
      </c>
      <c r="O253" s="82">
        <f>+N253+M253</f>
        <v>34017.18</v>
      </c>
      <c r="P253" s="81">
        <f>SUM(P260:P266)</f>
        <v>22111.167</v>
      </c>
      <c r="Q253" s="81">
        <f>SUM(Q260:Q266)</f>
        <v>0</v>
      </c>
      <c r="R253" s="82">
        <f>+Q253+P253</f>
        <v>22111.167</v>
      </c>
      <c r="S253" s="83">
        <f>R253*0.375</f>
        <v>8291.687625</v>
      </c>
      <c r="T253" s="83">
        <f>R253-S253</f>
        <v>13819.479375</v>
      </c>
      <c r="U253" s="38"/>
    </row>
    <row r="254" spans="1:21" ht="11.25">
      <c r="A254" s="309"/>
      <c r="B254" s="310"/>
      <c r="C254" s="77"/>
      <c r="D254" s="78"/>
      <c r="E254" s="78"/>
      <c r="F254" s="78"/>
      <c r="G254" s="78"/>
      <c r="H254" s="78"/>
      <c r="I254" s="78"/>
      <c r="J254" s="78"/>
      <c r="K254" s="84"/>
      <c r="L254" s="80" t="s">
        <v>189</v>
      </c>
      <c r="M254" s="81">
        <f>SUM(M267:M283)</f>
        <v>30205.160000000003</v>
      </c>
      <c r="N254" s="81">
        <f>SUM(N267:N283)</f>
        <v>0</v>
      </c>
      <c r="O254" s="82">
        <f>+N254+M254</f>
        <v>30205.160000000003</v>
      </c>
      <c r="P254" s="81">
        <f>SUM(P267:P283)</f>
        <v>19633.354</v>
      </c>
      <c r="Q254" s="81">
        <f>SUM(Q267:Q283)</f>
        <v>0</v>
      </c>
      <c r="R254" s="82">
        <f>+Q254+P254</f>
        <v>19633.354</v>
      </c>
      <c r="S254" s="83">
        <f>R254*0.375</f>
        <v>7362.50775</v>
      </c>
      <c r="T254" s="83">
        <f>R254-S254</f>
        <v>12270.846249999999</v>
      </c>
      <c r="U254" s="38"/>
    </row>
    <row r="255" spans="1:21" ht="11.25">
      <c r="A255" s="309"/>
      <c r="B255" s="310"/>
      <c r="C255" s="77"/>
      <c r="D255" s="78"/>
      <c r="E255" s="78"/>
      <c r="F255" s="78"/>
      <c r="G255" s="78"/>
      <c r="H255" s="78"/>
      <c r="I255" s="78"/>
      <c r="J255" s="78"/>
      <c r="K255" s="84"/>
      <c r="L255" s="80" t="s">
        <v>317</v>
      </c>
      <c r="M255" s="81">
        <f>SUM(M284:M298)</f>
        <v>12721.350000000002</v>
      </c>
      <c r="N255" s="81">
        <f>SUM(N284:N298)</f>
        <v>6.99</v>
      </c>
      <c r="O255" s="82">
        <f>+N255+M255</f>
        <v>12728.340000000002</v>
      </c>
      <c r="P255" s="81">
        <f>SUM(P284:P298)</f>
        <v>8268.8775</v>
      </c>
      <c r="Q255" s="81">
        <f>SUM(Q284:Q298)</f>
        <v>4.5435</v>
      </c>
      <c r="R255" s="82">
        <f>+Q255+P255</f>
        <v>8273.421</v>
      </c>
      <c r="S255" s="83">
        <f>R255*0.375</f>
        <v>3102.532875</v>
      </c>
      <c r="T255" s="83">
        <f>R255-S255</f>
        <v>5170.888125</v>
      </c>
      <c r="U255" s="38"/>
    </row>
    <row r="256" spans="1:21" ht="11.25">
      <c r="A256" s="309"/>
      <c r="B256" s="310"/>
      <c r="C256" s="77"/>
      <c r="D256" s="78"/>
      <c r="E256" s="78"/>
      <c r="F256" s="78"/>
      <c r="G256" s="78"/>
      <c r="H256" s="78"/>
      <c r="I256" s="78"/>
      <c r="J256" s="78"/>
      <c r="K256" s="84"/>
      <c r="L256" s="80" t="s">
        <v>333</v>
      </c>
      <c r="M256" s="81"/>
      <c r="N256" s="79"/>
      <c r="O256" s="82"/>
      <c r="P256" s="79"/>
      <c r="Q256" s="178"/>
      <c r="R256" s="179"/>
      <c r="S256" s="83">
        <f>R256*0.375</f>
        <v>0</v>
      </c>
      <c r="T256" s="83">
        <f>R256-S256</f>
        <v>0</v>
      </c>
      <c r="U256" s="38"/>
    </row>
    <row r="257" spans="1:21" ht="11.25">
      <c r="A257" s="311"/>
      <c r="B257" s="312"/>
      <c r="C257" s="306"/>
      <c r="D257" s="307"/>
      <c r="E257" s="307"/>
      <c r="F257" s="307"/>
      <c r="G257" s="307"/>
      <c r="H257" s="307"/>
      <c r="I257" s="307"/>
      <c r="J257" s="307"/>
      <c r="K257" s="308"/>
      <c r="L257" s="88" t="s">
        <v>13</v>
      </c>
      <c r="M257" s="89">
        <f>M251-M252-M253-M254-M255-M256</f>
        <v>271944.31000000006</v>
      </c>
      <c r="N257" s="90"/>
      <c r="O257" s="91"/>
      <c r="P257" s="90"/>
      <c r="Q257" s="90"/>
      <c r="R257" s="91"/>
      <c r="S257" s="32"/>
      <c r="T257" s="32"/>
      <c r="U257" s="38"/>
    </row>
    <row r="258" spans="1:20" ht="22.5">
      <c r="A258" s="208" t="s">
        <v>14</v>
      </c>
      <c r="B258" s="208" t="s">
        <v>11</v>
      </c>
      <c r="C258" s="209" t="s">
        <v>24</v>
      </c>
      <c r="D258" s="209" t="s">
        <v>20</v>
      </c>
      <c r="E258" s="210" t="s">
        <v>2</v>
      </c>
      <c r="F258" s="209" t="s">
        <v>19</v>
      </c>
      <c r="G258" s="209" t="s">
        <v>18</v>
      </c>
      <c r="H258" s="210" t="s">
        <v>17</v>
      </c>
      <c r="I258" s="210" t="s">
        <v>16</v>
      </c>
      <c r="J258" s="209" t="s">
        <v>3</v>
      </c>
      <c r="K258" s="209" t="s">
        <v>4</v>
      </c>
      <c r="L258" s="211" t="s">
        <v>5</v>
      </c>
      <c r="M258" s="96" t="s">
        <v>21</v>
      </c>
      <c r="N258" s="37" t="s">
        <v>40</v>
      </c>
      <c r="O258" s="95" t="s">
        <v>41</v>
      </c>
      <c r="P258" s="37" t="s">
        <v>22</v>
      </c>
      <c r="Q258" s="37" t="s">
        <v>42</v>
      </c>
      <c r="R258" s="95" t="s">
        <v>43</v>
      </c>
      <c r="S258" s="263" t="s">
        <v>27</v>
      </c>
      <c r="T258" s="263"/>
    </row>
    <row r="259" spans="1:20" s="144" customFormat="1" ht="31.5" customHeight="1">
      <c r="A259" s="212" t="s">
        <v>15</v>
      </c>
      <c r="B259" s="212"/>
      <c r="C259" s="97" t="s">
        <v>50</v>
      </c>
      <c r="D259" s="213" t="s">
        <v>54</v>
      </c>
      <c r="E259" s="136" t="s">
        <v>55</v>
      </c>
      <c r="F259" s="136" t="s">
        <v>56</v>
      </c>
      <c r="G259" s="138">
        <v>38337</v>
      </c>
      <c r="H259" s="138">
        <v>38401</v>
      </c>
      <c r="I259" s="103" t="s">
        <v>61</v>
      </c>
      <c r="J259" s="214">
        <v>4125</v>
      </c>
      <c r="K259" s="139"/>
      <c r="L259" s="140">
        <f>+J259+K259</f>
        <v>4125</v>
      </c>
      <c r="M259" s="214">
        <v>4125</v>
      </c>
      <c r="N259" s="139"/>
      <c r="O259" s="100">
        <f>SUM(M259:N259)</f>
        <v>4125</v>
      </c>
      <c r="P259" s="215">
        <f>M259*0.65</f>
        <v>2681.25</v>
      </c>
      <c r="Q259" s="215">
        <f>N259*0.65</f>
        <v>0</v>
      </c>
      <c r="R259" s="100">
        <f>SUM(P259:Q259)</f>
        <v>2681.25</v>
      </c>
      <c r="S259" s="268" t="s">
        <v>101</v>
      </c>
      <c r="T259" s="268"/>
    </row>
    <row r="260" spans="1:20" s="144" customFormat="1" ht="25.5" customHeight="1">
      <c r="A260" s="212" t="s">
        <v>57</v>
      </c>
      <c r="B260" s="212"/>
      <c r="C260" s="97" t="s">
        <v>50</v>
      </c>
      <c r="D260" s="213" t="s">
        <v>54</v>
      </c>
      <c r="E260" s="136" t="s">
        <v>55</v>
      </c>
      <c r="F260" s="136" t="s">
        <v>56</v>
      </c>
      <c r="G260" s="138">
        <v>38337</v>
      </c>
      <c r="H260" s="138">
        <v>38401</v>
      </c>
      <c r="I260" s="216"/>
      <c r="J260" s="217"/>
      <c r="K260" s="217"/>
      <c r="L260" s="218"/>
      <c r="M260" s="214">
        <v>-458.34</v>
      </c>
      <c r="N260" s="217"/>
      <c r="O260" s="100">
        <f>SUM(M260:N260)</f>
        <v>-458.34</v>
      </c>
      <c r="P260" s="215">
        <f>M260*0.65</f>
        <v>-297.921</v>
      </c>
      <c r="Q260" s="215">
        <f>N260*0.65</f>
        <v>0</v>
      </c>
      <c r="R260" s="100">
        <f>SUM(P260:Q260)</f>
        <v>-297.921</v>
      </c>
      <c r="S260" s="268" t="s">
        <v>102</v>
      </c>
      <c r="T260" s="268"/>
    </row>
    <row r="261" spans="1:20" s="144" customFormat="1" ht="26.25" customHeight="1">
      <c r="A261" s="212" t="s">
        <v>57</v>
      </c>
      <c r="B261" s="212"/>
      <c r="C261" s="97" t="s">
        <v>50</v>
      </c>
      <c r="D261" s="219" t="s">
        <v>145</v>
      </c>
      <c r="E261" s="220" t="s">
        <v>146</v>
      </c>
      <c r="F261" s="220">
        <v>28</v>
      </c>
      <c r="G261" s="221">
        <v>38558</v>
      </c>
      <c r="H261" s="221">
        <v>38568</v>
      </c>
      <c r="I261" s="103" t="s">
        <v>61</v>
      </c>
      <c r="J261" s="222">
        <v>600</v>
      </c>
      <c r="K261" s="222">
        <v>124.8</v>
      </c>
      <c r="L261" s="223">
        <v>748.8</v>
      </c>
      <c r="M261" s="222">
        <v>600</v>
      </c>
      <c r="N261" s="217"/>
      <c r="O261" s="100">
        <f aca="true" t="shared" si="56" ref="O261:O267">+N261+M261</f>
        <v>600</v>
      </c>
      <c r="P261" s="215">
        <f aca="true" t="shared" si="57" ref="P261:P267">M261*0.65</f>
        <v>390</v>
      </c>
      <c r="Q261" s="215"/>
      <c r="R261" s="100">
        <f aca="true" t="shared" si="58" ref="R261:R267">+Q261+P261</f>
        <v>390</v>
      </c>
      <c r="S261" s="264"/>
      <c r="T261" s="265"/>
    </row>
    <row r="262" spans="1:20" s="144" customFormat="1" ht="29.25" customHeight="1">
      <c r="A262" s="212" t="s">
        <v>57</v>
      </c>
      <c r="B262" s="212"/>
      <c r="C262" s="97" t="s">
        <v>50</v>
      </c>
      <c r="D262" s="219" t="s">
        <v>145</v>
      </c>
      <c r="E262" s="220" t="s">
        <v>146</v>
      </c>
      <c r="F262" s="220">
        <v>7</v>
      </c>
      <c r="G262" s="221">
        <v>38736</v>
      </c>
      <c r="H262" s="221">
        <v>38743</v>
      </c>
      <c r="I262" s="103" t="s">
        <v>61</v>
      </c>
      <c r="J262" s="222">
        <v>600</v>
      </c>
      <c r="K262" s="222">
        <v>124.8</v>
      </c>
      <c r="L262" s="223">
        <v>748.8</v>
      </c>
      <c r="M262" s="222">
        <v>600</v>
      </c>
      <c r="N262" s="217"/>
      <c r="O262" s="100">
        <f t="shared" si="56"/>
        <v>600</v>
      </c>
      <c r="P262" s="215">
        <f t="shared" si="57"/>
        <v>390</v>
      </c>
      <c r="Q262" s="215"/>
      <c r="R262" s="100">
        <f t="shared" si="58"/>
        <v>390</v>
      </c>
      <c r="S262" s="264"/>
      <c r="T262" s="265"/>
    </row>
    <row r="263" spans="1:20" s="144" customFormat="1" ht="25.5" customHeight="1">
      <c r="A263" s="212" t="s">
        <v>57</v>
      </c>
      <c r="B263" s="212"/>
      <c r="C263" s="97" t="s">
        <v>50</v>
      </c>
      <c r="D263" s="213" t="s">
        <v>54</v>
      </c>
      <c r="E263" s="220" t="s">
        <v>147</v>
      </c>
      <c r="F263" s="220">
        <v>42582478</v>
      </c>
      <c r="G263" s="221">
        <v>38700</v>
      </c>
      <c r="H263" s="221">
        <v>38722</v>
      </c>
      <c r="I263" s="103" t="s">
        <v>61</v>
      </c>
      <c r="J263" s="222">
        <v>4497.19</v>
      </c>
      <c r="K263" s="222"/>
      <c r="L263" s="223">
        <v>4497.19</v>
      </c>
      <c r="M263" s="222">
        <v>4497.19</v>
      </c>
      <c r="N263" s="217"/>
      <c r="O263" s="100">
        <f t="shared" si="56"/>
        <v>4497.19</v>
      </c>
      <c r="P263" s="215">
        <f t="shared" si="57"/>
        <v>2923.1735</v>
      </c>
      <c r="Q263" s="215"/>
      <c r="R263" s="100">
        <f t="shared" si="58"/>
        <v>2923.1735</v>
      </c>
      <c r="S263" s="264" t="s">
        <v>204</v>
      </c>
      <c r="T263" s="265"/>
    </row>
    <row r="264" spans="1:20" s="144" customFormat="1" ht="30.75" customHeight="1">
      <c r="A264" s="165" t="s">
        <v>57</v>
      </c>
      <c r="B264" s="165"/>
      <c r="C264" s="97" t="s">
        <v>63</v>
      </c>
      <c r="D264" s="219" t="s">
        <v>169</v>
      </c>
      <c r="E264" s="220" t="s">
        <v>146</v>
      </c>
      <c r="F264" s="220">
        <v>27</v>
      </c>
      <c r="G264" s="221">
        <v>38558</v>
      </c>
      <c r="H264" s="221">
        <v>38568</v>
      </c>
      <c r="I264" s="103" t="s">
        <v>61</v>
      </c>
      <c r="J264" s="222">
        <v>1800</v>
      </c>
      <c r="K264" s="222">
        <v>374.4</v>
      </c>
      <c r="L264" s="223">
        <v>2246.4</v>
      </c>
      <c r="M264" s="222">
        <v>1800</v>
      </c>
      <c r="N264" s="217"/>
      <c r="O264" s="100">
        <f t="shared" si="56"/>
        <v>1800</v>
      </c>
      <c r="P264" s="215">
        <f t="shared" si="57"/>
        <v>1170</v>
      </c>
      <c r="Q264" s="215"/>
      <c r="R264" s="100">
        <f t="shared" si="58"/>
        <v>1170</v>
      </c>
      <c r="S264" s="266" t="s">
        <v>234</v>
      </c>
      <c r="T264" s="267"/>
    </row>
    <row r="265" spans="1:20" s="144" customFormat="1" ht="27.75" customHeight="1">
      <c r="A265" s="165" t="s">
        <v>57</v>
      </c>
      <c r="B265" s="165"/>
      <c r="C265" s="97" t="s">
        <v>63</v>
      </c>
      <c r="D265" s="219" t="s">
        <v>169</v>
      </c>
      <c r="E265" s="220" t="s">
        <v>146</v>
      </c>
      <c r="F265" s="220">
        <v>6</v>
      </c>
      <c r="G265" s="221">
        <v>38736</v>
      </c>
      <c r="H265" s="221">
        <v>38740</v>
      </c>
      <c r="I265" s="103" t="s">
        <v>61</v>
      </c>
      <c r="J265" s="222">
        <v>1800</v>
      </c>
      <c r="K265" s="222">
        <v>374.4</v>
      </c>
      <c r="L265" s="223">
        <v>2174.4</v>
      </c>
      <c r="M265" s="222">
        <v>1800</v>
      </c>
      <c r="N265" s="217"/>
      <c r="O265" s="100">
        <f t="shared" si="56"/>
        <v>1800</v>
      </c>
      <c r="P265" s="215">
        <f t="shared" si="57"/>
        <v>1170</v>
      </c>
      <c r="Q265" s="215"/>
      <c r="R265" s="100">
        <f t="shared" si="58"/>
        <v>1170</v>
      </c>
      <c r="S265" s="266" t="s">
        <v>234</v>
      </c>
      <c r="T265" s="267"/>
    </row>
    <row r="266" spans="1:20" s="144" customFormat="1" ht="22.5" customHeight="1">
      <c r="A266" s="165" t="s">
        <v>57</v>
      </c>
      <c r="B266" s="165" t="s">
        <v>201</v>
      </c>
      <c r="C266" s="97" t="s">
        <v>63</v>
      </c>
      <c r="D266" s="219" t="s">
        <v>170</v>
      </c>
      <c r="E266" s="220" t="s">
        <v>69</v>
      </c>
      <c r="F266" s="220">
        <v>37</v>
      </c>
      <c r="G266" s="221">
        <v>38676</v>
      </c>
      <c r="H266" s="221">
        <v>38680</v>
      </c>
      <c r="I266" s="103" t="s">
        <v>61</v>
      </c>
      <c r="J266" s="215">
        <v>25178.33</v>
      </c>
      <c r="K266" s="215">
        <v>5035.666000000001</v>
      </c>
      <c r="L266" s="224">
        <v>30213.996000000003</v>
      </c>
      <c r="M266" s="215">
        <v>25178.33</v>
      </c>
      <c r="N266" s="225"/>
      <c r="O266" s="100">
        <f t="shared" si="56"/>
        <v>25178.33</v>
      </c>
      <c r="P266" s="215">
        <f t="shared" si="57"/>
        <v>16365.914500000003</v>
      </c>
      <c r="Q266" s="215"/>
      <c r="R266" s="100">
        <f t="shared" si="58"/>
        <v>16365.914500000003</v>
      </c>
      <c r="S266" s="264"/>
      <c r="T266" s="265"/>
    </row>
    <row r="267" spans="1:20" s="144" customFormat="1" ht="22.5" customHeight="1">
      <c r="A267" s="212" t="s">
        <v>183</v>
      </c>
      <c r="B267" s="226"/>
      <c r="C267" s="97" t="s">
        <v>50</v>
      </c>
      <c r="D267" s="213" t="s">
        <v>54</v>
      </c>
      <c r="E267" s="220" t="s">
        <v>147</v>
      </c>
      <c r="F267" s="220">
        <v>42582478</v>
      </c>
      <c r="G267" s="221">
        <v>38700</v>
      </c>
      <c r="H267" s="221">
        <v>38722</v>
      </c>
      <c r="I267" s="103" t="s">
        <v>61</v>
      </c>
      <c r="J267" s="222">
        <v>4497.19</v>
      </c>
      <c r="K267" s="222"/>
      <c r="L267" s="223">
        <v>4497.19</v>
      </c>
      <c r="M267" s="215">
        <v>-499.69</v>
      </c>
      <c r="N267" s="225"/>
      <c r="O267" s="100">
        <f t="shared" si="56"/>
        <v>-499.69</v>
      </c>
      <c r="P267" s="215">
        <f t="shared" si="57"/>
        <v>-324.7985</v>
      </c>
      <c r="Q267" s="215"/>
      <c r="R267" s="100">
        <f t="shared" si="58"/>
        <v>-324.7985</v>
      </c>
      <c r="S267" s="264" t="s">
        <v>205</v>
      </c>
      <c r="T267" s="265"/>
    </row>
    <row r="268" spans="1:20" s="144" customFormat="1" ht="44.25" customHeight="1">
      <c r="A268" s="212" t="s">
        <v>183</v>
      </c>
      <c r="B268" s="212"/>
      <c r="C268" s="97" t="s">
        <v>63</v>
      </c>
      <c r="D268" s="227" t="s">
        <v>193</v>
      </c>
      <c r="E268" s="220" t="s">
        <v>69</v>
      </c>
      <c r="F268" s="220">
        <v>69</v>
      </c>
      <c r="G268" s="221">
        <v>38993</v>
      </c>
      <c r="H268" s="221">
        <v>39430</v>
      </c>
      <c r="I268" s="103" t="s">
        <v>61</v>
      </c>
      <c r="J268" s="215">
        <v>3097.49</v>
      </c>
      <c r="K268" s="215">
        <f>+J268*0.2</f>
        <v>619.498</v>
      </c>
      <c r="L268" s="224">
        <f>+K268+J268</f>
        <v>3716.988</v>
      </c>
      <c r="M268" s="215">
        <v>3097.49</v>
      </c>
      <c r="N268" s="215"/>
      <c r="O268" s="224">
        <f>+N268+M268</f>
        <v>3097.49</v>
      </c>
      <c r="P268" s="215">
        <f>M268*0.65</f>
        <v>2013.3685</v>
      </c>
      <c r="Q268" s="215"/>
      <c r="R268" s="100">
        <f>+Q268+P268</f>
        <v>2013.3685</v>
      </c>
      <c r="S268" s="266"/>
      <c r="T268" s="267"/>
    </row>
    <row r="269" spans="1:20" s="144" customFormat="1" ht="44.25" customHeight="1">
      <c r="A269" s="212" t="s">
        <v>183</v>
      </c>
      <c r="B269" s="212"/>
      <c r="C269" s="97" t="s">
        <v>63</v>
      </c>
      <c r="D269" s="227" t="s">
        <v>193</v>
      </c>
      <c r="E269" s="220" t="s">
        <v>69</v>
      </c>
      <c r="F269" s="220">
        <v>71</v>
      </c>
      <c r="G269" s="221">
        <v>38993</v>
      </c>
      <c r="H269" s="221">
        <v>39430</v>
      </c>
      <c r="I269" s="103" t="s">
        <v>61</v>
      </c>
      <c r="J269" s="215">
        <v>1527.48</v>
      </c>
      <c r="K269" s="215">
        <f>+J269*0.2</f>
        <v>305.49600000000004</v>
      </c>
      <c r="L269" s="224">
        <f>+K269+J269</f>
        <v>1832.976</v>
      </c>
      <c r="M269" s="215">
        <v>3097.49</v>
      </c>
      <c r="N269" s="215"/>
      <c r="O269" s="224">
        <f>+N269+M269</f>
        <v>3097.49</v>
      </c>
      <c r="P269" s="215">
        <f>M269*0.65</f>
        <v>2013.3685</v>
      </c>
      <c r="Q269" s="215"/>
      <c r="R269" s="100">
        <f>+Q269+P269</f>
        <v>2013.3685</v>
      </c>
      <c r="S269" s="266"/>
      <c r="T269" s="267"/>
    </row>
    <row r="270" spans="1:20" s="144" customFormat="1" ht="22.5" customHeight="1">
      <c r="A270" s="212" t="s">
        <v>183</v>
      </c>
      <c r="B270" s="212"/>
      <c r="C270" s="97" t="s">
        <v>63</v>
      </c>
      <c r="D270" s="227" t="s">
        <v>145</v>
      </c>
      <c r="E270" s="220" t="s">
        <v>146</v>
      </c>
      <c r="F270" s="220">
        <v>62</v>
      </c>
      <c r="G270" s="221">
        <v>39396</v>
      </c>
      <c r="H270" s="221">
        <v>39437</v>
      </c>
      <c r="I270" s="103" t="s">
        <v>61</v>
      </c>
      <c r="J270" s="215">
        <f>3300+132</f>
        <v>3432</v>
      </c>
      <c r="K270" s="215">
        <f>+J270*0.2</f>
        <v>686.4000000000001</v>
      </c>
      <c r="L270" s="224">
        <f>+K270+J270</f>
        <v>4118.4</v>
      </c>
      <c r="M270" s="215">
        <f>+J270</f>
        <v>3432</v>
      </c>
      <c r="N270" s="225"/>
      <c r="O270" s="100">
        <f aca="true" t="shared" si="59" ref="O270:O280">+N270+M270</f>
        <v>3432</v>
      </c>
      <c r="P270" s="215">
        <f aca="true" t="shared" si="60" ref="P270:P280">M270*0.65</f>
        <v>2230.8</v>
      </c>
      <c r="Q270" s="215"/>
      <c r="R270" s="100">
        <f aca="true" t="shared" si="61" ref="R270:R280">+Q270+P270</f>
        <v>2230.8</v>
      </c>
      <c r="S270" s="293"/>
      <c r="T270" s="294"/>
    </row>
    <row r="271" spans="1:20" s="144" customFormat="1" ht="22.5" customHeight="1">
      <c r="A271" s="212" t="s">
        <v>183</v>
      </c>
      <c r="B271" s="212">
        <v>5</v>
      </c>
      <c r="C271" s="97" t="s">
        <v>63</v>
      </c>
      <c r="D271" s="227" t="s">
        <v>211</v>
      </c>
      <c r="E271" s="220" t="s">
        <v>69</v>
      </c>
      <c r="F271" s="220">
        <v>70</v>
      </c>
      <c r="G271" s="221">
        <v>38993</v>
      </c>
      <c r="H271" s="221">
        <v>39233</v>
      </c>
      <c r="I271" s="103" t="s">
        <v>61</v>
      </c>
      <c r="J271" s="215">
        <v>1516.67</v>
      </c>
      <c r="K271" s="215">
        <v>43.33</v>
      </c>
      <c r="L271" s="224">
        <f>+K271+J271</f>
        <v>1560</v>
      </c>
      <c r="M271" s="215">
        <f>+J271</f>
        <v>1516.67</v>
      </c>
      <c r="N271" s="225"/>
      <c r="O271" s="100">
        <f t="shared" si="59"/>
        <v>1516.67</v>
      </c>
      <c r="P271" s="215">
        <f t="shared" si="60"/>
        <v>985.8355</v>
      </c>
      <c r="Q271" s="215"/>
      <c r="R271" s="100">
        <f t="shared" si="61"/>
        <v>985.8355</v>
      </c>
      <c r="S271" s="293"/>
      <c r="T271" s="294"/>
    </row>
    <row r="272" spans="1:20" s="144" customFormat="1" ht="22.5" customHeight="1">
      <c r="A272" s="212" t="s">
        <v>183</v>
      </c>
      <c r="B272" s="212">
        <v>5</v>
      </c>
      <c r="C272" s="97" t="s">
        <v>63</v>
      </c>
      <c r="D272" s="227" t="s">
        <v>211</v>
      </c>
      <c r="E272" s="220" t="s">
        <v>69</v>
      </c>
      <c r="F272" s="220">
        <v>72</v>
      </c>
      <c r="G272" s="221">
        <v>38993</v>
      </c>
      <c r="H272" s="221">
        <v>39233</v>
      </c>
      <c r="I272" s="103" t="s">
        <v>61</v>
      </c>
      <c r="J272" s="215">
        <v>1242.5</v>
      </c>
      <c r="K272" s="215">
        <v>35.5</v>
      </c>
      <c r="L272" s="224">
        <f aca="true" t="shared" si="62" ref="L272:L281">+K272+J272</f>
        <v>1278</v>
      </c>
      <c r="M272" s="215">
        <f aca="true" t="shared" si="63" ref="M272:M279">+J272</f>
        <v>1242.5</v>
      </c>
      <c r="N272" s="225"/>
      <c r="O272" s="100">
        <f t="shared" si="59"/>
        <v>1242.5</v>
      </c>
      <c r="P272" s="215">
        <f t="shared" si="60"/>
        <v>807.625</v>
      </c>
      <c r="Q272" s="215"/>
      <c r="R272" s="100">
        <f t="shared" si="61"/>
        <v>807.625</v>
      </c>
      <c r="S272" s="293"/>
      <c r="T272" s="294"/>
    </row>
    <row r="273" spans="1:20" s="144" customFormat="1" ht="22.5" customHeight="1">
      <c r="A273" s="212" t="s">
        <v>183</v>
      </c>
      <c r="B273" s="212">
        <v>5</v>
      </c>
      <c r="C273" s="97" t="s">
        <v>63</v>
      </c>
      <c r="D273" s="227" t="s">
        <v>212</v>
      </c>
      <c r="E273" s="220" t="s">
        <v>69</v>
      </c>
      <c r="F273" s="220">
        <v>81</v>
      </c>
      <c r="G273" s="221">
        <v>39013</v>
      </c>
      <c r="H273" s="221">
        <v>39233</v>
      </c>
      <c r="I273" s="103" t="s">
        <v>61</v>
      </c>
      <c r="J273" s="215">
        <v>1847.32</v>
      </c>
      <c r="K273" s="215">
        <f aca="true" t="shared" si="64" ref="K273:K279">+J273*0.2</f>
        <v>369.464</v>
      </c>
      <c r="L273" s="224">
        <f t="shared" si="62"/>
        <v>2216.784</v>
      </c>
      <c r="M273" s="215">
        <f t="shared" si="63"/>
        <v>1847.32</v>
      </c>
      <c r="N273" s="225"/>
      <c r="O273" s="100">
        <f t="shared" si="59"/>
        <v>1847.32</v>
      </c>
      <c r="P273" s="215">
        <f t="shared" si="60"/>
        <v>1200.758</v>
      </c>
      <c r="Q273" s="215"/>
      <c r="R273" s="100">
        <f t="shared" si="61"/>
        <v>1200.758</v>
      </c>
      <c r="S273" s="293"/>
      <c r="T273" s="294"/>
    </row>
    <row r="274" spans="1:20" s="144" customFormat="1" ht="22.5" customHeight="1">
      <c r="A274" s="212" t="s">
        <v>183</v>
      </c>
      <c r="B274" s="212">
        <v>5</v>
      </c>
      <c r="C274" s="97" t="s">
        <v>63</v>
      </c>
      <c r="D274" s="227" t="s">
        <v>211</v>
      </c>
      <c r="E274" s="220" t="s">
        <v>69</v>
      </c>
      <c r="F274" s="220">
        <v>82</v>
      </c>
      <c r="G274" s="221">
        <v>39013</v>
      </c>
      <c r="H274" s="221">
        <v>39233</v>
      </c>
      <c r="I274" s="103" t="s">
        <v>61</v>
      </c>
      <c r="J274" s="215">
        <v>985.83</v>
      </c>
      <c r="K274" s="215">
        <v>28.17</v>
      </c>
      <c r="L274" s="224">
        <f t="shared" si="62"/>
        <v>1014</v>
      </c>
      <c r="M274" s="215">
        <f t="shared" si="63"/>
        <v>985.83</v>
      </c>
      <c r="N274" s="225"/>
      <c r="O274" s="100">
        <f t="shared" si="59"/>
        <v>985.83</v>
      </c>
      <c r="P274" s="215">
        <f t="shared" si="60"/>
        <v>640.7895000000001</v>
      </c>
      <c r="Q274" s="215"/>
      <c r="R274" s="100">
        <f t="shared" si="61"/>
        <v>640.7895000000001</v>
      </c>
      <c r="S274" s="293"/>
      <c r="T274" s="294"/>
    </row>
    <row r="275" spans="1:20" s="144" customFormat="1" ht="22.5" customHeight="1">
      <c r="A275" s="212" t="s">
        <v>183</v>
      </c>
      <c r="B275" s="212">
        <v>5</v>
      </c>
      <c r="C275" s="97" t="s">
        <v>63</v>
      </c>
      <c r="D275" s="227" t="s">
        <v>212</v>
      </c>
      <c r="E275" s="220" t="s">
        <v>69</v>
      </c>
      <c r="F275" s="220">
        <v>92</v>
      </c>
      <c r="G275" s="221">
        <v>39034</v>
      </c>
      <c r="H275" s="221">
        <v>39233</v>
      </c>
      <c r="I275" s="103" t="s">
        <v>61</v>
      </c>
      <c r="J275" s="215">
        <v>1384.88</v>
      </c>
      <c r="K275" s="215">
        <f t="shared" si="64"/>
        <v>276.97600000000006</v>
      </c>
      <c r="L275" s="224">
        <f t="shared" si="62"/>
        <v>1661.8560000000002</v>
      </c>
      <c r="M275" s="215">
        <f t="shared" si="63"/>
        <v>1384.88</v>
      </c>
      <c r="N275" s="225"/>
      <c r="O275" s="100">
        <f t="shared" si="59"/>
        <v>1384.88</v>
      </c>
      <c r="P275" s="215">
        <f t="shared" si="60"/>
        <v>900.1720000000001</v>
      </c>
      <c r="Q275" s="215"/>
      <c r="R275" s="100">
        <f t="shared" si="61"/>
        <v>900.1720000000001</v>
      </c>
      <c r="S275" s="293"/>
      <c r="T275" s="294"/>
    </row>
    <row r="276" spans="1:20" s="144" customFormat="1" ht="22.5" customHeight="1">
      <c r="A276" s="212" t="s">
        <v>183</v>
      </c>
      <c r="B276" s="212">
        <v>5</v>
      </c>
      <c r="C276" s="97" t="s">
        <v>63</v>
      </c>
      <c r="D276" s="227" t="s">
        <v>212</v>
      </c>
      <c r="E276" s="220" t="s">
        <v>69</v>
      </c>
      <c r="F276" s="220">
        <v>94</v>
      </c>
      <c r="G276" s="221">
        <v>39056</v>
      </c>
      <c r="H276" s="221">
        <v>39233</v>
      </c>
      <c r="I276" s="103" t="s">
        <v>61</v>
      </c>
      <c r="J276" s="215">
        <v>962.52</v>
      </c>
      <c r="K276" s="215">
        <f t="shared" si="64"/>
        <v>192.50400000000002</v>
      </c>
      <c r="L276" s="224">
        <f t="shared" si="62"/>
        <v>1155.024</v>
      </c>
      <c r="M276" s="215">
        <f t="shared" si="63"/>
        <v>962.52</v>
      </c>
      <c r="N276" s="225"/>
      <c r="O276" s="100">
        <f t="shared" si="59"/>
        <v>962.52</v>
      </c>
      <c r="P276" s="215">
        <f t="shared" si="60"/>
        <v>625.638</v>
      </c>
      <c r="Q276" s="215"/>
      <c r="R276" s="100">
        <f t="shared" si="61"/>
        <v>625.638</v>
      </c>
      <c r="S276" s="293"/>
      <c r="T276" s="294"/>
    </row>
    <row r="277" spans="1:20" s="144" customFormat="1" ht="22.5" customHeight="1">
      <c r="A277" s="212" t="s">
        <v>183</v>
      </c>
      <c r="B277" s="212">
        <v>5</v>
      </c>
      <c r="C277" s="97" t="s">
        <v>63</v>
      </c>
      <c r="D277" s="227" t="s">
        <v>212</v>
      </c>
      <c r="E277" s="220" t="s">
        <v>69</v>
      </c>
      <c r="F277" s="220">
        <v>95</v>
      </c>
      <c r="G277" s="221">
        <v>39056</v>
      </c>
      <c r="H277" s="221">
        <v>39233</v>
      </c>
      <c r="I277" s="103" t="s">
        <v>61</v>
      </c>
      <c r="J277" s="215">
        <v>905.18</v>
      </c>
      <c r="K277" s="215">
        <f t="shared" si="64"/>
        <v>181.036</v>
      </c>
      <c r="L277" s="224">
        <f t="shared" si="62"/>
        <v>1086.216</v>
      </c>
      <c r="M277" s="215">
        <f t="shared" si="63"/>
        <v>905.18</v>
      </c>
      <c r="N277" s="225"/>
      <c r="O277" s="100">
        <f t="shared" si="59"/>
        <v>905.18</v>
      </c>
      <c r="P277" s="215">
        <f t="shared" si="60"/>
        <v>588.367</v>
      </c>
      <c r="Q277" s="215"/>
      <c r="R277" s="100">
        <f t="shared" si="61"/>
        <v>588.367</v>
      </c>
      <c r="S277" s="293"/>
      <c r="T277" s="294"/>
    </row>
    <row r="278" spans="1:20" s="144" customFormat="1" ht="22.5" customHeight="1">
      <c r="A278" s="212" t="s">
        <v>183</v>
      </c>
      <c r="B278" s="212">
        <v>5</v>
      </c>
      <c r="C278" s="97" t="s">
        <v>63</v>
      </c>
      <c r="D278" s="227" t="s">
        <v>212</v>
      </c>
      <c r="E278" s="220" t="s">
        <v>69</v>
      </c>
      <c r="F278" s="220">
        <v>6</v>
      </c>
      <c r="G278" s="221">
        <v>39097</v>
      </c>
      <c r="H278" s="221">
        <v>39233</v>
      </c>
      <c r="I278" s="103" t="s">
        <v>61</v>
      </c>
      <c r="J278" s="215">
        <v>2794.24</v>
      </c>
      <c r="K278" s="215">
        <f t="shared" si="64"/>
        <v>558.848</v>
      </c>
      <c r="L278" s="224">
        <f t="shared" si="62"/>
        <v>3353.0879999999997</v>
      </c>
      <c r="M278" s="215">
        <f t="shared" si="63"/>
        <v>2794.24</v>
      </c>
      <c r="N278" s="225"/>
      <c r="O278" s="100">
        <f t="shared" si="59"/>
        <v>2794.24</v>
      </c>
      <c r="P278" s="215">
        <f t="shared" si="60"/>
        <v>1816.2559999999999</v>
      </c>
      <c r="Q278" s="215"/>
      <c r="R278" s="100">
        <f t="shared" si="61"/>
        <v>1816.2559999999999</v>
      </c>
      <c r="S278" s="293"/>
      <c r="T278" s="294"/>
    </row>
    <row r="279" spans="1:20" s="144" customFormat="1" ht="22.5" customHeight="1">
      <c r="A279" s="212" t="s">
        <v>183</v>
      </c>
      <c r="B279" s="212">
        <v>5</v>
      </c>
      <c r="C279" s="97" t="s">
        <v>63</v>
      </c>
      <c r="D279" s="227" t="s">
        <v>212</v>
      </c>
      <c r="E279" s="220" t="s">
        <v>69</v>
      </c>
      <c r="F279" s="220">
        <v>34</v>
      </c>
      <c r="G279" s="221">
        <v>39168</v>
      </c>
      <c r="H279" s="221">
        <v>39233</v>
      </c>
      <c r="I279" s="103" t="s">
        <v>61</v>
      </c>
      <c r="J279" s="215">
        <v>1443.65</v>
      </c>
      <c r="K279" s="215">
        <f t="shared" si="64"/>
        <v>288.73</v>
      </c>
      <c r="L279" s="224">
        <f t="shared" si="62"/>
        <v>1732.38</v>
      </c>
      <c r="M279" s="215">
        <f t="shared" si="63"/>
        <v>1443.65</v>
      </c>
      <c r="N279" s="225"/>
      <c r="O279" s="100">
        <f t="shared" si="59"/>
        <v>1443.65</v>
      </c>
      <c r="P279" s="215">
        <f t="shared" si="60"/>
        <v>938.3725000000001</v>
      </c>
      <c r="Q279" s="215"/>
      <c r="R279" s="100">
        <f t="shared" si="61"/>
        <v>938.3725000000001</v>
      </c>
      <c r="S279" s="293"/>
      <c r="T279" s="294"/>
    </row>
    <row r="280" spans="1:20" s="144" customFormat="1" ht="22.5" customHeight="1">
      <c r="A280" s="212" t="s">
        <v>183</v>
      </c>
      <c r="B280" s="212"/>
      <c r="C280" s="97" t="s">
        <v>50</v>
      </c>
      <c r="D280" s="227" t="s">
        <v>215</v>
      </c>
      <c r="E280" s="220" t="s">
        <v>147</v>
      </c>
      <c r="F280" s="220" t="s">
        <v>216</v>
      </c>
      <c r="G280" s="221">
        <v>39065</v>
      </c>
      <c r="H280" s="221">
        <v>39062</v>
      </c>
      <c r="I280" s="103" t="s">
        <v>61</v>
      </c>
      <c r="J280" s="215">
        <v>4497.19</v>
      </c>
      <c r="K280" s="215">
        <v>0</v>
      </c>
      <c r="L280" s="224">
        <f t="shared" si="62"/>
        <v>4497.19</v>
      </c>
      <c r="M280" s="215">
        <f>+J280-499.65</f>
        <v>3997.5399999999995</v>
      </c>
      <c r="N280" s="225"/>
      <c r="O280" s="100">
        <f t="shared" si="59"/>
        <v>3997.5399999999995</v>
      </c>
      <c r="P280" s="215">
        <f t="shared" si="60"/>
        <v>2598.401</v>
      </c>
      <c r="Q280" s="215"/>
      <c r="R280" s="100">
        <f t="shared" si="61"/>
        <v>2598.401</v>
      </c>
      <c r="S280" s="293" t="s">
        <v>102</v>
      </c>
      <c r="T280" s="294"/>
    </row>
    <row r="281" spans="1:20" s="144" customFormat="1" ht="22.5" customHeight="1">
      <c r="A281" s="212" t="s">
        <v>183</v>
      </c>
      <c r="B281" s="212"/>
      <c r="C281" s="97" t="s">
        <v>50</v>
      </c>
      <c r="D281" s="227" t="s">
        <v>215</v>
      </c>
      <c r="E281" s="220" t="s">
        <v>147</v>
      </c>
      <c r="F281" s="220" t="s">
        <v>216</v>
      </c>
      <c r="G281" s="221">
        <v>39428</v>
      </c>
      <c r="H281" s="221">
        <v>39429</v>
      </c>
      <c r="I281" s="103" t="s">
        <v>61</v>
      </c>
      <c r="J281" s="215">
        <v>4497.19</v>
      </c>
      <c r="K281" s="215"/>
      <c r="L281" s="224">
        <f t="shared" si="62"/>
        <v>4497.19</v>
      </c>
      <c r="M281" s="215">
        <f>+J281-499.65</f>
        <v>3997.5399999999995</v>
      </c>
      <c r="N281" s="225"/>
      <c r="O281" s="100">
        <f>+N281+M281</f>
        <v>3997.5399999999995</v>
      </c>
      <c r="P281" s="215">
        <f>M281*0.65</f>
        <v>2598.401</v>
      </c>
      <c r="Q281" s="215"/>
      <c r="R281" s="100">
        <f>+Q281+P281</f>
        <v>2598.401</v>
      </c>
      <c r="S281" s="293" t="s">
        <v>102</v>
      </c>
      <c r="T281" s="294"/>
    </row>
    <row r="282" spans="1:20" s="144" customFormat="1" ht="22.5" customHeight="1">
      <c r="A282" s="212" t="s">
        <v>183</v>
      </c>
      <c r="B282" s="212"/>
      <c r="C282" s="97" t="s">
        <v>85</v>
      </c>
      <c r="D282" s="227" t="s">
        <v>221</v>
      </c>
      <c r="E282" s="220" t="s">
        <v>222</v>
      </c>
      <c r="F282" s="228" t="s">
        <v>223</v>
      </c>
      <c r="G282" s="221">
        <v>39036</v>
      </c>
      <c r="H282" s="221">
        <v>39164</v>
      </c>
      <c r="I282" s="103" t="s">
        <v>224</v>
      </c>
      <c r="J282" s="215">
        <v>240</v>
      </c>
      <c r="K282" s="215">
        <f>+J282*0.2</f>
        <v>48</v>
      </c>
      <c r="L282" s="224">
        <f>+K282+J282</f>
        <v>288</v>
      </c>
      <c r="M282" s="215"/>
      <c r="N282" s="225"/>
      <c r="O282" s="100"/>
      <c r="P282" s="215"/>
      <c r="Q282" s="215"/>
      <c r="R282" s="100"/>
      <c r="S282" s="293" t="s">
        <v>226</v>
      </c>
      <c r="T282" s="294"/>
    </row>
    <row r="283" spans="1:20" s="144" customFormat="1" ht="22.5" customHeight="1">
      <c r="A283" s="212" t="s">
        <v>183</v>
      </c>
      <c r="B283" s="212"/>
      <c r="C283" s="97" t="s">
        <v>85</v>
      </c>
      <c r="D283" s="227" t="s">
        <v>221</v>
      </c>
      <c r="E283" s="220" t="s">
        <v>222</v>
      </c>
      <c r="F283" s="228" t="s">
        <v>225</v>
      </c>
      <c r="G283" s="221">
        <v>39030</v>
      </c>
      <c r="H283" s="221">
        <v>39164</v>
      </c>
      <c r="I283" s="103" t="s">
        <v>224</v>
      </c>
      <c r="J283" s="215">
        <v>1200</v>
      </c>
      <c r="K283" s="215">
        <f>+J283*0.2</f>
        <v>240</v>
      </c>
      <c r="L283" s="224">
        <f>+K283+J283</f>
        <v>1440</v>
      </c>
      <c r="M283" s="215"/>
      <c r="N283" s="225"/>
      <c r="O283" s="100"/>
      <c r="P283" s="215"/>
      <c r="Q283" s="215"/>
      <c r="R283" s="100"/>
      <c r="S283" s="293" t="s">
        <v>226</v>
      </c>
      <c r="T283" s="294"/>
    </row>
    <row r="284" spans="1:20" s="144" customFormat="1" ht="22.5" customHeight="1">
      <c r="A284" s="124" t="s">
        <v>236</v>
      </c>
      <c r="B284" s="120"/>
      <c r="C284" s="97" t="s">
        <v>93</v>
      </c>
      <c r="D284" s="227" t="s">
        <v>248</v>
      </c>
      <c r="E284" s="220" t="s">
        <v>249</v>
      </c>
      <c r="F284" s="228">
        <v>900</v>
      </c>
      <c r="G284" s="221">
        <v>39058</v>
      </c>
      <c r="H284" s="221">
        <v>39108</v>
      </c>
      <c r="I284" s="103" t="s">
        <v>247</v>
      </c>
      <c r="J284" s="215">
        <v>34.92</v>
      </c>
      <c r="K284" s="215">
        <v>6.99</v>
      </c>
      <c r="L284" s="224">
        <v>41.91</v>
      </c>
      <c r="M284" s="215">
        <v>34.92</v>
      </c>
      <c r="N284" s="215">
        <v>6.99</v>
      </c>
      <c r="O284" s="100">
        <f aca="true" t="shared" si="65" ref="O284:O298">+N284+M284</f>
        <v>41.910000000000004</v>
      </c>
      <c r="P284" s="215">
        <f aca="true" t="shared" si="66" ref="P284:Q298">M284*0.65</f>
        <v>22.698</v>
      </c>
      <c r="Q284" s="215">
        <f t="shared" si="66"/>
        <v>4.5435</v>
      </c>
      <c r="R284" s="100">
        <f aca="true" t="shared" si="67" ref="R284:R298">+Q284+P284</f>
        <v>27.241500000000002</v>
      </c>
      <c r="S284" s="234"/>
      <c r="T284" s="235"/>
    </row>
    <row r="285" spans="1:20" s="144" customFormat="1" ht="22.5" customHeight="1">
      <c r="A285" s="124" t="s">
        <v>236</v>
      </c>
      <c r="B285" s="120"/>
      <c r="C285" s="97" t="s">
        <v>93</v>
      </c>
      <c r="D285" s="227" t="s">
        <v>250</v>
      </c>
      <c r="E285" s="220" t="s">
        <v>251</v>
      </c>
      <c r="F285" s="228"/>
      <c r="G285" s="221">
        <v>39097</v>
      </c>
      <c r="H285" s="221">
        <v>39073</v>
      </c>
      <c r="I285" s="103" t="s">
        <v>245</v>
      </c>
      <c r="J285" s="215"/>
      <c r="K285" s="215"/>
      <c r="L285" s="224">
        <v>180.91</v>
      </c>
      <c r="M285" s="215">
        <v>180.91</v>
      </c>
      <c r="N285" s="225"/>
      <c r="O285" s="100">
        <f t="shared" si="65"/>
        <v>180.91</v>
      </c>
      <c r="P285" s="215">
        <f t="shared" si="66"/>
        <v>117.5915</v>
      </c>
      <c r="Q285" s="215"/>
      <c r="R285" s="100">
        <f t="shared" si="67"/>
        <v>117.5915</v>
      </c>
      <c r="S285" s="234"/>
      <c r="T285" s="235"/>
    </row>
    <row r="286" spans="1:20" s="144" customFormat="1" ht="22.5" customHeight="1">
      <c r="A286" s="124" t="s">
        <v>236</v>
      </c>
      <c r="B286" s="120"/>
      <c r="C286" s="97" t="s">
        <v>93</v>
      </c>
      <c r="D286" s="227" t="s">
        <v>250</v>
      </c>
      <c r="E286" s="220" t="s">
        <v>252</v>
      </c>
      <c r="F286" s="228"/>
      <c r="G286" s="221">
        <v>39097</v>
      </c>
      <c r="H286" s="221">
        <v>39073</v>
      </c>
      <c r="I286" s="103" t="s">
        <v>245</v>
      </c>
      <c r="J286" s="215"/>
      <c r="K286" s="215"/>
      <c r="L286" s="224">
        <v>180.41</v>
      </c>
      <c r="M286" s="215">
        <v>180.41</v>
      </c>
      <c r="N286" s="225"/>
      <c r="O286" s="100">
        <f t="shared" si="65"/>
        <v>180.41</v>
      </c>
      <c r="P286" s="215">
        <f t="shared" si="66"/>
        <v>117.26650000000001</v>
      </c>
      <c r="Q286" s="215"/>
      <c r="R286" s="100">
        <f t="shared" si="67"/>
        <v>117.26650000000001</v>
      </c>
      <c r="S286" s="234"/>
      <c r="T286" s="235"/>
    </row>
    <row r="287" spans="1:20" s="144" customFormat="1" ht="22.5" customHeight="1">
      <c r="A287" s="124" t="s">
        <v>236</v>
      </c>
      <c r="B287" s="120"/>
      <c r="C287" s="97" t="s">
        <v>93</v>
      </c>
      <c r="D287" s="227" t="s">
        <v>250</v>
      </c>
      <c r="E287" s="220" t="s">
        <v>253</v>
      </c>
      <c r="F287" s="228"/>
      <c r="G287" s="221">
        <v>39097</v>
      </c>
      <c r="H287" s="221">
        <v>39156</v>
      </c>
      <c r="I287" s="103" t="s">
        <v>245</v>
      </c>
      <c r="J287" s="215"/>
      <c r="K287" s="215"/>
      <c r="L287" s="224">
        <v>338.6</v>
      </c>
      <c r="M287" s="215">
        <v>338.6</v>
      </c>
      <c r="N287" s="225"/>
      <c r="O287" s="100">
        <f t="shared" si="65"/>
        <v>338.6</v>
      </c>
      <c r="P287" s="215">
        <f t="shared" si="66"/>
        <v>220.09000000000003</v>
      </c>
      <c r="Q287" s="215"/>
      <c r="R287" s="100">
        <f t="shared" si="67"/>
        <v>220.09000000000003</v>
      </c>
      <c r="S287" s="234"/>
      <c r="T287" s="235"/>
    </row>
    <row r="288" spans="1:20" s="144" customFormat="1" ht="22.5" customHeight="1">
      <c r="A288" s="124" t="s">
        <v>236</v>
      </c>
      <c r="B288" s="120"/>
      <c r="C288" s="97" t="s">
        <v>93</v>
      </c>
      <c r="D288" s="227" t="s">
        <v>250</v>
      </c>
      <c r="E288" s="220" t="s">
        <v>254</v>
      </c>
      <c r="F288" s="228"/>
      <c r="G288" s="221">
        <v>39097</v>
      </c>
      <c r="H288" s="221">
        <v>39073</v>
      </c>
      <c r="I288" s="103" t="s">
        <v>245</v>
      </c>
      <c r="J288" s="215"/>
      <c r="K288" s="215"/>
      <c r="L288" s="224">
        <v>176.09</v>
      </c>
      <c r="M288" s="215">
        <v>176.09</v>
      </c>
      <c r="N288" s="225"/>
      <c r="O288" s="100">
        <f t="shared" si="65"/>
        <v>176.09</v>
      </c>
      <c r="P288" s="215">
        <f t="shared" si="66"/>
        <v>114.4585</v>
      </c>
      <c r="Q288" s="215"/>
      <c r="R288" s="100">
        <f t="shared" si="67"/>
        <v>114.4585</v>
      </c>
      <c r="S288" s="234"/>
      <c r="T288" s="235"/>
    </row>
    <row r="289" spans="1:20" s="144" customFormat="1" ht="22.5" customHeight="1">
      <c r="A289" s="124" t="s">
        <v>236</v>
      </c>
      <c r="B289" s="120"/>
      <c r="C289" s="97" t="s">
        <v>93</v>
      </c>
      <c r="D289" s="227" t="s">
        <v>250</v>
      </c>
      <c r="E289" s="220" t="s">
        <v>255</v>
      </c>
      <c r="F289" s="228"/>
      <c r="G289" s="221">
        <v>39097</v>
      </c>
      <c r="H289" s="221">
        <v>39073</v>
      </c>
      <c r="I289" s="103" t="s">
        <v>245</v>
      </c>
      <c r="J289" s="215"/>
      <c r="K289" s="215"/>
      <c r="L289" s="224">
        <v>398.93</v>
      </c>
      <c r="M289" s="215">
        <v>398.93</v>
      </c>
      <c r="N289" s="225"/>
      <c r="O289" s="100">
        <f t="shared" si="65"/>
        <v>398.93</v>
      </c>
      <c r="P289" s="215">
        <f t="shared" si="66"/>
        <v>259.3045</v>
      </c>
      <c r="Q289" s="215"/>
      <c r="R289" s="100">
        <f t="shared" si="67"/>
        <v>259.3045</v>
      </c>
      <c r="S289" s="234"/>
      <c r="T289" s="235"/>
    </row>
    <row r="290" spans="1:20" s="144" customFormat="1" ht="22.5" customHeight="1">
      <c r="A290" s="124" t="s">
        <v>236</v>
      </c>
      <c r="B290" s="120"/>
      <c r="C290" s="97" t="s">
        <v>93</v>
      </c>
      <c r="D290" s="227" t="s">
        <v>250</v>
      </c>
      <c r="E290" s="220" t="s">
        <v>256</v>
      </c>
      <c r="F290" s="228"/>
      <c r="G290" s="221">
        <v>39097</v>
      </c>
      <c r="H290" s="221">
        <v>39073</v>
      </c>
      <c r="I290" s="103" t="s">
        <v>257</v>
      </c>
      <c r="J290" s="215"/>
      <c r="K290" s="215"/>
      <c r="L290" s="224">
        <v>35.46</v>
      </c>
      <c r="M290" s="215">
        <v>35.46</v>
      </c>
      <c r="N290" s="225"/>
      <c r="O290" s="100">
        <f t="shared" si="65"/>
        <v>35.46</v>
      </c>
      <c r="P290" s="215">
        <f t="shared" si="66"/>
        <v>23.049000000000003</v>
      </c>
      <c r="Q290" s="215"/>
      <c r="R290" s="100">
        <f t="shared" si="67"/>
        <v>23.049000000000003</v>
      </c>
      <c r="S290" s="234"/>
      <c r="T290" s="235"/>
    </row>
    <row r="291" spans="1:20" s="144" customFormat="1" ht="22.5" customHeight="1">
      <c r="A291" s="124" t="s">
        <v>236</v>
      </c>
      <c r="B291" s="120"/>
      <c r="C291" s="97" t="s">
        <v>93</v>
      </c>
      <c r="D291" s="227" t="s">
        <v>250</v>
      </c>
      <c r="E291" s="220" t="s">
        <v>258</v>
      </c>
      <c r="F291" s="228"/>
      <c r="G291" s="221">
        <v>39097</v>
      </c>
      <c r="H291" s="221">
        <v>39073</v>
      </c>
      <c r="I291" s="103" t="s">
        <v>245</v>
      </c>
      <c r="J291" s="215"/>
      <c r="K291" s="215"/>
      <c r="L291" s="224">
        <v>217.48</v>
      </c>
      <c r="M291" s="215">
        <v>217.48</v>
      </c>
      <c r="N291" s="225"/>
      <c r="O291" s="100">
        <f t="shared" si="65"/>
        <v>217.48</v>
      </c>
      <c r="P291" s="215">
        <f t="shared" si="66"/>
        <v>141.362</v>
      </c>
      <c r="Q291" s="215"/>
      <c r="R291" s="100">
        <f t="shared" si="67"/>
        <v>141.362</v>
      </c>
      <c r="S291" s="234"/>
      <c r="T291" s="235"/>
    </row>
    <row r="292" spans="1:20" s="144" customFormat="1" ht="22.5" customHeight="1">
      <c r="A292" s="124" t="s">
        <v>236</v>
      </c>
      <c r="B292" s="120"/>
      <c r="C292" s="97" t="s">
        <v>93</v>
      </c>
      <c r="D292" s="227" t="s">
        <v>259</v>
      </c>
      <c r="E292" s="220" t="s">
        <v>260</v>
      </c>
      <c r="F292" s="228" t="s">
        <v>261</v>
      </c>
      <c r="G292" s="221">
        <v>39097</v>
      </c>
      <c r="H292" s="221">
        <v>39108</v>
      </c>
      <c r="I292" s="103" t="s">
        <v>247</v>
      </c>
      <c r="J292" s="215">
        <v>350</v>
      </c>
      <c r="K292" s="215">
        <v>70</v>
      </c>
      <c r="L292" s="224">
        <v>420</v>
      </c>
      <c r="M292" s="215">
        <v>420</v>
      </c>
      <c r="N292" s="225"/>
      <c r="O292" s="100">
        <f t="shared" si="65"/>
        <v>420</v>
      </c>
      <c r="P292" s="215">
        <f t="shared" si="66"/>
        <v>273</v>
      </c>
      <c r="Q292" s="215"/>
      <c r="R292" s="100">
        <f t="shared" si="67"/>
        <v>273</v>
      </c>
      <c r="S292" s="234"/>
      <c r="T292" s="235"/>
    </row>
    <row r="293" spans="1:20" s="144" customFormat="1" ht="34.5" customHeight="1">
      <c r="A293" s="124" t="s">
        <v>236</v>
      </c>
      <c r="B293" s="120"/>
      <c r="C293" s="97" t="s">
        <v>63</v>
      </c>
      <c r="D293" s="227" t="s">
        <v>305</v>
      </c>
      <c r="E293" s="220" t="s">
        <v>272</v>
      </c>
      <c r="F293" s="228">
        <v>69</v>
      </c>
      <c r="G293" s="221">
        <v>38993</v>
      </c>
      <c r="H293" s="221">
        <v>39430</v>
      </c>
      <c r="I293" s="103" t="s">
        <v>151</v>
      </c>
      <c r="J293" s="215">
        <v>3097.49</v>
      </c>
      <c r="K293" s="215">
        <v>619.5</v>
      </c>
      <c r="L293" s="224">
        <v>3716.99</v>
      </c>
      <c r="M293" s="215">
        <v>3097.49</v>
      </c>
      <c r="N293" s="225"/>
      <c r="O293" s="100">
        <f t="shared" si="65"/>
        <v>3097.49</v>
      </c>
      <c r="P293" s="215">
        <f t="shared" si="66"/>
        <v>2013.3685</v>
      </c>
      <c r="Q293" s="215"/>
      <c r="R293" s="100">
        <f t="shared" si="67"/>
        <v>2013.3685</v>
      </c>
      <c r="S293" s="234" t="s">
        <v>318</v>
      </c>
      <c r="T293" s="235"/>
    </row>
    <row r="294" spans="1:20" s="144" customFormat="1" ht="34.5" customHeight="1">
      <c r="A294" s="124" t="s">
        <v>236</v>
      </c>
      <c r="B294" s="120"/>
      <c r="C294" s="97" t="s">
        <v>63</v>
      </c>
      <c r="D294" s="227" t="s">
        <v>305</v>
      </c>
      <c r="E294" s="220" t="s">
        <v>272</v>
      </c>
      <c r="F294" s="228">
        <v>71</v>
      </c>
      <c r="G294" s="221">
        <v>38993</v>
      </c>
      <c r="H294" s="221">
        <v>39430</v>
      </c>
      <c r="I294" s="103" t="s">
        <v>151</v>
      </c>
      <c r="J294" s="215">
        <v>1527.48</v>
      </c>
      <c r="K294" s="215">
        <v>305.5</v>
      </c>
      <c r="L294" s="224">
        <v>1832.98</v>
      </c>
      <c r="M294" s="215">
        <v>1527.48</v>
      </c>
      <c r="N294" s="225"/>
      <c r="O294" s="100">
        <f t="shared" si="65"/>
        <v>1527.48</v>
      </c>
      <c r="P294" s="215">
        <f t="shared" si="66"/>
        <v>992.8620000000001</v>
      </c>
      <c r="Q294" s="215"/>
      <c r="R294" s="100">
        <f t="shared" si="67"/>
        <v>992.8620000000001</v>
      </c>
      <c r="S294" s="234" t="s">
        <v>318</v>
      </c>
      <c r="T294" s="235"/>
    </row>
    <row r="295" spans="1:20" s="144" customFormat="1" ht="34.5" customHeight="1">
      <c r="A295" s="124" t="s">
        <v>236</v>
      </c>
      <c r="B295" s="120"/>
      <c r="C295" s="97" t="s">
        <v>63</v>
      </c>
      <c r="D295" s="227" t="s">
        <v>306</v>
      </c>
      <c r="E295" s="220" t="s">
        <v>272</v>
      </c>
      <c r="F295" s="228">
        <v>24</v>
      </c>
      <c r="G295" s="221">
        <v>39133</v>
      </c>
      <c r="H295" s="221">
        <v>39430</v>
      </c>
      <c r="I295" s="103" t="s">
        <v>151</v>
      </c>
      <c r="J295" s="215">
        <v>3430</v>
      </c>
      <c r="K295" s="215">
        <v>98</v>
      </c>
      <c r="L295" s="224">
        <v>3528</v>
      </c>
      <c r="M295" s="215">
        <v>3430</v>
      </c>
      <c r="N295" s="225"/>
      <c r="O295" s="100">
        <f t="shared" si="65"/>
        <v>3430</v>
      </c>
      <c r="P295" s="215">
        <f t="shared" si="66"/>
        <v>2229.5</v>
      </c>
      <c r="Q295" s="215"/>
      <c r="R295" s="100">
        <f t="shared" si="67"/>
        <v>2229.5</v>
      </c>
      <c r="S295" s="234" t="s">
        <v>318</v>
      </c>
      <c r="T295" s="235"/>
    </row>
    <row r="296" spans="1:20" s="144" customFormat="1" ht="34.5" customHeight="1">
      <c r="A296" s="124" t="s">
        <v>236</v>
      </c>
      <c r="B296" s="120"/>
      <c r="C296" s="97" t="s">
        <v>63</v>
      </c>
      <c r="D296" s="227" t="s">
        <v>305</v>
      </c>
      <c r="E296" s="220" t="s">
        <v>272</v>
      </c>
      <c r="F296" s="228">
        <v>39</v>
      </c>
      <c r="G296" s="221">
        <v>39212</v>
      </c>
      <c r="H296" s="221">
        <v>39430</v>
      </c>
      <c r="I296" s="103" t="s">
        <v>151</v>
      </c>
      <c r="J296" s="215">
        <v>1798.88</v>
      </c>
      <c r="K296" s="215">
        <v>359.78</v>
      </c>
      <c r="L296" s="224">
        <v>2158.66</v>
      </c>
      <c r="M296" s="215">
        <v>1798.88</v>
      </c>
      <c r="N296" s="225"/>
      <c r="O296" s="100">
        <f t="shared" si="65"/>
        <v>1798.88</v>
      </c>
      <c r="P296" s="215">
        <f t="shared" si="66"/>
        <v>1169.2720000000002</v>
      </c>
      <c r="Q296" s="215"/>
      <c r="R296" s="100">
        <f t="shared" si="67"/>
        <v>1169.2720000000002</v>
      </c>
      <c r="S296" s="234" t="s">
        <v>318</v>
      </c>
      <c r="T296" s="235"/>
    </row>
    <row r="297" spans="1:20" s="144" customFormat="1" ht="22.5" customHeight="1">
      <c r="A297" s="124" t="s">
        <v>236</v>
      </c>
      <c r="B297" s="120"/>
      <c r="C297" s="97" t="s">
        <v>63</v>
      </c>
      <c r="D297" s="227" t="s">
        <v>276</v>
      </c>
      <c r="E297" s="220" t="s">
        <v>274</v>
      </c>
      <c r="F297" s="228">
        <v>70382</v>
      </c>
      <c r="G297" s="221">
        <v>39114</v>
      </c>
      <c r="H297" s="221">
        <v>39430</v>
      </c>
      <c r="I297" s="103" t="s">
        <v>151</v>
      </c>
      <c r="J297" s="215">
        <v>462</v>
      </c>
      <c r="K297" s="215">
        <v>92.4</v>
      </c>
      <c r="L297" s="224">
        <v>554.4</v>
      </c>
      <c r="M297" s="215">
        <v>462</v>
      </c>
      <c r="N297" s="225"/>
      <c r="O297" s="100">
        <f t="shared" si="65"/>
        <v>462</v>
      </c>
      <c r="P297" s="215">
        <f t="shared" si="66"/>
        <v>300.3</v>
      </c>
      <c r="Q297" s="215"/>
      <c r="R297" s="100">
        <f t="shared" si="67"/>
        <v>300.3</v>
      </c>
      <c r="S297" s="234" t="s">
        <v>318</v>
      </c>
      <c r="T297" s="235"/>
    </row>
    <row r="298" spans="1:20" s="144" customFormat="1" ht="22.5" customHeight="1">
      <c r="A298" s="124" t="s">
        <v>236</v>
      </c>
      <c r="B298" s="120"/>
      <c r="C298" s="97" t="s">
        <v>63</v>
      </c>
      <c r="D298" s="227" t="s">
        <v>273</v>
      </c>
      <c r="E298" s="220" t="s">
        <v>274</v>
      </c>
      <c r="F298" s="228">
        <v>71375</v>
      </c>
      <c r="G298" s="221">
        <v>39377</v>
      </c>
      <c r="H298" s="221">
        <v>39430</v>
      </c>
      <c r="I298" s="103" t="s">
        <v>151</v>
      </c>
      <c r="J298" s="215">
        <v>422.7</v>
      </c>
      <c r="K298" s="215">
        <v>84.54</v>
      </c>
      <c r="L298" s="224">
        <v>507.24</v>
      </c>
      <c r="M298" s="215">
        <v>422.7</v>
      </c>
      <c r="N298" s="225"/>
      <c r="O298" s="100">
        <f t="shared" si="65"/>
        <v>422.7</v>
      </c>
      <c r="P298" s="215">
        <f t="shared" si="66"/>
        <v>274.755</v>
      </c>
      <c r="Q298" s="215"/>
      <c r="R298" s="100">
        <f t="shared" si="67"/>
        <v>274.755</v>
      </c>
      <c r="S298" s="234" t="s">
        <v>318</v>
      </c>
      <c r="T298" s="235"/>
    </row>
    <row r="299" spans="1:20" ht="11.25">
      <c r="A299" s="124"/>
      <c r="B299" s="120"/>
      <c r="C299" s="121"/>
      <c r="D299" s="97"/>
      <c r="E299" s="121"/>
      <c r="F299" s="97"/>
      <c r="G299" s="122"/>
      <c r="H299" s="176"/>
      <c r="I299" s="176"/>
      <c r="J299" s="102"/>
      <c r="K299" s="102">
        <f>+J299*0.2</f>
        <v>0</v>
      </c>
      <c r="L299" s="101"/>
      <c r="M299" s="126">
        <v>0</v>
      </c>
      <c r="N299" s="126"/>
      <c r="O299" s="101"/>
      <c r="P299" s="102">
        <f>M299*0.65</f>
        <v>0</v>
      </c>
      <c r="Q299" s="102"/>
      <c r="R299" s="101"/>
      <c r="S299" s="292"/>
      <c r="T299" s="292"/>
    </row>
    <row r="300" spans="10:12" ht="11.25">
      <c r="J300" s="229"/>
      <c r="L300" s="230"/>
    </row>
    <row r="347" ht="11.25"/>
    <row r="349" ht="11.25"/>
  </sheetData>
  <sheetProtection/>
  <autoFilter ref="A9:T299"/>
  <mergeCells count="213">
    <mergeCell ref="S229:T229"/>
    <mergeCell ref="S132:T132"/>
    <mergeCell ref="S133:T133"/>
    <mergeCell ref="S225:T225"/>
    <mergeCell ref="S222:T222"/>
    <mergeCell ref="S223:T223"/>
    <mergeCell ref="S224:T224"/>
    <mergeCell ref="S217:T217"/>
    <mergeCell ref="S218:T218"/>
    <mergeCell ref="S219:T219"/>
    <mergeCell ref="S230:T230"/>
    <mergeCell ref="S128:T128"/>
    <mergeCell ref="S124:T124"/>
    <mergeCell ref="S125:T125"/>
    <mergeCell ref="S126:T126"/>
    <mergeCell ref="S127:T127"/>
    <mergeCell ref="S226:T226"/>
    <mergeCell ref="S227:T227"/>
    <mergeCell ref="S228:T228"/>
    <mergeCell ref="S221:T221"/>
    <mergeCell ref="S211:T211"/>
    <mergeCell ref="S212:T212"/>
    <mergeCell ref="S220:T220"/>
    <mergeCell ref="S213:T213"/>
    <mergeCell ref="S214:T214"/>
    <mergeCell ref="S215:T215"/>
    <mergeCell ref="S216:T216"/>
    <mergeCell ref="S207:T207"/>
    <mergeCell ref="S208:T208"/>
    <mergeCell ref="S209:T209"/>
    <mergeCell ref="S210:T210"/>
    <mergeCell ref="S76:T76"/>
    <mergeCell ref="S77:T77"/>
    <mergeCell ref="S269:T269"/>
    <mergeCell ref="S103:T103"/>
    <mergeCell ref="S104:T104"/>
    <mergeCell ref="S95:T101"/>
    <mergeCell ref="S268:T268"/>
    <mergeCell ref="S259:T259"/>
    <mergeCell ref="S265:T265"/>
    <mergeCell ref="S266:T266"/>
    <mergeCell ref="S72:T72"/>
    <mergeCell ref="S73:T73"/>
    <mergeCell ref="S74:T74"/>
    <mergeCell ref="S75:T75"/>
    <mergeCell ref="S112:T112"/>
    <mergeCell ref="S102:T102"/>
    <mergeCell ref="S271:T271"/>
    <mergeCell ref="S270:T270"/>
    <mergeCell ref="S261:T261"/>
    <mergeCell ref="S262:T262"/>
    <mergeCell ref="S202:T202"/>
    <mergeCell ref="S203:T203"/>
    <mergeCell ref="S204:T204"/>
    <mergeCell ref="S205:T205"/>
    <mergeCell ref="C251:K251"/>
    <mergeCell ref="A234:L234"/>
    <mergeCell ref="S243:T243"/>
    <mergeCell ref="C179:K179"/>
    <mergeCell ref="S242:T242"/>
    <mergeCell ref="S191:T191"/>
    <mergeCell ref="S192:T192"/>
    <mergeCell ref="S199:T199"/>
    <mergeCell ref="S200:T200"/>
    <mergeCell ref="S201:T201"/>
    <mergeCell ref="A57:L57"/>
    <mergeCell ref="A178:L178"/>
    <mergeCell ref="A139:L139"/>
    <mergeCell ref="A161:L161"/>
    <mergeCell ref="A140:B146"/>
    <mergeCell ref="C140:K140"/>
    <mergeCell ref="A58:B64"/>
    <mergeCell ref="C162:K162"/>
    <mergeCell ref="C168:K168"/>
    <mergeCell ref="A162:B168"/>
    <mergeCell ref="C58:K58"/>
    <mergeCell ref="C64:K64"/>
    <mergeCell ref="A251:B257"/>
    <mergeCell ref="C257:K257"/>
    <mergeCell ref="C146:K146"/>
    <mergeCell ref="A235:B241"/>
    <mergeCell ref="C235:K235"/>
    <mergeCell ref="C241:K241"/>
    <mergeCell ref="A250:L250"/>
    <mergeCell ref="A179:B185"/>
    <mergeCell ref="S66:T66"/>
    <mergeCell ref="S176:T176"/>
    <mergeCell ref="S37:T37"/>
    <mergeCell ref="S68:T68"/>
    <mergeCell ref="S67:T67"/>
    <mergeCell ref="S38:T38"/>
    <mergeCell ref="S79:T79"/>
    <mergeCell ref="S92:T92"/>
    <mergeCell ref="S93:T93"/>
    <mergeCell ref="S87:T87"/>
    <mergeCell ref="A2:T2"/>
    <mergeCell ref="A11:B17"/>
    <mergeCell ref="S18:T18"/>
    <mergeCell ref="E3:F3"/>
    <mergeCell ref="E4:F4"/>
    <mergeCell ref="E5:F5"/>
    <mergeCell ref="C10:L10"/>
    <mergeCell ref="E8:F8"/>
    <mergeCell ref="E6:F6"/>
    <mergeCell ref="S94:T94"/>
    <mergeCell ref="S89:T89"/>
    <mergeCell ref="S80:T80"/>
    <mergeCell ref="S81:T81"/>
    <mergeCell ref="S82:T82"/>
    <mergeCell ref="S83:T83"/>
    <mergeCell ref="S86:T86"/>
    <mergeCell ref="S88:T88"/>
    <mergeCell ref="S299:T299"/>
    <mergeCell ref="S149:T149"/>
    <mergeCell ref="S248:T248"/>
    <mergeCell ref="S232:T232"/>
    <mergeCell ref="S258:T258"/>
    <mergeCell ref="S272:T272"/>
    <mergeCell ref="S273:T273"/>
    <mergeCell ref="S159:T159"/>
    <mergeCell ref="S150:T150"/>
    <mergeCell ref="S244:T244"/>
    <mergeCell ref="S24:T24"/>
    <mergeCell ref="S21:T21"/>
    <mergeCell ref="S20:T20"/>
    <mergeCell ref="S22:T22"/>
    <mergeCell ref="S23:T23"/>
    <mergeCell ref="S25:T25"/>
    <mergeCell ref="S31:T31"/>
    <mergeCell ref="S32:T32"/>
    <mergeCell ref="S33:T33"/>
    <mergeCell ref="S27:T27"/>
    <mergeCell ref="S34:T34"/>
    <mergeCell ref="S30:T30"/>
    <mergeCell ref="S28:T28"/>
    <mergeCell ref="S29:T29"/>
    <mergeCell ref="S19:T19"/>
    <mergeCell ref="S26:T26"/>
    <mergeCell ref="S90:T90"/>
    <mergeCell ref="S91:T91"/>
    <mergeCell ref="S71:T71"/>
    <mergeCell ref="S69:T69"/>
    <mergeCell ref="S70:T70"/>
    <mergeCell ref="S84:T84"/>
    <mergeCell ref="S85:T85"/>
    <mergeCell ref="S55:T55"/>
    <mergeCell ref="S65:T65"/>
    <mergeCell ref="S39:T39"/>
    <mergeCell ref="S35:T35"/>
    <mergeCell ref="S36:T36"/>
    <mergeCell ref="S41:T41"/>
    <mergeCell ref="S42:T42"/>
    <mergeCell ref="S43:T43"/>
    <mergeCell ref="S40:T40"/>
    <mergeCell ref="S113:T113"/>
    <mergeCell ref="S111:T111"/>
    <mergeCell ref="S283:T283"/>
    <mergeCell ref="S281:T281"/>
    <mergeCell ref="S282:T282"/>
    <mergeCell ref="S278:T278"/>
    <mergeCell ref="S280:T280"/>
    <mergeCell ref="S279:T279"/>
    <mergeCell ref="S260:T260"/>
    <mergeCell ref="S267:T267"/>
    <mergeCell ref="S107:T107"/>
    <mergeCell ref="S108:T108"/>
    <mergeCell ref="S109:T109"/>
    <mergeCell ref="S110:T110"/>
    <mergeCell ref="S193:T193"/>
    <mergeCell ref="S274:T274"/>
    <mergeCell ref="S172:T172"/>
    <mergeCell ref="S187:T187"/>
    <mergeCell ref="S174:T174"/>
    <mergeCell ref="S173:T173"/>
    <mergeCell ref="S188:T188"/>
    <mergeCell ref="S189:T189"/>
    <mergeCell ref="S190:T190"/>
    <mergeCell ref="S206:T206"/>
    <mergeCell ref="S114:T114"/>
    <mergeCell ref="S78:T78"/>
    <mergeCell ref="S275:T275"/>
    <mergeCell ref="S121:T121"/>
    <mergeCell ref="S115:T115"/>
    <mergeCell ref="S116:T116"/>
    <mergeCell ref="S194:T194"/>
    <mergeCell ref="S195:T195"/>
    <mergeCell ref="S196:T196"/>
    <mergeCell ref="S197:T197"/>
    <mergeCell ref="S276:T276"/>
    <mergeCell ref="S154:T154"/>
    <mergeCell ref="S155:T155"/>
    <mergeCell ref="S156:T156"/>
    <mergeCell ref="S175:T175"/>
    <mergeCell ref="S198:T198"/>
    <mergeCell ref="S186:T186"/>
    <mergeCell ref="S171:T171"/>
    <mergeCell ref="S169:T169"/>
    <mergeCell ref="S170:T170"/>
    <mergeCell ref="S277:T277"/>
    <mergeCell ref="S117:T117"/>
    <mergeCell ref="S105:T105"/>
    <mergeCell ref="S106:T106"/>
    <mergeCell ref="S147:T147"/>
    <mergeCell ref="S263:T263"/>
    <mergeCell ref="S264:T264"/>
    <mergeCell ref="S151:T151"/>
    <mergeCell ref="S152:T152"/>
    <mergeCell ref="S153:T153"/>
    <mergeCell ref="S131:T131"/>
    <mergeCell ref="S129:T129"/>
    <mergeCell ref="S130:T130"/>
    <mergeCell ref="S157:T157"/>
    <mergeCell ref="S137:T137"/>
  </mergeCells>
  <printOptions horizontalCentered="1"/>
  <pageMargins left="0.1968503937007874" right="0.15748031496062992" top="0.23" bottom="0.22" header="0.17" footer="0.15748031496062992"/>
  <pageSetup horizontalDpi="300" verticalDpi="300"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sciacovelli</dc:creator>
  <cp:keywords/>
  <dc:description/>
  <cp:lastModifiedBy>.</cp:lastModifiedBy>
  <cp:lastPrinted>2009-03-18T15:50:01Z</cp:lastPrinted>
  <dcterms:created xsi:type="dcterms:W3CDTF">2005-04-28T08:10:49Z</dcterms:created>
  <dcterms:modified xsi:type="dcterms:W3CDTF">2009-03-18T15:50:05Z</dcterms:modified>
  <cp:category/>
  <cp:version/>
  <cp:contentType/>
  <cp:contentStatus/>
</cp:coreProperties>
</file>