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iepilogo" sheetId="1" r:id="rId1"/>
    <sheet name="Complessivo" sheetId="2" r:id="rId2"/>
  </sheets>
  <definedNames>
    <definedName name="_xlnm.Print_Area" localSheetId="1">'Complessivo'!$A$1:$T$154</definedName>
    <definedName name="_xlnm.Print_Titles" localSheetId="1">'Complessivo'!$1:$1</definedName>
  </definedNames>
  <calcPr fullCalcOnLoad="1"/>
</workbook>
</file>

<file path=xl/sharedStrings.xml><?xml version="1.0" encoding="utf-8"?>
<sst xmlns="http://schemas.openxmlformats.org/spreadsheetml/2006/main" count="659" uniqueCount="193">
  <si>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</si>
  <si>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</si>
  <si>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</si>
  <si>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</si>
  <si>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</si>
  <si>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</si>
  <si>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</si>
  <si>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</si>
  <si>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</si>
  <si>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</si>
  <si>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</si>
  <si>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</si>
  <si>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</si>
  <si>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</si>
  <si>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</si>
  <si>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</si>
  <si>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</si>
  <si>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</si>
  <si>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</si>
  <si>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</si>
  <si>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</si>
  <si>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</si>
  <si>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</si>
  <si>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</si>
  <si>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</si>
  <si>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</si>
  <si>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</si>
  <si>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</si>
  <si>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</si>
  <si>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</si>
  <si>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</si>
  <si>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</si>
  <si>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</si>
  <si>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</si>
  <si>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</si>
  <si>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</si>
  <si>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</si>
  <si>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</si>
  <si>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</si>
  <si>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</si>
  <si>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</si>
  <si>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Totale costi ammessi</t>
  </si>
  <si>
    <t>Contributo iva</t>
  </si>
  <si>
    <t>TOT CONTR</t>
  </si>
  <si>
    <t>Spesa ammessa</t>
  </si>
  <si>
    <t>Iva ammessa</t>
  </si>
  <si>
    <t>TOT ammes</t>
  </si>
  <si>
    <t>Contrib. Costi</t>
  </si>
  <si>
    <t>Contrib. Iva</t>
  </si>
  <si>
    <t>CONFCOMMERCIO REGIONALE PUGLIA  50 - RIEPILOGO SPESE</t>
  </si>
  <si>
    <t>Unione Regionale del commercio e del turismo della Puglia</t>
  </si>
  <si>
    <t>WP 6: Attività di diffusione e promozione</t>
  </si>
  <si>
    <t>Medianet di Giorgi Simona</t>
  </si>
  <si>
    <t>Bonifico Bancario</t>
  </si>
  <si>
    <t>Pagamento polizza fideiussoria</t>
  </si>
  <si>
    <t>MILANO ASSICURAZIONI</t>
  </si>
  <si>
    <t>P. Fid. N. 2250200820881</t>
  </si>
  <si>
    <t>II</t>
  </si>
  <si>
    <t>WP1: Gestione Progetto</t>
  </si>
  <si>
    <t>WP6: Attività di promozione e diffusione</t>
  </si>
  <si>
    <t>Alfredo Malcarne</t>
  </si>
  <si>
    <t>Bonifico</t>
  </si>
  <si>
    <t>Medianet di Simona Giorgi</t>
  </si>
  <si>
    <t>CAT Puglia Confcommercio s.c.a.r.l.</t>
  </si>
  <si>
    <t>WP 2.1: Analisi funzion architettura Portale</t>
  </si>
  <si>
    <t>WP 2.2: Analisi funzion Banca Dati Associati</t>
  </si>
  <si>
    <t>WP 2.3: Analisi funzion Banca Dati Lavoro</t>
  </si>
  <si>
    <t>WP5: Fidelity card</t>
  </si>
  <si>
    <t>Sinternet</t>
  </si>
  <si>
    <t>HGP</t>
  </si>
  <si>
    <t>WP 2.0 Individuazione ed implementazione procedure</t>
  </si>
  <si>
    <t>WP 2.0 Individuazione ed implementazione procedure Analisi Funzionale</t>
  </si>
  <si>
    <t>SINTER &amp; NET</t>
  </si>
  <si>
    <t>05-I-206</t>
  </si>
  <si>
    <t>WP 2.1 Progettazione e realizzazione di una intranet Analisi e studio architettura</t>
  </si>
  <si>
    <t>05-I-209</t>
  </si>
  <si>
    <t>WP 2.0 Individuazione ed implementazione procedure Direzione commessa</t>
  </si>
  <si>
    <t>05-I-215</t>
  </si>
  <si>
    <t>WP 2.0 Individuazione ed implementazione procedure Direzione Progetto</t>
  </si>
  <si>
    <t>05-I-216</t>
  </si>
  <si>
    <t>WP 2.2 Progettazione e realizzazione della Banca Dati Associati Confcommercio Organizzazione</t>
  </si>
  <si>
    <t>05-I-239</t>
  </si>
  <si>
    <t xml:space="preserve">WP 4.1 E-learning - Analisi tecnica gestione formazione </t>
  </si>
  <si>
    <t>05-I-240</t>
  </si>
  <si>
    <t>05-I-294</t>
  </si>
  <si>
    <t>ASCOM Confcommercio Taranto</t>
  </si>
  <si>
    <t>De Florio Cataldo, Giannuzzi Alfonso, Malagnini Cosimo</t>
  </si>
  <si>
    <t>CAT Confcommercio Foggia</t>
  </si>
  <si>
    <t>Trotta Antonio, Accettulli Salvatore, Compagnone Luca, Alborea Concetta Maria</t>
  </si>
  <si>
    <t>Unione Provinciale commercio e turismo Servizi PMI Foggia</t>
  </si>
  <si>
    <t>Faienza Tommaso, Natella Aldo, Cavuoto Luigi, Rutigliano Leonardo</t>
  </si>
  <si>
    <t>SE.T.TE. DUE SRL</t>
  </si>
  <si>
    <t>Quarta Giuseppe, Arnò Maria Cristina</t>
  </si>
  <si>
    <t>ASCOM Confcommercio Lecce</t>
  </si>
  <si>
    <t>Vozza Daniela, Pastore Federico, Totaro Luigi</t>
  </si>
  <si>
    <t>CAT Confcommercio Lecce Srl</t>
  </si>
  <si>
    <t>Antonazzo Simona</t>
  </si>
  <si>
    <t>INCOM</t>
  </si>
  <si>
    <t>Colella Angelo, Rizzo Antonio, Di Iasio Biagio, Malcarne Alfredo</t>
  </si>
  <si>
    <t>Mancano riepilogativi consulenza giornaliera, contratti e curriculum delle persone che hanno effettuato la consulenza, senza i quali questa spesa sarà stralciata nel prossimo sal</t>
  </si>
  <si>
    <t>Mancano contratto, curriculum e riepilogativi consulenza giornaliera senza i quali questa spesa sarà stralciata nel prossimo sal</t>
  </si>
  <si>
    <t>Chiarelli Giuseppe, Fusco Alessandro, Gigante Maria Teresa, Cannone Paola, Caputo Andrea</t>
  </si>
  <si>
    <t>Caputo Andrea</t>
  </si>
  <si>
    <t>Mancano i riepilogativi consulenza giornaliera senza i quali questa spesa sarà stralciata nel prossimo sal</t>
  </si>
  <si>
    <t xml:space="preserve">Per euro 293,16 del mese di luglio manca tabella di riepilogo </t>
  </si>
  <si>
    <t>Ammessi in via provvisoria in attesa di verifica formale.</t>
  </si>
  <si>
    <t>Non ammesse in ogni caso le imposte sulla fidejussione</t>
  </si>
  <si>
    <t>SAL 1 periodo 03/06/2004 - 31/10/2005</t>
  </si>
  <si>
    <t>Trattasi di persone che hanno avuto contratti a progetto e consulenze occasionali in diversi periodi, ma le tariffe devono essere: paragonabili a un livello di inquadramento professionale per i cocopro, e corrispondenti alle fasce di costo I,II e III per le consulenze. Le consulenze vanno riportati alla voce consulenze e non personale, con il riepilogativo giornaliero e la documentazione necessaria. Per il personale fornire calcolo del costo orario. Chiarire infine i poteri di firma del segretario Giuseppe Chiarelli in rappresentanza dell'Unione Regionale del Commercio nella sottoscrizione dei contratti.</t>
  </si>
  <si>
    <t>Cosa centra Sistema imprese con Cat Puglia? Tolti costi di Caputo Andrea</t>
  </si>
  <si>
    <t>Storno relativo a tutta l'iva ammessa a CAT Puglia Confcommercio scarl.L'iva di Unione Regionale del Commercio e del Turismo della Puglia è stata stornata fino al raggiungimento del budget disponibile(stornati importi in rosso)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</si>
  <si>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</si>
  <si>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</si>
  <si>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</si>
  <si>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</si>
  <si>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</si>
  <si>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</si>
  <si>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</si>
  <si>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</si>
  <si>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</si>
  <si>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</si>
  <si>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</si>
  <si>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</si>
  <si>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</si>
  <si>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</si>
  <si>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</si>
  <si>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</si>
  <si>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</si>
  <si>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</si>
  <si>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</si>
  <si>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</si>
  <si>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</si>
  <si>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</si>
  <si>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</si>
  <si>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</si>
  <si>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</si>
  <si>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</si>
  <si>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CONFCOMMERCIO 50</t>
  </si>
  <si>
    <t>Incom</t>
  </si>
  <si>
    <t>progetto di 36 + 6</t>
  </si>
  <si>
    <t>03/06/2005 - 02/10/2006</t>
  </si>
  <si>
    <t>SAL 1  03/06/2004 - 31/10/2005</t>
  </si>
  <si>
    <t>Associazione Commercio e Turismo Brindisi</t>
  </si>
  <si>
    <t>SAL 2 periodo 03/10/2005 - 02/10/2006</t>
  </si>
  <si>
    <t>Ascom servizi srl</t>
  </si>
  <si>
    <t>Cofidi Commercianti di capitanata scarl</t>
  </si>
  <si>
    <t xml:space="preserve">Ascom Lecce Confcommercio </t>
  </si>
  <si>
    <t>CAT Confcommercio Lecce s.r.l.</t>
  </si>
  <si>
    <t>SE.T.Te Due Servizi Tributari Terziario srl</t>
  </si>
  <si>
    <t>CO.FIDI - Cooperativa fidi scarl</t>
  </si>
  <si>
    <t>Consorzio Parco Tecnologico e-Quality</t>
  </si>
  <si>
    <t>Associazione Commercio e Turismo Taranto</t>
  </si>
  <si>
    <t>Cofidi Commercianti scarl</t>
  </si>
  <si>
    <t>Confcommercio PMI Foggia</t>
  </si>
  <si>
    <t>CAT Confcommercio s.c.a.r.l. Foggia</t>
  </si>
  <si>
    <t xml:space="preserve">WP 6: Attività di diffusione e promozione </t>
  </si>
  <si>
    <t>Pagamento commercialista</t>
  </si>
  <si>
    <t>L'Abbate Alessandra</t>
  </si>
  <si>
    <t>Aurora Assicurazioni</t>
  </si>
  <si>
    <t>Chiarelli Giuseppe, Fusco Alessandro, Gigante Maria Teresa, Cannone Paola, Lionetti Angela</t>
  </si>
  <si>
    <t>WP 5 - FIDELITY CARD</t>
  </si>
  <si>
    <t>HOLDING GESTIONE PROGETTI</t>
  </si>
  <si>
    <t>Bonifico bancario</t>
  </si>
  <si>
    <t xml:space="preserve">WP 2.2 Progettazione e realizzazione della Banca Dati Associati Confcommercio </t>
  </si>
  <si>
    <t>05-I-389</t>
  </si>
  <si>
    <t>05-I-390</t>
  </si>
  <si>
    <t>WP 2.0/3 Termine Analisi Funzionale</t>
  </si>
  <si>
    <t>05-I-391</t>
  </si>
  <si>
    <t>WP 2.1/1 Sviluppo del Portale</t>
  </si>
  <si>
    <t>05-I-392</t>
  </si>
  <si>
    <t>WP 2.2 Organizzazione</t>
  </si>
  <si>
    <t>05-I-393</t>
  </si>
  <si>
    <t>WP 4.3 E-quality e controllo di gestione</t>
  </si>
  <si>
    <t>05-I-394</t>
  </si>
  <si>
    <t>05-I-395</t>
  </si>
  <si>
    <t>WP 2.1:  Italian Lic/SA Pack OLP, CRM Professional Server Italian, CRM Professional CAL Italian, Media kit Windows Svr Std 2003,.  R2 Win 32 Italian Disk</t>
  </si>
  <si>
    <t>WP 5: SOFTWARE</t>
  </si>
  <si>
    <t>WP 5: CANONE E LICENZA CARTA PREMIA</t>
  </si>
  <si>
    <t>WP 2.1 Progettazione e realizzazione di una intranet</t>
  </si>
  <si>
    <t>INFOSYSTEM  S.r.l.</t>
  </si>
  <si>
    <t xml:space="preserve">Pagamento commercialista </t>
  </si>
  <si>
    <t>spese pubblicità - PROMOZIONE</t>
  </si>
  <si>
    <t>n.ro 8 dipendenti</t>
  </si>
  <si>
    <t>n.ro 6 dipendenti</t>
  </si>
  <si>
    <t>n.ro 3 dipendenti</t>
  </si>
  <si>
    <t>n.ro 5 dipendenti</t>
  </si>
  <si>
    <t>COFIDI LECCE</t>
  </si>
  <si>
    <t>Paladini Enio</t>
  </si>
  <si>
    <t>n.ro 4 dipendenti</t>
  </si>
  <si>
    <t>SETTEDUE Srl</t>
  </si>
  <si>
    <t>n.ro 7 dipendenti</t>
  </si>
  <si>
    <t>SAL 2 03/10/2005 - 02/10/2006</t>
  </si>
  <si>
    <t>Ammesso provvisoriamente in attesa di istruttoria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</si>
</sst>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[$-410]dddd\ d\ mmmm\ yyyy"/>
    <numFmt numFmtId="176" formatCode="#,##0.000"/>
    <numFmt numFmtId="177" formatCode="#,##0.0000"/>
  </numFmts>
  <fonts count="20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8" applyNumberFormat="1" applyFont="1" applyFill="1" applyBorder="1" applyAlignment="1">
      <alignment horizontal="right"/>
    </xf>
    <xf numFmtId="171" fontId="3" fillId="0" borderId="2" xfId="18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6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13" xfId="0" applyNumberFormat="1" applyFont="1" applyBorder="1" applyAlignment="1" applyProtection="1">
      <alignment horizontal="right"/>
      <protection/>
    </xf>
    <xf numFmtId="4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6" xfId="0" applyNumberFormat="1" applyFont="1" applyBorder="1" applyAlignment="1" applyProtection="1">
      <alignment horizontal="left" vertical="center" wrapText="1"/>
      <protection locked="0"/>
    </xf>
    <xf numFmtId="4" fontId="10" fillId="0" borderId="0" xfId="0" applyNumberFormat="1" applyFont="1" applyBorder="1" applyAlignment="1">
      <alignment/>
    </xf>
    <xf numFmtId="16" fontId="3" fillId="0" borderId="2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4" fontId="14" fillId="0" borderId="2" xfId="0" applyNumberFormat="1" applyFont="1" applyBorder="1" applyAlignment="1">
      <alignment horizontal="right"/>
    </xf>
    <xf numFmtId="0" fontId="14" fillId="0" borderId="15" xfId="0" applyFont="1" applyBorder="1" applyAlignment="1">
      <alignment wrapText="1"/>
    </xf>
    <xf numFmtId="0" fontId="14" fillId="0" borderId="2" xfId="0" applyFont="1" applyBorder="1" applyAlignment="1">
      <alignment wrapText="1"/>
    </xf>
    <xf numFmtId="14" fontId="14" fillId="0" borderId="2" xfId="0" applyNumberFormat="1" applyFont="1" applyBorder="1" applyAlignment="1">
      <alignment/>
    </xf>
    <xf numFmtId="14" fontId="14" fillId="0" borderId="2" xfId="0" applyNumberFormat="1" applyFont="1" applyBorder="1" applyAlignment="1">
      <alignment/>
    </xf>
    <xf numFmtId="4" fontId="14" fillId="0" borderId="2" xfId="0" applyNumberFormat="1" applyFont="1" applyBorder="1" applyAlignment="1" applyProtection="1">
      <alignment/>
      <protection/>
    </xf>
    <xf numFmtId="4" fontId="14" fillId="0" borderId="2" xfId="0" applyNumberFormat="1" applyFont="1" applyBorder="1" applyAlignment="1">
      <alignment/>
    </xf>
    <xf numFmtId="0" fontId="14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4" fillId="0" borderId="2" xfId="0" applyFont="1" applyBorder="1" applyAlignment="1">
      <alignment/>
    </xf>
    <xf numFmtId="14" fontId="14" fillId="0" borderId="2" xfId="0" applyNumberFormat="1" applyFont="1" applyBorder="1" applyAlignment="1">
      <alignment wrapText="1"/>
    </xf>
    <xf numFmtId="0" fontId="14" fillId="0" borderId="2" xfId="0" applyFont="1" applyBorder="1" applyAlignment="1">
      <alignment/>
    </xf>
    <xf numFmtId="4" fontId="15" fillId="0" borderId="1" xfId="0" applyNumberFormat="1" applyFont="1" applyBorder="1" applyAlignment="1">
      <alignment horizontal="right" wrapText="1"/>
    </xf>
    <xf numFmtId="14" fontId="14" fillId="0" borderId="2" xfId="0" applyNumberFormat="1" applyFont="1" applyBorder="1" applyAlignment="1">
      <alignment horizontal="right"/>
    </xf>
    <xf numFmtId="2" fontId="14" fillId="0" borderId="2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/>
    </xf>
    <xf numFmtId="4" fontId="14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/>
    </xf>
    <xf numFmtId="4" fontId="14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4" xfId="0" applyNumberFormat="1" applyFont="1" applyFill="1" applyBorder="1" applyAlignment="1" applyProtection="1">
      <alignment horizontal="right"/>
      <protection/>
    </xf>
    <xf numFmtId="4" fontId="7" fillId="4" borderId="4" xfId="0" applyNumberFormat="1" applyFont="1" applyFill="1" applyBorder="1" applyAlignment="1" applyProtection="1">
      <alignment horizontal="right"/>
      <protection/>
    </xf>
    <xf numFmtId="4" fontId="15" fillId="4" borderId="2" xfId="0" applyNumberFormat="1" applyFont="1" applyFill="1" applyBorder="1" applyAlignment="1">
      <alignment horizontal="right" wrapText="1"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14" fillId="4" borderId="2" xfId="0" applyNumberFormat="1" applyFont="1" applyFill="1" applyBorder="1" applyAlignment="1">
      <alignment horizontal="right"/>
    </xf>
    <xf numFmtId="2" fontId="14" fillId="4" borderId="2" xfId="0" applyNumberFormat="1" applyFont="1" applyFill="1" applyBorder="1" applyAlignment="1">
      <alignment horizontal="right"/>
    </xf>
    <xf numFmtId="4" fontId="4" fillId="4" borderId="9" xfId="0" applyNumberFormat="1" applyFont="1" applyFill="1" applyBorder="1" applyAlignment="1" applyProtection="1">
      <alignment horizontal="right"/>
      <protection/>
    </xf>
    <xf numFmtId="170" fontId="3" fillId="4" borderId="2" xfId="0" applyNumberFormat="1" applyFont="1" applyFill="1" applyBorder="1" applyAlignment="1">
      <alignment/>
    </xf>
    <xf numFmtId="171" fontId="3" fillId="4" borderId="2" xfId="18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/>
    </xf>
    <xf numFmtId="4" fontId="5" fillId="4" borderId="5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right" wrapText="1"/>
    </xf>
    <xf numFmtId="4" fontId="3" fillId="5" borderId="2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/>
    </xf>
    <xf numFmtId="4" fontId="15" fillId="0" borderId="2" xfId="0" applyNumberFormat="1" applyFont="1" applyBorder="1" applyAlignment="1">
      <alignment horizontal="right" wrapText="1"/>
    </xf>
    <xf numFmtId="0" fontId="1" fillId="5" borderId="2" xfId="0" applyFont="1" applyFill="1" applyBorder="1" applyAlignment="1">
      <alignment horizontal="center"/>
    </xf>
    <xf numFmtId="16" fontId="3" fillId="5" borderId="2" xfId="0" applyNumberFormat="1" applyFont="1" applyFill="1" applyBorder="1" applyAlignment="1" quotePrefix="1">
      <alignment horizontal="center"/>
    </xf>
    <xf numFmtId="0" fontId="14" fillId="5" borderId="15" xfId="0" applyFont="1" applyFill="1" applyBorder="1" applyAlignment="1">
      <alignment wrapText="1"/>
    </xf>
    <xf numFmtId="0" fontId="14" fillId="5" borderId="2" xfId="0" applyFont="1" applyFill="1" applyBorder="1" applyAlignment="1">
      <alignment/>
    </xf>
    <xf numFmtId="14" fontId="14" fillId="5" borderId="2" xfId="0" applyNumberFormat="1" applyFont="1" applyFill="1" applyBorder="1" applyAlignment="1">
      <alignment/>
    </xf>
    <xf numFmtId="14" fontId="14" fillId="5" borderId="2" xfId="0" applyNumberFormat="1" applyFont="1" applyFill="1" applyBorder="1" applyAlignment="1">
      <alignment/>
    </xf>
    <xf numFmtId="4" fontId="14" fillId="5" borderId="2" xfId="0" applyNumberFormat="1" applyFont="1" applyFill="1" applyBorder="1" applyAlignment="1">
      <alignment/>
    </xf>
    <xf numFmtId="0" fontId="14" fillId="5" borderId="2" xfId="0" applyFont="1" applyFill="1" applyBorder="1" applyAlignment="1">
      <alignment/>
    </xf>
    <xf numFmtId="4" fontId="15" fillId="4" borderId="1" xfId="0" applyNumberFormat="1" applyFont="1" applyFill="1" applyBorder="1" applyAlignment="1">
      <alignment horizontal="right" wrapText="1"/>
    </xf>
    <xf numFmtId="4" fontId="4" fillId="0" borderId="14" xfId="0" applyNumberFormat="1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0" fontId="4" fillId="3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" fontId="4" fillId="0" borderId="16" xfId="0" applyNumberFormat="1" applyFont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4" fontId="17" fillId="0" borderId="18" xfId="0" applyNumberFormat="1" applyFont="1" applyBorder="1" applyAlignment="1">
      <alignment/>
    </xf>
    <xf numFmtId="0" fontId="17" fillId="0" borderId="19" xfId="0" applyFont="1" applyBorder="1" applyAlignment="1">
      <alignment/>
    </xf>
    <xf numFmtId="4" fontId="17" fillId="0" borderId="19" xfId="0" applyNumberFormat="1" applyFont="1" applyBorder="1" applyAlignment="1">
      <alignment/>
    </xf>
    <xf numFmtId="0" fontId="17" fillId="0" borderId="2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0" fontId="14" fillId="0" borderId="22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22" xfId="0" applyNumberFormat="1" applyFont="1" applyBorder="1" applyAlignment="1">
      <alignment/>
    </xf>
    <xf numFmtId="0" fontId="17" fillId="0" borderId="23" xfId="0" applyFont="1" applyBorder="1" applyAlignment="1">
      <alignment/>
    </xf>
    <xf numFmtId="4" fontId="14" fillId="0" borderId="17" xfId="0" applyNumberFormat="1" applyFont="1" applyBorder="1" applyAlignment="1">
      <alignment/>
    </xf>
    <xf numFmtId="10" fontId="14" fillId="0" borderId="24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18" xfId="0" applyFont="1" applyBorder="1" applyAlignment="1">
      <alignment/>
    </xf>
    <xf numFmtId="4" fontId="14" fillId="0" borderId="19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0" fontId="16" fillId="0" borderId="0" xfId="0" applyFont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4" fillId="0" borderId="15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14" fontId="14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25" xfId="0" applyFont="1" applyBorder="1" applyAlignment="1">
      <alignment horizontal="left" wrapText="1"/>
    </xf>
    <xf numFmtId="0" fontId="17" fillId="0" borderId="26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27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 applyProtection="1">
      <alignment horizontal="right"/>
      <protection/>
    </xf>
    <xf numFmtId="0" fontId="13" fillId="0" borderId="1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140625" style="170" customWidth="1"/>
    <col min="2" max="2" width="9.7109375" style="170" customWidth="1"/>
    <col min="3" max="3" width="9.421875" style="170" customWidth="1"/>
    <col min="4" max="4" width="11.140625" style="170" customWidth="1"/>
    <col min="5" max="5" width="10.8515625" style="170" customWidth="1"/>
    <col min="6" max="6" width="10.57421875" style="170" customWidth="1"/>
    <col min="7" max="7" width="10.8515625" style="170" customWidth="1"/>
    <col min="8" max="8" width="9.421875" style="170" customWidth="1"/>
    <col min="9" max="9" width="11.28125" style="170" customWidth="1"/>
    <col min="10" max="10" width="10.140625" style="170" customWidth="1"/>
    <col min="11" max="11" width="11.7109375" style="170" customWidth="1"/>
    <col min="12" max="16384" width="9.140625" style="170" customWidth="1"/>
  </cols>
  <sheetData>
    <row r="2" spans="1:11" ht="12.75">
      <c r="A2" s="236" t="s">
        <v>137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5" ht="12.75">
      <c r="D5" s="171"/>
    </row>
    <row r="6" spans="1:10" ht="12.75">
      <c r="A6" s="172" t="s">
        <v>0</v>
      </c>
      <c r="B6" s="173"/>
      <c r="C6" s="174" t="s">
        <v>138</v>
      </c>
      <c r="E6" s="175"/>
      <c r="I6" s="170" t="s">
        <v>111</v>
      </c>
      <c r="J6" s="176">
        <v>38141</v>
      </c>
    </row>
    <row r="7" spans="1:10" ht="12.75">
      <c r="A7" s="177" t="s">
        <v>34</v>
      </c>
      <c r="B7" s="178"/>
      <c r="C7" s="178"/>
      <c r="D7" s="179">
        <f>+Complessivo!G2</f>
        <v>3845266</v>
      </c>
      <c r="E7" s="180">
        <f>+Complessivo!H2</f>
        <v>0.32594822568841786</v>
      </c>
      <c r="G7" s="181"/>
      <c r="I7" s="170" t="s">
        <v>112</v>
      </c>
      <c r="J7" s="176">
        <v>39419</v>
      </c>
    </row>
    <row r="8" spans="1:9" ht="12.75">
      <c r="A8" s="177" t="s">
        <v>35</v>
      </c>
      <c r="B8" s="178"/>
      <c r="C8" s="178"/>
      <c r="D8" s="179">
        <f>+Complessivo!G3</f>
        <v>2499422.9</v>
      </c>
      <c r="E8" s="180">
        <f>+Complessivo!H3</f>
        <v>0.32571417165938593</v>
      </c>
      <c r="I8" s="182" t="s">
        <v>139</v>
      </c>
    </row>
    <row r="9" spans="1:5" ht="12.75">
      <c r="A9" s="177" t="s">
        <v>36</v>
      </c>
      <c r="B9" s="178"/>
      <c r="C9" s="178"/>
      <c r="D9" s="179">
        <f>+Complessivo!G4</f>
        <v>577.1000000000931</v>
      </c>
      <c r="E9" s="180">
        <f>+Complessivo!H4</f>
        <v>1.0136891353316648</v>
      </c>
    </row>
    <row r="10" spans="1:10" ht="12.75">
      <c r="A10" s="184" t="s">
        <v>37</v>
      </c>
      <c r="B10" s="171"/>
      <c r="C10" s="171"/>
      <c r="D10" s="185">
        <f>+Complessivo!G5</f>
        <v>2500000</v>
      </c>
      <c r="E10" s="186">
        <f>+Complessivo!H5</f>
        <v>0.32587298379999996</v>
      </c>
      <c r="I10" s="182" t="s">
        <v>113</v>
      </c>
      <c r="J10" s="187">
        <v>0.65</v>
      </c>
    </row>
    <row r="12" spans="4:6" ht="12.75">
      <c r="D12" s="188" t="s">
        <v>114</v>
      </c>
      <c r="E12" s="188" t="s">
        <v>115</v>
      </c>
      <c r="F12" s="188" t="s">
        <v>116</v>
      </c>
    </row>
    <row r="13" spans="1:6" ht="12.75">
      <c r="A13" s="189" t="s">
        <v>6</v>
      </c>
      <c r="B13" s="173"/>
      <c r="C13" s="173"/>
      <c r="D13" s="190">
        <f>+Complessivo!M8</f>
        <v>1024292.9999999999</v>
      </c>
      <c r="E13" s="191">
        <f>+Complessivo!M14</f>
        <v>363910.1199999999</v>
      </c>
      <c r="F13" s="179">
        <f>+D13-E13</f>
        <v>660382.88</v>
      </c>
    </row>
    <row r="14" spans="1:6" ht="12.75">
      <c r="A14" s="177" t="s">
        <v>7</v>
      </c>
      <c r="B14" s="178"/>
      <c r="C14" s="178"/>
      <c r="D14" s="179">
        <f>+Complessivo!M39</f>
        <v>1857960</v>
      </c>
      <c r="E14" s="183">
        <f>+Complessivo!M45</f>
        <v>1475997.77</v>
      </c>
      <c r="F14" s="179">
        <f aca="true" t="shared" si="0" ref="F14:F19">+D14-E14</f>
        <v>381962.23</v>
      </c>
    </row>
    <row r="15" spans="1:6" ht="12.75">
      <c r="A15" s="177" t="s">
        <v>1</v>
      </c>
      <c r="B15" s="178"/>
      <c r="C15" s="178"/>
      <c r="D15" s="179">
        <f>+Complessivo!M85</f>
        <v>0</v>
      </c>
      <c r="E15" s="183">
        <f>+Complessivo!M91</f>
        <v>0</v>
      </c>
      <c r="F15" s="179">
        <f t="shared" si="0"/>
        <v>0</v>
      </c>
    </row>
    <row r="16" spans="1:6" ht="12.75">
      <c r="A16" s="177" t="s">
        <v>8</v>
      </c>
      <c r="B16" s="178"/>
      <c r="C16" s="178"/>
      <c r="D16" s="179">
        <f>+Complessivo!M97</f>
        <v>160000</v>
      </c>
      <c r="E16" s="183">
        <f>+Complessivo!M103</f>
        <v>35785.66</v>
      </c>
      <c r="F16" s="179">
        <f t="shared" si="0"/>
        <v>124214.34</v>
      </c>
    </row>
    <row r="17" spans="1:6" ht="12.75">
      <c r="A17" s="177" t="s">
        <v>23</v>
      </c>
      <c r="B17" s="178"/>
      <c r="C17" s="178"/>
      <c r="D17" s="179">
        <f>+Complessivo!M111</f>
        <v>90000</v>
      </c>
      <c r="E17" s="183">
        <f>+Complessivo!M117</f>
        <v>59350</v>
      </c>
      <c r="F17" s="179">
        <f t="shared" si="0"/>
        <v>30650</v>
      </c>
    </row>
    <row r="18" spans="1:6" ht="12.75">
      <c r="A18" s="177" t="s">
        <v>9</v>
      </c>
      <c r="B18" s="178"/>
      <c r="C18" s="178"/>
      <c r="D18" s="179">
        <f>+Complessivo!M124</f>
        <v>360000</v>
      </c>
      <c r="E18" s="183">
        <f>+Complessivo!M130</f>
        <v>342894</v>
      </c>
      <c r="F18" s="179">
        <f t="shared" si="0"/>
        <v>17106</v>
      </c>
    </row>
    <row r="19" spans="1:6" ht="12.75">
      <c r="A19" s="184" t="s">
        <v>10</v>
      </c>
      <c r="B19" s="171"/>
      <c r="C19" s="171"/>
      <c r="D19" s="185">
        <f>+Complessivo!M137</f>
        <v>353013</v>
      </c>
      <c r="E19" s="192">
        <f>+Complessivo!M143</f>
        <v>314870.82</v>
      </c>
      <c r="F19" s="179">
        <f t="shared" si="0"/>
        <v>38142.17999999999</v>
      </c>
    </row>
    <row r="20" spans="4:6" ht="12.75">
      <c r="D20" s="193">
        <f>SUM(D13:D19)</f>
        <v>3845266</v>
      </c>
      <c r="E20" s="193">
        <f>SUM(E13:E19)</f>
        <v>2592808.3699999996</v>
      </c>
      <c r="F20" s="193">
        <f>SUM(F13:F19)</f>
        <v>1252457.63</v>
      </c>
    </row>
    <row r="22" spans="4:11" ht="21">
      <c r="D22" s="194" t="s">
        <v>21</v>
      </c>
      <c r="E22" s="194" t="s">
        <v>117</v>
      </c>
      <c r="F22" s="195" t="s">
        <v>118</v>
      </c>
      <c r="G22" s="194" t="s">
        <v>22</v>
      </c>
      <c r="H22" s="194" t="s">
        <v>119</v>
      </c>
      <c r="I22" s="195" t="s">
        <v>120</v>
      </c>
      <c r="J22" s="194" t="s">
        <v>121</v>
      </c>
      <c r="K22" s="194" t="s">
        <v>122</v>
      </c>
    </row>
    <row r="23" spans="1:11" ht="12.75">
      <c r="A23" s="170" t="s">
        <v>123</v>
      </c>
      <c r="D23" s="193">
        <f>+Complessivo!M2</f>
        <v>1252457.6300000001</v>
      </c>
      <c r="E23" s="193">
        <f>+Complessivo!N2</f>
        <v>899.9999999999964</v>
      </c>
      <c r="F23" s="193">
        <f>+Complessivo!O2</f>
        <v>1253357.63</v>
      </c>
      <c r="G23" s="193">
        <f>+Complessivo!P2</f>
        <v>814097.4595000001</v>
      </c>
      <c r="H23" s="193">
        <f>+Complessivo!Q2</f>
        <v>584.9999999999982</v>
      </c>
      <c r="I23" s="193">
        <f>+Complessivo!R2</f>
        <v>814682.4594999999</v>
      </c>
      <c r="J23" s="193">
        <f>+Complessivo!S2</f>
        <v>305505.92231249996</v>
      </c>
      <c r="K23" s="193">
        <f>+Complessivo!T2</f>
        <v>509176.5371874999</v>
      </c>
    </row>
    <row r="24" spans="1:12" ht="12.75">
      <c r="A24" s="181" t="s">
        <v>141</v>
      </c>
      <c r="B24" s="181"/>
      <c r="D24" s="193">
        <f>+Complessivo!M3</f>
        <v>371348.06</v>
      </c>
      <c r="E24" s="193">
        <f>+Complessivo!N3</f>
        <v>17379.291999999998</v>
      </c>
      <c r="F24" s="193">
        <f>+Complessivo!O3</f>
        <v>388727.35199999996</v>
      </c>
      <c r="G24" s="193">
        <f>+Complessivo!P3</f>
        <v>241376.239</v>
      </c>
      <c r="H24" s="193">
        <f>+Complessivo!Q3</f>
        <v>11296.539799999999</v>
      </c>
      <c r="I24" s="193">
        <f>+Complessivo!R3</f>
        <v>252672.7788</v>
      </c>
      <c r="J24" s="193">
        <f>+Complessivo!S3</f>
        <v>94752.29204999999</v>
      </c>
      <c r="K24" s="193">
        <f>+Complessivo!T3</f>
        <v>157920.48674999998</v>
      </c>
      <c r="L24" s="181"/>
    </row>
    <row r="25" spans="1:12" ht="12.75">
      <c r="A25" s="181" t="s">
        <v>191</v>
      </c>
      <c r="B25" s="193"/>
      <c r="D25" s="193">
        <f>+Complessivo!M4</f>
        <v>881109.5700000001</v>
      </c>
      <c r="E25" s="193">
        <f>+Complessivo!N4</f>
        <v>-16479.292</v>
      </c>
      <c r="F25" s="196">
        <f>+Complessivo!O4</f>
        <v>864630.278</v>
      </c>
      <c r="G25" s="193">
        <f>+Complessivo!P4</f>
        <v>572721.2205</v>
      </c>
      <c r="H25" s="193">
        <f>+Complessivo!Q4</f>
        <v>-10711.5398</v>
      </c>
      <c r="I25" s="196">
        <f>+Complessivo!R4</f>
        <v>562009.6806999999</v>
      </c>
      <c r="J25" s="193">
        <f>+Complessivo!S4</f>
        <v>210753.63026249997</v>
      </c>
      <c r="K25" s="196">
        <f>+Complessivo!T4</f>
        <v>351256.05043749994</v>
      </c>
      <c r="L25" s="181"/>
    </row>
    <row r="26" spans="1:12" ht="12.75">
      <c r="A26" s="181"/>
      <c r="B26" s="193"/>
      <c r="D26" s="193"/>
      <c r="E26" s="193"/>
      <c r="F26" s="193"/>
      <c r="G26" s="193"/>
      <c r="H26" s="193"/>
      <c r="I26" s="193"/>
      <c r="J26" s="193"/>
      <c r="K26" s="193"/>
      <c r="L26" s="181"/>
    </row>
    <row r="27" spans="1:12" ht="12.75">
      <c r="A27" s="181"/>
      <c r="B27" s="193"/>
      <c r="D27" s="193"/>
      <c r="E27" s="193"/>
      <c r="F27" s="193"/>
      <c r="G27" s="193"/>
      <c r="H27" s="193"/>
      <c r="I27" s="193"/>
      <c r="J27" s="193"/>
      <c r="K27" s="193"/>
      <c r="L27" s="181"/>
    </row>
    <row r="28" spans="1:12" ht="12.75">
      <c r="A28" s="181"/>
      <c r="B28" s="193"/>
      <c r="D28" s="193"/>
      <c r="E28" s="193"/>
      <c r="F28" s="193"/>
      <c r="G28" s="193"/>
      <c r="H28" s="193"/>
      <c r="I28" s="193"/>
      <c r="J28" s="193"/>
      <c r="K28" s="193"/>
      <c r="L28" s="181"/>
    </row>
    <row r="29" spans="1:12" ht="12.75">
      <c r="A29" s="181"/>
      <c r="B29" s="193"/>
      <c r="D29" s="193"/>
      <c r="E29" s="193"/>
      <c r="F29" s="193"/>
      <c r="G29" s="193"/>
      <c r="H29" s="193"/>
      <c r="I29" s="193"/>
      <c r="J29" s="193"/>
      <c r="K29" s="193"/>
      <c r="L29" s="181"/>
    </row>
    <row r="30" spans="1:11" ht="12.75">
      <c r="A30" s="181"/>
      <c r="D30" s="193"/>
      <c r="E30" s="193"/>
      <c r="F30" s="193"/>
      <c r="G30" s="193"/>
      <c r="H30" s="193"/>
      <c r="I30" s="193"/>
      <c r="J30" s="193"/>
      <c r="K30" s="196"/>
    </row>
    <row r="31" ht="12.75">
      <c r="E31" s="197"/>
    </row>
    <row r="32" spans="1:11" ht="38.25">
      <c r="A32" s="226" t="s">
        <v>124</v>
      </c>
      <c r="B32" s="227"/>
      <c r="C32" s="227"/>
      <c r="D32" s="227"/>
      <c r="E32" s="227"/>
      <c r="F32" s="227"/>
      <c r="G32" s="227"/>
      <c r="H32" s="228"/>
      <c r="I32" s="198" t="s">
        <v>125</v>
      </c>
      <c r="J32" s="198" t="s">
        <v>126</v>
      </c>
      <c r="K32" s="199" t="s">
        <v>127</v>
      </c>
    </row>
    <row r="33" spans="1:11" ht="12.75">
      <c r="A33" s="206" t="s">
        <v>50</v>
      </c>
      <c r="B33" s="178"/>
      <c r="C33" s="178"/>
      <c r="D33" s="178"/>
      <c r="E33" s="178"/>
      <c r="F33" s="178"/>
      <c r="G33" s="178"/>
      <c r="H33" s="178"/>
      <c r="I33" s="169"/>
      <c r="J33" s="237"/>
      <c r="K33" s="178"/>
    </row>
    <row r="34" spans="1:11" ht="12.75">
      <c r="A34" s="178" t="s">
        <v>142</v>
      </c>
      <c r="B34" s="178"/>
      <c r="C34" s="178"/>
      <c r="D34" s="178"/>
      <c r="E34" s="178"/>
      <c r="F34" s="178"/>
      <c r="G34" s="178"/>
      <c r="H34" s="178"/>
      <c r="I34" s="169"/>
      <c r="J34" s="238"/>
      <c r="K34" s="178"/>
    </row>
    <row r="35" spans="1:11" ht="12.75">
      <c r="A35" s="178" t="s">
        <v>152</v>
      </c>
      <c r="B35" s="178"/>
      <c r="C35" s="178"/>
      <c r="D35" s="178"/>
      <c r="E35" s="178"/>
      <c r="F35" s="178"/>
      <c r="G35" s="178"/>
      <c r="H35" s="178"/>
      <c r="I35" s="169"/>
      <c r="J35" s="238"/>
      <c r="K35" s="178"/>
    </row>
    <row r="36" spans="1:11" ht="12.75">
      <c r="A36" s="178" t="s">
        <v>153</v>
      </c>
      <c r="B36" s="178"/>
      <c r="C36" s="178"/>
      <c r="D36" s="178"/>
      <c r="E36" s="178"/>
      <c r="F36" s="178"/>
      <c r="G36" s="178"/>
      <c r="H36" s="178"/>
      <c r="I36" s="169"/>
      <c r="J36" s="238"/>
      <c r="K36" s="178"/>
    </row>
    <row r="37" spans="1:11" ht="12.75">
      <c r="A37" s="178" t="s">
        <v>144</v>
      </c>
      <c r="B37" s="178"/>
      <c r="C37" s="178"/>
      <c r="D37" s="178"/>
      <c r="E37" s="178"/>
      <c r="F37" s="178"/>
      <c r="G37" s="178"/>
      <c r="H37" s="178"/>
      <c r="I37" s="169"/>
      <c r="J37" s="238"/>
      <c r="K37" s="178"/>
    </row>
    <row r="38" spans="1:11" ht="12.75">
      <c r="A38" s="178" t="s">
        <v>154</v>
      </c>
      <c r="B38" s="178"/>
      <c r="C38" s="178"/>
      <c r="D38" s="178"/>
      <c r="E38" s="178"/>
      <c r="F38" s="178"/>
      <c r="G38" s="178"/>
      <c r="H38" s="178"/>
      <c r="I38" s="169"/>
      <c r="J38" s="238"/>
      <c r="K38" s="178"/>
    </row>
    <row r="39" spans="1:11" ht="12.75">
      <c r="A39" s="178" t="s">
        <v>145</v>
      </c>
      <c r="B39" s="178"/>
      <c r="C39" s="178"/>
      <c r="D39" s="178"/>
      <c r="E39" s="178"/>
      <c r="F39" s="178"/>
      <c r="G39" s="178"/>
      <c r="H39" s="178"/>
      <c r="I39" s="169"/>
      <c r="J39" s="238"/>
      <c r="K39" s="178"/>
    </row>
    <row r="40" spans="1:11" ht="12.75">
      <c r="A40" s="178" t="s">
        <v>63</v>
      </c>
      <c r="B40" s="178"/>
      <c r="C40" s="178"/>
      <c r="D40" s="178"/>
      <c r="E40" s="178"/>
      <c r="F40" s="178"/>
      <c r="G40" s="178"/>
      <c r="H40" s="178"/>
      <c r="I40" s="169"/>
      <c r="J40" s="238"/>
      <c r="K40" s="178"/>
    </row>
    <row r="41" spans="1:11" ht="12.75">
      <c r="A41" s="178" t="s">
        <v>146</v>
      </c>
      <c r="B41" s="178"/>
      <c r="C41" s="178"/>
      <c r="D41" s="178"/>
      <c r="E41" s="178"/>
      <c r="F41" s="178"/>
      <c r="G41" s="178"/>
      <c r="H41" s="178"/>
      <c r="I41" s="169"/>
      <c r="J41" s="238"/>
      <c r="K41" s="178"/>
    </row>
    <row r="42" spans="1:11" ht="12.75">
      <c r="A42" s="178" t="s">
        <v>147</v>
      </c>
      <c r="B42" s="178"/>
      <c r="C42" s="178"/>
      <c r="D42" s="178"/>
      <c r="E42" s="178"/>
      <c r="F42" s="178"/>
      <c r="G42" s="178"/>
      <c r="H42" s="178"/>
      <c r="I42" s="169"/>
      <c r="J42" s="238"/>
      <c r="K42" s="178"/>
    </row>
    <row r="43" spans="1:11" ht="12.75">
      <c r="A43" s="178" t="s">
        <v>148</v>
      </c>
      <c r="B43" s="178"/>
      <c r="C43" s="178"/>
      <c r="D43" s="178"/>
      <c r="E43" s="178"/>
      <c r="F43" s="178"/>
      <c r="G43" s="178"/>
      <c r="H43" s="178"/>
      <c r="I43" s="169"/>
      <c r="J43" s="238"/>
      <c r="K43" s="178"/>
    </row>
    <row r="44" spans="1:11" ht="12.75">
      <c r="A44" s="178" t="s">
        <v>149</v>
      </c>
      <c r="B44" s="178"/>
      <c r="C44" s="178"/>
      <c r="D44" s="178"/>
      <c r="E44" s="178"/>
      <c r="F44" s="178"/>
      <c r="G44" s="178"/>
      <c r="H44" s="178"/>
      <c r="I44" s="169"/>
      <c r="J44" s="238"/>
      <c r="K44" s="178"/>
    </row>
    <row r="45" spans="1:11" ht="12.75">
      <c r="A45" s="178" t="s">
        <v>150</v>
      </c>
      <c r="B45" s="178"/>
      <c r="C45" s="178"/>
      <c r="D45" s="178"/>
      <c r="E45" s="178"/>
      <c r="F45" s="178"/>
      <c r="G45" s="178"/>
      <c r="H45" s="178"/>
      <c r="I45" s="169"/>
      <c r="J45" s="200"/>
      <c r="K45" s="178"/>
    </row>
    <row r="46" spans="1:11" ht="12.75">
      <c r="A46" s="178" t="s">
        <v>151</v>
      </c>
      <c r="B46" s="178"/>
      <c r="C46" s="178"/>
      <c r="D46" s="178"/>
      <c r="E46" s="178"/>
      <c r="F46" s="178"/>
      <c r="G46" s="178"/>
      <c r="H46" s="178"/>
      <c r="I46" s="169"/>
      <c r="J46" s="200"/>
      <c r="K46" s="178"/>
    </row>
    <row r="47" spans="2:11" ht="12.75">
      <c r="B47" s="178"/>
      <c r="C47" s="178"/>
      <c r="D47" s="178"/>
      <c r="E47" s="178"/>
      <c r="F47" s="178"/>
      <c r="G47" s="178"/>
      <c r="H47" s="178"/>
      <c r="I47" s="169"/>
      <c r="J47" s="200"/>
      <c r="K47" s="178"/>
    </row>
    <row r="48" spans="2:11" ht="12.75">
      <c r="B48" s="178"/>
      <c r="C48" s="178"/>
      <c r="D48" s="178"/>
      <c r="E48" s="178"/>
      <c r="F48" s="178"/>
      <c r="G48" s="178"/>
      <c r="H48" s="178"/>
      <c r="I48" s="169"/>
      <c r="J48" s="200"/>
      <c r="K48" s="178"/>
    </row>
    <row r="49" spans="1:11" ht="12.75">
      <c r="A49" s="178"/>
      <c r="B49" s="178"/>
      <c r="C49" s="178"/>
      <c r="D49" s="178"/>
      <c r="E49" s="178"/>
      <c r="F49" s="178"/>
      <c r="G49" s="178"/>
      <c r="H49" s="178"/>
      <c r="I49" s="169"/>
      <c r="J49" s="200"/>
      <c r="K49" s="178"/>
    </row>
    <row r="50" spans="1:11" ht="12.75">
      <c r="A50" s="178"/>
      <c r="B50" s="178"/>
      <c r="C50" s="178"/>
      <c r="D50" s="178"/>
      <c r="E50" s="178"/>
      <c r="F50" s="178"/>
      <c r="G50" s="178"/>
      <c r="H50" s="178"/>
      <c r="I50" s="169"/>
      <c r="J50" s="200"/>
      <c r="K50" s="178"/>
    </row>
    <row r="51" ht="12.75">
      <c r="E51" s="197"/>
    </row>
    <row r="52" spans="1:11" ht="12.75">
      <c r="A52" s="239" t="s">
        <v>128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</row>
    <row r="55" spans="1:11" ht="36.75" customHeight="1">
      <c r="A55" s="229" t="s">
        <v>129</v>
      </c>
      <c r="B55" s="229"/>
      <c r="C55" s="229"/>
      <c r="D55" s="229"/>
      <c r="E55" s="229"/>
      <c r="F55" s="229"/>
      <c r="G55" s="233" t="s">
        <v>140</v>
      </c>
      <c r="H55" s="234"/>
      <c r="I55" s="234"/>
      <c r="J55" s="234"/>
      <c r="K55" s="235"/>
    </row>
    <row r="56" spans="1:11" ht="25.5" customHeight="1">
      <c r="A56" s="229" t="s">
        <v>130</v>
      </c>
      <c r="B56" s="229"/>
      <c r="C56" s="229"/>
      <c r="D56" s="229"/>
      <c r="E56" s="229"/>
      <c r="F56" s="229"/>
      <c r="G56" s="225"/>
      <c r="H56" s="225"/>
      <c r="I56" s="225"/>
      <c r="J56" s="225"/>
      <c r="K56" s="225"/>
    </row>
    <row r="57" spans="1:11" ht="23.25" customHeight="1">
      <c r="A57" s="229" t="s">
        <v>131</v>
      </c>
      <c r="B57" s="229"/>
      <c r="C57" s="229"/>
      <c r="D57" s="229"/>
      <c r="E57" s="229"/>
      <c r="F57" s="229"/>
      <c r="G57" s="230"/>
      <c r="H57" s="231"/>
      <c r="I57" s="231"/>
      <c r="J57" s="231"/>
      <c r="K57" s="232"/>
    </row>
    <row r="58" ht="26.25" customHeight="1">
      <c r="A58" s="170" t="s">
        <v>132</v>
      </c>
    </row>
    <row r="59" spans="1:11" ht="12.7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</row>
    <row r="60" spans="1:11" ht="24.7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</row>
    <row r="61" spans="1:11" ht="24.7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</row>
    <row r="62" spans="1:11" ht="24.7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</row>
    <row r="63" spans="1:11" ht="24.7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</row>
    <row r="64" spans="1:11" ht="12.7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2.7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2.7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8" spans="1:9" ht="12.75">
      <c r="A68" s="225" t="s">
        <v>133</v>
      </c>
      <c r="B68" s="225"/>
      <c r="C68" s="225"/>
      <c r="D68" s="225" t="s">
        <v>134</v>
      </c>
      <c r="E68" s="225"/>
      <c r="F68" s="225"/>
      <c r="G68" s="225" t="s">
        <v>135</v>
      </c>
      <c r="H68" s="225"/>
      <c r="I68" s="225"/>
    </row>
    <row r="69" spans="1:9" ht="23.25" customHeight="1">
      <c r="A69" s="225"/>
      <c r="B69" s="225"/>
      <c r="C69" s="225"/>
      <c r="D69" s="226" t="s">
        <v>136</v>
      </c>
      <c r="E69" s="227"/>
      <c r="F69" s="228"/>
      <c r="G69" s="225"/>
      <c r="H69" s="225"/>
      <c r="I69" s="225"/>
    </row>
    <row r="70" spans="1:9" ht="23.25" customHeight="1">
      <c r="A70" s="225"/>
      <c r="B70" s="225"/>
      <c r="C70" s="225"/>
      <c r="D70" s="225"/>
      <c r="E70" s="225"/>
      <c r="F70" s="225"/>
      <c r="G70" s="225"/>
      <c r="H70" s="225"/>
      <c r="I70" s="225"/>
    </row>
    <row r="71" spans="1:9" ht="23.25" customHeight="1">
      <c r="A71" s="225"/>
      <c r="B71" s="225"/>
      <c r="C71" s="225"/>
      <c r="D71" s="225"/>
      <c r="E71" s="225"/>
      <c r="F71" s="225"/>
      <c r="G71" s="225"/>
      <c r="H71" s="225"/>
      <c r="I71" s="225"/>
    </row>
  </sheetData>
  <mergeCells count="22">
    <mergeCell ref="A2:K2"/>
    <mergeCell ref="A32:H32"/>
    <mergeCell ref="J33:J44"/>
    <mergeCell ref="A52:K52"/>
    <mergeCell ref="A55:F55"/>
    <mergeCell ref="G55:K55"/>
    <mergeCell ref="A56:F56"/>
    <mergeCell ref="G56:K56"/>
    <mergeCell ref="A57:F57"/>
    <mergeCell ref="G57:K57"/>
    <mergeCell ref="A68:C68"/>
    <mergeCell ref="D68:F68"/>
    <mergeCell ref="G68:I68"/>
    <mergeCell ref="A71:C71"/>
    <mergeCell ref="D71:F71"/>
    <mergeCell ref="G71:I71"/>
    <mergeCell ref="A69:C69"/>
    <mergeCell ref="D69:F69"/>
    <mergeCell ref="G69:I69"/>
    <mergeCell ref="A70:C70"/>
    <mergeCell ref="D70:F70"/>
    <mergeCell ref="G70:I70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5"/>
  <sheetViews>
    <sheetView showGridLines="0" showZeros="0" zoomScale="90" zoomScaleNormal="90" workbookViewId="0" topLeftCell="A1">
      <pane xSplit="3" ySplit="5" topLeftCell="K1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4" sqref="O4"/>
    </sheetView>
  </sheetViews>
  <sheetFormatPr defaultColWidth="9.140625" defaultRowHeight="12.75"/>
  <cols>
    <col min="1" max="1" width="3.28125" style="1" customWidth="1"/>
    <col min="2" max="2" width="2.57421875" style="61" customWidth="1"/>
    <col min="3" max="3" width="21.57421875" style="2" customWidth="1"/>
    <col min="4" max="4" width="23.140625" style="2" customWidth="1"/>
    <col min="5" max="5" width="16.7109375" style="2" customWidth="1"/>
    <col min="6" max="6" width="10.28125" style="2" customWidth="1"/>
    <col min="7" max="7" width="15.00390625" style="2" customWidth="1"/>
    <col min="8" max="8" width="10.28125" style="2" customWidth="1"/>
    <col min="9" max="9" width="9.421875" style="2" customWidth="1"/>
    <col min="10" max="11" width="10.140625" style="2" customWidth="1"/>
    <col min="12" max="12" width="11.421875" style="107" customWidth="1"/>
    <col min="13" max="13" width="13.140625" style="115" customWidth="1"/>
    <col min="14" max="14" width="12.140625" style="2" customWidth="1"/>
    <col min="15" max="15" width="13.140625" style="107" customWidth="1"/>
    <col min="16" max="16" width="12.7109375" style="2" customWidth="1"/>
    <col min="17" max="17" width="12.00390625" style="2" customWidth="1"/>
    <col min="18" max="18" width="13.421875" style="107" customWidth="1"/>
    <col min="19" max="19" width="11.140625" style="2" bestFit="1" customWidth="1"/>
    <col min="20" max="20" width="11.8515625" style="30" customWidth="1"/>
    <col min="21" max="21" width="13.140625" style="2" customWidth="1"/>
    <col min="22" max="16384" width="9.140625" style="2" customWidth="1"/>
  </cols>
  <sheetData>
    <row r="1" spans="1:20" s="1" customFormat="1" ht="15.75">
      <c r="A1" s="252" t="s">
        <v>49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4"/>
    </row>
    <row r="2" spans="1:21" ht="11.25">
      <c r="A2" s="73"/>
      <c r="B2" s="67"/>
      <c r="C2" s="68" t="s">
        <v>0</v>
      </c>
      <c r="D2" s="76" t="s">
        <v>97</v>
      </c>
      <c r="E2" s="255" t="s">
        <v>34</v>
      </c>
      <c r="F2" s="255"/>
      <c r="G2" s="69">
        <f>+M8+M39+M85+M97+M111+M124+M137</f>
        <v>3845266</v>
      </c>
      <c r="H2" s="80">
        <f>+O2/G2</f>
        <v>0.32594822568841786</v>
      </c>
      <c r="I2" s="65" t="s">
        <v>33</v>
      </c>
      <c r="J2" s="66">
        <v>38141</v>
      </c>
      <c r="K2" s="74">
        <f>G4</f>
        <v>577.1000000000931</v>
      </c>
      <c r="L2" s="116" t="s">
        <v>30</v>
      </c>
      <c r="M2" s="108">
        <f aca="true" t="shared" si="0" ref="M2:T2">SUM(M3:M6)</f>
        <v>1252457.6300000001</v>
      </c>
      <c r="N2" s="60">
        <f t="shared" si="0"/>
        <v>899.9999999999964</v>
      </c>
      <c r="O2" s="101">
        <f t="shared" si="0"/>
        <v>1253357.63</v>
      </c>
      <c r="P2" s="60">
        <f t="shared" si="0"/>
        <v>814097.4595000001</v>
      </c>
      <c r="Q2" s="60">
        <f t="shared" si="0"/>
        <v>584.9999999999982</v>
      </c>
      <c r="R2" s="101">
        <f t="shared" si="0"/>
        <v>814682.4594999999</v>
      </c>
      <c r="S2" s="60">
        <f t="shared" si="0"/>
        <v>305505.92231249996</v>
      </c>
      <c r="T2" s="60">
        <f t="shared" si="0"/>
        <v>509176.5371874999</v>
      </c>
      <c r="U2" s="135"/>
    </row>
    <row r="3" spans="1:21" s="31" customFormat="1" ht="11.25">
      <c r="A3" s="57"/>
      <c r="B3" s="67"/>
      <c r="C3" s="37" t="s">
        <v>107</v>
      </c>
      <c r="D3" s="38"/>
      <c r="E3" s="256" t="s">
        <v>35</v>
      </c>
      <c r="F3" s="256"/>
      <c r="G3" s="70">
        <v>2499422.9</v>
      </c>
      <c r="H3" s="80">
        <f>P2/G3</f>
        <v>0.32571417165938593</v>
      </c>
      <c r="J3" s="70" t="s">
        <v>38</v>
      </c>
      <c r="K3" s="60">
        <f>Q2</f>
        <v>584.9999999999982</v>
      </c>
      <c r="L3" s="116" t="s">
        <v>31</v>
      </c>
      <c r="M3" s="108">
        <f>M9+M40+M86+M98+M112+M125+M138</f>
        <v>371348.06</v>
      </c>
      <c r="N3" s="60">
        <f>N9+N40+N86+N98+N112+N125+N138</f>
        <v>17379.291999999998</v>
      </c>
      <c r="O3" s="101">
        <f>O9+O40+O86+O98+O112+O125+O138</f>
        <v>388727.35199999996</v>
      </c>
      <c r="P3" s="60">
        <f>P9+P40+P86+P98+P112+P125+P138</f>
        <v>241376.239</v>
      </c>
      <c r="Q3" s="60">
        <f>Q9+Q40+Q86+Q98+Q112+Q125+Q138</f>
        <v>11296.539799999999</v>
      </c>
      <c r="R3" s="101">
        <f>R9+R40+R86+R98+R112+R125+R138</f>
        <v>252672.7788</v>
      </c>
      <c r="S3" s="60">
        <f>S9+S40+S86+S98+S112+S125+S138</f>
        <v>94752.29204999999</v>
      </c>
      <c r="T3" s="60">
        <f>T9+T40+T86+T98+T112+T125+T138</f>
        <v>157920.48674999998</v>
      </c>
      <c r="U3" s="72">
        <v>157920.48675</v>
      </c>
    </row>
    <row r="4" spans="1:20" s="31" customFormat="1" ht="11.25">
      <c r="A4" s="57"/>
      <c r="B4" s="67"/>
      <c r="C4" s="37" t="s">
        <v>143</v>
      </c>
      <c r="D4" s="38"/>
      <c r="E4" s="256" t="s">
        <v>36</v>
      </c>
      <c r="F4" s="256"/>
      <c r="G4" s="70">
        <f>2500000-G3</f>
        <v>577.1000000000931</v>
      </c>
      <c r="H4" s="80">
        <f>Q2/G4</f>
        <v>1.0136891353316648</v>
      </c>
      <c r="J4" s="71" t="s">
        <v>39</v>
      </c>
      <c r="K4" s="72">
        <f>K2-K3</f>
        <v>-7.899999999905049</v>
      </c>
      <c r="L4" s="116" t="s">
        <v>32</v>
      </c>
      <c r="M4" s="108">
        <f>M10+M41+M87+M99+M113+M126+M139</f>
        <v>881109.5700000001</v>
      </c>
      <c r="N4" s="108">
        <f>N10+N41+N87+N99+N113+N126+N139</f>
        <v>-16479.292</v>
      </c>
      <c r="O4" s="101">
        <f>O10+O41+O87+O99+O113+O126+O139</f>
        <v>864630.278</v>
      </c>
      <c r="P4" s="108">
        <f>P10+P41+P87+P99+P113+P126+P139</f>
        <v>572721.2205</v>
      </c>
      <c r="Q4" s="108">
        <f>Q10+Q41+Q87+Q99+Q113+Q126+Q139</f>
        <v>-10711.5398</v>
      </c>
      <c r="R4" s="101">
        <f>R10+R41+R87+R99+R113+R126+R139</f>
        <v>562009.6806999999</v>
      </c>
      <c r="S4" s="108">
        <f>S10+S41+S87+S99+S113+S126+S139</f>
        <v>210753.63026249997</v>
      </c>
      <c r="T4" s="108">
        <f>T10+T41+T87+T99+T113+T126+T139</f>
        <v>351256.05043749994</v>
      </c>
    </row>
    <row r="5" spans="1:20" s="31" customFormat="1" ht="11.25">
      <c r="A5" s="57"/>
      <c r="B5" s="67"/>
      <c r="C5" s="37"/>
      <c r="D5" s="38"/>
      <c r="E5" s="256" t="s">
        <v>37</v>
      </c>
      <c r="F5" s="256"/>
      <c r="G5" s="70">
        <f>SUM(G3:G4)</f>
        <v>2500000</v>
      </c>
      <c r="H5" s="80">
        <f>R2/G5</f>
        <v>0.32587298379999996</v>
      </c>
      <c r="L5" s="116"/>
      <c r="M5" s="108"/>
      <c r="N5" s="60"/>
      <c r="O5" s="101"/>
      <c r="P5" s="60"/>
      <c r="Q5" s="60"/>
      <c r="R5" s="101"/>
      <c r="S5" s="60"/>
      <c r="T5" s="60"/>
    </row>
    <row r="6" spans="1:20" s="31" customFormat="1" ht="11.25">
      <c r="A6" s="57"/>
      <c r="B6" s="67"/>
      <c r="C6" s="37"/>
      <c r="D6" s="38"/>
      <c r="E6" s="39"/>
      <c r="F6" s="40"/>
      <c r="G6" s="70"/>
      <c r="H6" s="41"/>
      <c r="L6" s="116"/>
      <c r="M6" s="108"/>
      <c r="N6" s="60"/>
      <c r="O6" s="101"/>
      <c r="P6" s="60"/>
      <c r="Q6" s="60"/>
      <c r="R6" s="101"/>
      <c r="S6" s="60"/>
      <c r="T6" s="60"/>
    </row>
    <row r="7" spans="1:20" ht="11.25">
      <c r="A7" s="99"/>
      <c r="B7" s="100"/>
      <c r="C7" s="249" t="s">
        <v>6</v>
      </c>
      <c r="D7" s="249"/>
      <c r="E7" s="249"/>
      <c r="F7" s="249"/>
      <c r="G7" s="249"/>
      <c r="H7" s="249"/>
      <c r="I7" s="249"/>
      <c r="J7" s="249"/>
      <c r="K7" s="249"/>
      <c r="L7" s="250"/>
      <c r="M7" s="109" t="s">
        <v>44</v>
      </c>
      <c r="N7" s="29" t="s">
        <v>45</v>
      </c>
      <c r="O7" s="130" t="s">
        <v>46</v>
      </c>
      <c r="P7" s="29" t="s">
        <v>47</v>
      </c>
      <c r="Q7" s="29" t="s">
        <v>48</v>
      </c>
      <c r="R7" s="130" t="s">
        <v>43</v>
      </c>
      <c r="S7" s="33" t="s">
        <v>25</v>
      </c>
      <c r="T7" s="34" t="s">
        <v>26</v>
      </c>
    </row>
    <row r="8" spans="1:18" s="1" customFormat="1" ht="11.25">
      <c r="A8" s="217"/>
      <c r="B8" s="218"/>
      <c r="C8" s="53"/>
      <c r="D8" s="43"/>
      <c r="E8" s="43"/>
      <c r="F8" s="43"/>
      <c r="G8" s="43"/>
      <c r="H8" s="43"/>
      <c r="I8" s="43"/>
      <c r="J8" s="43"/>
      <c r="K8" s="54"/>
      <c r="L8" s="117" t="s">
        <v>12</v>
      </c>
      <c r="M8" s="77">
        <f>1024.293*1000</f>
        <v>1024292.9999999999</v>
      </c>
      <c r="N8" s="77"/>
      <c r="O8" s="131">
        <f>SUM(M8:N8)</f>
        <v>1024292.9999999999</v>
      </c>
      <c r="P8" s="3">
        <f>M8*0.65</f>
        <v>665790.45</v>
      </c>
      <c r="Q8" s="78"/>
      <c r="R8" s="131">
        <f>SUM(P8:Q8)</f>
        <v>665790.45</v>
      </c>
    </row>
    <row r="9" spans="1:20" s="1" customFormat="1" ht="11.25">
      <c r="A9" s="217"/>
      <c r="B9" s="218"/>
      <c r="C9" s="45"/>
      <c r="D9" s="44"/>
      <c r="E9" s="44"/>
      <c r="F9" s="44"/>
      <c r="G9" s="44"/>
      <c r="H9" s="44"/>
      <c r="I9" s="44"/>
      <c r="J9" s="44"/>
      <c r="K9" s="4">
        <f>SUM(K24:K36)</f>
        <v>0</v>
      </c>
      <c r="L9" s="118" t="s">
        <v>28</v>
      </c>
      <c r="M9" s="110">
        <f aca="true" t="shared" si="1" ref="M9:R9">SUM(M16:M23)</f>
        <v>176960.47</v>
      </c>
      <c r="N9" s="110">
        <f t="shared" si="1"/>
        <v>0</v>
      </c>
      <c r="O9" s="102">
        <f t="shared" si="1"/>
        <v>176960.47</v>
      </c>
      <c r="P9" s="110">
        <f t="shared" si="1"/>
        <v>115024.30549999999</v>
      </c>
      <c r="Q9" s="110">
        <f t="shared" si="1"/>
        <v>0</v>
      </c>
      <c r="R9" s="102">
        <f t="shared" si="1"/>
        <v>115024.30549999999</v>
      </c>
      <c r="S9" s="5">
        <f>R9*0.375</f>
        <v>43134.11456249999</v>
      </c>
      <c r="T9" s="5">
        <f>R9-S9</f>
        <v>71890.1909375</v>
      </c>
    </row>
    <row r="10" spans="1:20" s="1" customFormat="1" ht="11.25">
      <c r="A10" s="217"/>
      <c r="B10" s="218"/>
      <c r="C10" s="45"/>
      <c r="D10" s="44"/>
      <c r="E10" s="44"/>
      <c r="F10" s="44"/>
      <c r="G10" s="44"/>
      <c r="H10" s="44"/>
      <c r="I10" s="44"/>
      <c r="J10" s="44"/>
      <c r="K10" s="46"/>
      <c r="L10" s="118" t="s">
        <v>29</v>
      </c>
      <c r="M10" s="110">
        <f>SUM(M24:M35)</f>
        <v>483422.41000000003</v>
      </c>
      <c r="N10" s="110">
        <f>SUM(N24:N25)</f>
        <v>0</v>
      </c>
      <c r="O10" s="102">
        <f>+N10+M10</f>
        <v>483422.41000000003</v>
      </c>
      <c r="P10" s="110">
        <f>SUM(P24:P35)</f>
        <v>314224.56649999996</v>
      </c>
      <c r="Q10" s="110">
        <f>SUM(Q24:Q25)</f>
        <v>0</v>
      </c>
      <c r="R10" s="102">
        <f>+Q10+P10</f>
        <v>314224.56649999996</v>
      </c>
      <c r="S10" s="5">
        <f>R10*0.375</f>
        <v>117834.21243749998</v>
      </c>
      <c r="T10" s="5">
        <f>R10-S10</f>
        <v>196390.35406249997</v>
      </c>
    </row>
    <row r="11" spans="1:20" s="1" customFormat="1" ht="11.25">
      <c r="A11" s="217"/>
      <c r="B11" s="218"/>
      <c r="C11" s="45"/>
      <c r="D11" s="44"/>
      <c r="E11" s="44"/>
      <c r="F11" s="44"/>
      <c r="G11" s="44"/>
      <c r="H11" s="44"/>
      <c r="I11" s="44"/>
      <c r="J11" s="44"/>
      <c r="K11" s="46"/>
      <c r="L11" s="118"/>
      <c r="M11" s="110"/>
      <c r="N11" s="4"/>
      <c r="O11" s="102"/>
      <c r="P11" s="4"/>
      <c r="Q11" s="4"/>
      <c r="R11" s="102"/>
      <c r="S11" s="5">
        <f>R11*0.375</f>
        <v>0</v>
      </c>
      <c r="T11" s="5">
        <f>R11-S11</f>
        <v>0</v>
      </c>
    </row>
    <row r="12" spans="1:20" s="1" customFormat="1" ht="11.25">
      <c r="A12" s="217"/>
      <c r="B12" s="218"/>
      <c r="C12" s="45"/>
      <c r="D12" s="44"/>
      <c r="E12" s="44"/>
      <c r="F12" s="44"/>
      <c r="G12" s="44"/>
      <c r="H12" s="44"/>
      <c r="I12" s="44"/>
      <c r="J12" s="44"/>
      <c r="K12" s="46"/>
      <c r="L12" s="118"/>
      <c r="M12" s="110"/>
      <c r="N12" s="4"/>
      <c r="O12" s="102"/>
      <c r="P12" s="4"/>
      <c r="Q12" s="4"/>
      <c r="R12" s="102"/>
      <c r="S12" s="5">
        <f>R12*0.375</f>
        <v>0</v>
      </c>
      <c r="T12" s="5">
        <f>R12-S12</f>
        <v>0</v>
      </c>
    </row>
    <row r="13" spans="1:20" s="1" customFormat="1" ht="11.25">
      <c r="A13" s="217"/>
      <c r="B13" s="218"/>
      <c r="C13" s="45"/>
      <c r="D13" s="44"/>
      <c r="E13" s="44"/>
      <c r="F13" s="44"/>
      <c r="G13" s="44"/>
      <c r="H13" s="44"/>
      <c r="I13" s="44"/>
      <c r="J13" s="44"/>
      <c r="K13" s="46"/>
      <c r="L13" s="118"/>
      <c r="M13" s="110"/>
      <c r="N13" s="4"/>
      <c r="O13" s="102"/>
      <c r="P13" s="4"/>
      <c r="Q13" s="4"/>
      <c r="R13" s="102"/>
      <c r="S13" s="5">
        <f>R13*0.375</f>
        <v>0</v>
      </c>
      <c r="T13" s="5">
        <f>R13-S13</f>
        <v>0</v>
      </c>
    </row>
    <row r="14" spans="1:20" s="1" customFormat="1" ht="11.25">
      <c r="A14" s="219"/>
      <c r="B14" s="158"/>
      <c r="C14" s="47"/>
      <c r="D14" s="48"/>
      <c r="E14" s="48"/>
      <c r="F14" s="48"/>
      <c r="G14" s="48"/>
      <c r="H14" s="48"/>
      <c r="I14" s="48"/>
      <c r="J14" s="48"/>
      <c r="K14" s="49"/>
      <c r="L14" s="119" t="s">
        <v>13</v>
      </c>
      <c r="M14" s="111">
        <f aca="true" t="shared" si="2" ref="M14:R14">M8-M9-M10-M11-M12-M13</f>
        <v>363910.1199999999</v>
      </c>
      <c r="N14" s="6">
        <f t="shared" si="2"/>
        <v>0</v>
      </c>
      <c r="O14" s="103">
        <f t="shared" si="2"/>
        <v>363910.1199999999</v>
      </c>
      <c r="P14" s="6">
        <f t="shared" si="2"/>
        <v>236541.57799999998</v>
      </c>
      <c r="Q14" s="6">
        <f t="shared" si="2"/>
        <v>0</v>
      </c>
      <c r="R14" s="103">
        <f t="shared" si="2"/>
        <v>236541.57799999998</v>
      </c>
      <c r="S14" s="36"/>
      <c r="T14" s="36"/>
    </row>
    <row r="15" spans="1:20" ht="29.25" customHeight="1">
      <c r="A15" s="7" t="s">
        <v>14</v>
      </c>
      <c r="B15" s="7" t="s">
        <v>11</v>
      </c>
      <c r="C15" s="35" t="s">
        <v>24</v>
      </c>
      <c r="D15" s="35" t="s">
        <v>20</v>
      </c>
      <c r="E15" s="42" t="s">
        <v>2</v>
      </c>
      <c r="F15" s="35" t="s">
        <v>19</v>
      </c>
      <c r="G15" s="35" t="s">
        <v>18</v>
      </c>
      <c r="H15" s="42" t="s">
        <v>17</v>
      </c>
      <c r="I15" s="42" t="s">
        <v>16</v>
      </c>
      <c r="J15" s="35" t="s">
        <v>3</v>
      </c>
      <c r="K15" s="35" t="s">
        <v>4</v>
      </c>
      <c r="L15" s="104" t="s">
        <v>5</v>
      </c>
      <c r="M15" s="112" t="s">
        <v>21</v>
      </c>
      <c r="N15" s="7" t="s">
        <v>40</v>
      </c>
      <c r="O15" s="104" t="s">
        <v>41</v>
      </c>
      <c r="P15" s="7" t="s">
        <v>22</v>
      </c>
      <c r="Q15" s="7" t="s">
        <v>42</v>
      </c>
      <c r="R15" s="104" t="s">
        <v>43</v>
      </c>
      <c r="S15" s="241" t="s">
        <v>27</v>
      </c>
      <c r="T15" s="241"/>
    </row>
    <row r="16" spans="1:20" ht="57" customHeight="1">
      <c r="A16" s="7" t="s">
        <v>15</v>
      </c>
      <c r="B16" s="7"/>
      <c r="C16" s="15" t="s">
        <v>50</v>
      </c>
      <c r="D16" s="15" t="s">
        <v>98</v>
      </c>
      <c r="E16" s="42"/>
      <c r="F16" s="35"/>
      <c r="G16" s="35"/>
      <c r="H16" s="42"/>
      <c r="I16" s="89"/>
      <c r="J16" s="94">
        <f>7200+10800+10000+12000</f>
        <v>40000</v>
      </c>
      <c r="K16" s="35"/>
      <c r="L16" s="120">
        <f aca="true" t="shared" si="3" ref="L16:L24">SUM(J16:K16)</f>
        <v>40000</v>
      </c>
      <c r="M16" s="94">
        <v>40000</v>
      </c>
      <c r="N16" s="7"/>
      <c r="O16" s="105">
        <f aca="true" t="shared" si="4" ref="O16:O21">SUM(M16:N16)</f>
        <v>40000</v>
      </c>
      <c r="P16" s="12">
        <f>M16*0.65</f>
        <v>26000</v>
      </c>
      <c r="Q16" s="12">
        <f>N16*0.65</f>
        <v>0</v>
      </c>
      <c r="R16" s="105">
        <f>O16*0.65</f>
        <v>26000</v>
      </c>
      <c r="S16" s="240"/>
      <c r="T16" s="240"/>
    </row>
    <row r="17" spans="1:20" ht="47.25" customHeight="1">
      <c r="A17" s="7" t="s">
        <v>15</v>
      </c>
      <c r="B17" s="7"/>
      <c r="C17" s="15" t="s">
        <v>63</v>
      </c>
      <c r="D17" s="15" t="s">
        <v>101</v>
      </c>
      <c r="E17" s="42"/>
      <c r="F17" s="35"/>
      <c r="G17" s="35"/>
      <c r="H17" s="42"/>
      <c r="I17" s="136"/>
      <c r="J17" s="94">
        <f>13213.96+15293.6+15533.24+17988.67</f>
        <v>62029.469999999994</v>
      </c>
      <c r="K17" s="35"/>
      <c r="L17" s="120">
        <f t="shared" si="3"/>
        <v>62029.469999999994</v>
      </c>
      <c r="M17" s="94">
        <f>13213.96+15293.6+15533.24+17988.67</f>
        <v>62029.469999999994</v>
      </c>
      <c r="N17" s="7"/>
      <c r="O17" s="105">
        <f t="shared" si="4"/>
        <v>62029.469999999994</v>
      </c>
      <c r="P17" s="12">
        <f aca="true" t="shared" si="5" ref="P17:P23">M17*0.65</f>
        <v>40319.1555</v>
      </c>
      <c r="Q17" s="12">
        <f>N17*0.65</f>
        <v>0</v>
      </c>
      <c r="R17" s="105">
        <f aca="true" t="shared" si="6" ref="R17:R23">O17*0.65</f>
        <v>40319.1555</v>
      </c>
      <c r="S17" s="240"/>
      <c r="T17" s="240"/>
    </row>
    <row r="18" spans="1:20" ht="57" customHeight="1">
      <c r="A18" s="7" t="s">
        <v>15</v>
      </c>
      <c r="B18" s="7"/>
      <c r="C18" s="15" t="s">
        <v>89</v>
      </c>
      <c r="D18" s="15" t="s">
        <v>90</v>
      </c>
      <c r="E18" s="42"/>
      <c r="F18" s="35"/>
      <c r="G18" s="35"/>
      <c r="H18" s="42"/>
      <c r="I18" s="89"/>
      <c r="J18" s="94">
        <f>3050.78+3093.31+4662.23</f>
        <v>10806.32</v>
      </c>
      <c r="K18" s="35"/>
      <c r="L18" s="120">
        <f t="shared" si="3"/>
        <v>10806.32</v>
      </c>
      <c r="M18" s="94">
        <f>3050.78+3093.31+4662.23</f>
        <v>10806.32</v>
      </c>
      <c r="N18" s="7"/>
      <c r="O18" s="105">
        <f t="shared" si="4"/>
        <v>10806.32</v>
      </c>
      <c r="P18" s="12">
        <f>M18*0.65</f>
        <v>7024.108</v>
      </c>
      <c r="Q18" s="12">
        <f>N18*0.65</f>
        <v>0</v>
      </c>
      <c r="R18" s="105">
        <f>O18*0.65</f>
        <v>7024.108</v>
      </c>
      <c r="S18" s="240"/>
      <c r="T18" s="240"/>
    </row>
    <row r="19" spans="1:20" ht="32.25" customHeight="1">
      <c r="A19" s="7" t="s">
        <v>15</v>
      </c>
      <c r="B19" s="7"/>
      <c r="C19" s="15" t="s">
        <v>91</v>
      </c>
      <c r="D19" s="15" t="s">
        <v>92</v>
      </c>
      <c r="E19" s="42"/>
      <c r="F19" s="35"/>
      <c r="G19" s="35"/>
      <c r="H19" s="42"/>
      <c r="I19" s="89"/>
      <c r="J19" s="94">
        <f>583.81+1633.19+3329.06+753.78</f>
        <v>6299.839999999999</v>
      </c>
      <c r="K19" s="35"/>
      <c r="L19" s="120">
        <f t="shared" si="3"/>
        <v>6299.839999999999</v>
      </c>
      <c r="M19" s="94">
        <f>583.81+1633.19+3329.06+753.78</f>
        <v>6299.839999999999</v>
      </c>
      <c r="N19" s="7"/>
      <c r="O19" s="105">
        <f t="shared" si="4"/>
        <v>6299.839999999999</v>
      </c>
      <c r="P19" s="12">
        <f>M19*0.65</f>
        <v>4094.8959999999997</v>
      </c>
      <c r="Q19" s="12">
        <f>N19*0.65</f>
        <v>0</v>
      </c>
      <c r="R19" s="105">
        <f>O19*0.65</f>
        <v>4094.8959999999997</v>
      </c>
      <c r="S19" s="240"/>
      <c r="T19" s="240"/>
    </row>
    <row r="20" spans="1:20" ht="35.25" customHeight="1">
      <c r="A20" s="7" t="s">
        <v>15</v>
      </c>
      <c r="B20" s="7"/>
      <c r="C20" s="15" t="s">
        <v>93</v>
      </c>
      <c r="D20" s="15" t="s">
        <v>94</v>
      </c>
      <c r="E20" s="42"/>
      <c r="F20" s="35"/>
      <c r="G20" s="35"/>
      <c r="H20" s="42"/>
      <c r="I20" s="89"/>
      <c r="J20" s="94">
        <f>1104.5+1163.25+1374.75+11198</f>
        <v>14840.5</v>
      </c>
      <c r="K20" s="145"/>
      <c r="L20" s="120">
        <f t="shared" si="3"/>
        <v>14840.5</v>
      </c>
      <c r="M20" s="94">
        <f>1104.5+1163.25+1374.75+11198</f>
        <v>14840.5</v>
      </c>
      <c r="N20" s="7"/>
      <c r="O20" s="105">
        <f t="shared" si="4"/>
        <v>14840.5</v>
      </c>
      <c r="P20" s="12">
        <f>M20*0.65</f>
        <v>9646.325</v>
      </c>
      <c r="Q20" s="12"/>
      <c r="R20" s="105">
        <f>O20*0.65</f>
        <v>9646.325</v>
      </c>
      <c r="S20" s="240"/>
      <c r="T20" s="240"/>
    </row>
    <row r="21" spans="1:20" ht="35.25" customHeight="1">
      <c r="A21" s="7" t="s">
        <v>15</v>
      </c>
      <c r="B21" s="7"/>
      <c r="C21" s="15" t="s">
        <v>95</v>
      </c>
      <c r="D21" s="15" t="s">
        <v>96</v>
      </c>
      <c r="E21" s="42"/>
      <c r="F21" s="35"/>
      <c r="G21" s="35"/>
      <c r="H21" s="42"/>
      <c r="I21" s="89"/>
      <c r="J21" s="94">
        <f>293.16+575.85+1162.17+753.84</f>
        <v>2785.02</v>
      </c>
      <c r="K21" s="35"/>
      <c r="L21" s="120">
        <f t="shared" si="3"/>
        <v>2785.02</v>
      </c>
      <c r="M21" s="94">
        <f>293.16+575.85+1162.17+753.84</f>
        <v>2785.02</v>
      </c>
      <c r="N21" s="7"/>
      <c r="O21" s="105">
        <f t="shared" si="4"/>
        <v>2785.02</v>
      </c>
      <c r="P21" s="12">
        <f>M21*0.65</f>
        <v>1810.2630000000001</v>
      </c>
      <c r="Q21" s="12"/>
      <c r="R21" s="105">
        <f>O21*0.65</f>
        <v>1810.2630000000001</v>
      </c>
      <c r="S21" s="240" t="s">
        <v>104</v>
      </c>
      <c r="T21" s="240"/>
    </row>
    <row r="22" spans="1:20" ht="39.75" customHeight="1">
      <c r="A22" s="7" t="s">
        <v>15</v>
      </c>
      <c r="B22" s="7"/>
      <c r="C22" s="15" t="s">
        <v>85</v>
      </c>
      <c r="D22" s="15" t="s">
        <v>86</v>
      </c>
      <c r="E22" s="42"/>
      <c r="F22" s="35"/>
      <c r="G22" s="35"/>
      <c r="H22" s="42"/>
      <c r="I22" s="89"/>
      <c r="J22" s="94">
        <f>1907.98+7025.7+6661.76</f>
        <v>15595.44</v>
      </c>
      <c r="K22" s="35"/>
      <c r="L22" s="120">
        <f t="shared" si="3"/>
        <v>15595.44</v>
      </c>
      <c r="M22" s="94">
        <f>1907.98+7025.7+6661.76</f>
        <v>15595.44</v>
      </c>
      <c r="N22" s="7"/>
      <c r="O22" s="105">
        <f>SUM(M22:N22)</f>
        <v>15595.44</v>
      </c>
      <c r="P22" s="12">
        <f t="shared" si="5"/>
        <v>10137.036</v>
      </c>
      <c r="Q22" s="12"/>
      <c r="R22" s="105">
        <f t="shared" si="6"/>
        <v>10137.036</v>
      </c>
      <c r="S22" s="263"/>
      <c r="T22" s="240"/>
    </row>
    <row r="23" spans="1:20" ht="35.25" customHeight="1">
      <c r="A23" s="7" t="s">
        <v>15</v>
      </c>
      <c r="B23" s="7"/>
      <c r="C23" s="15" t="s">
        <v>87</v>
      </c>
      <c r="D23" s="15" t="s">
        <v>88</v>
      </c>
      <c r="E23" s="42"/>
      <c r="F23" s="35"/>
      <c r="G23" s="35"/>
      <c r="H23" s="42"/>
      <c r="I23" s="89"/>
      <c r="J23" s="94">
        <f>12967.44+11636.44</f>
        <v>24603.88</v>
      </c>
      <c r="K23" s="35"/>
      <c r="L23" s="120">
        <f t="shared" si="3"/>
        <v>24603.88</v>
      </c>
      <c r="M23" s="94">
        <f>12967.44+11636.44</f>
        <v>24603.88</v>
      </c>
      <c r="N23" s="7"/>
      <c r="O23" s="105">
        <f>SUM(M23:N23)</f>
        <v>24603.88</v>
      </c>
      <c r="P23" s="12">
        <f t="shared" si="5"/>
        <v>15992.522</v>
      </c>
      <c r="Q23" s="12"/>
      <c r="R23" s="105">
        <f t="shared" si="6"/>
        <v>15992.522</v>
      </c>
      <c r="S23" s="263"/>
      <c r="T23" s="240"/>
    </row>
    <row r="24" spans="1:20" s="144" customFormat="1" ht="47.25" customHeight="1">
      <c r="A24" s="137" t="s">
        <v>57</v>
      </c>
      <c r="B24" s="137"/>
      <c r="C24" s="138" t="s">
        <v>63</v>
      </c>
      <c r="D24" s="138" t="s">
        <v>102</v>
      </c>
      <c r="E24" s="139"/>
      <c r="F24" s="140"/>
      <c r="G24" s="140"/>
      <c r="H24" s="139"/>
      <c r="I24" s="141"/>
      <c r="J24" s="142">
        <f>13.13*108+13.13*84</f>
        <v>2520.96</v>
      </c>
      <c r="K24" s="140"/>
      <c r="L24" s="120">
        <f t="shared" si="3"/>
        <v>2520.96</v>
      </c>
      <c r="M24" s="142">
        <f>-J24</f>
        <v>-2520.96</v>
      </c>
      <c r="N24" s="137"/>
      <c r="O24" s="105">
        <f>SUM(M24:N24)</f>
        <v>-2520.96</v>
      </c>
      <c r="P24" s="143">
        <f>M24*0.65</f>
        <v>-1638.624</v>
      </c>
      <c r="Q24" s="143">
        <f>N24*0.65</f>
        <v>0</v>
      </c>
      <c r="R24" s="105">
        <f>O24*0.65</f>
        <v>-1638.624</v>
      </c>
      <c r="S24" s="247" t="s">
        <v>109</v>
      </c>
      <c r="T24" s="247"/>
    </row>
    <row r="25" spans="1:20" s="144" customFormat="1" ht="208.5" customHeight="1">
      <c r="A25" s="137" t="s">
        <v>57</v>
      </c>
      <c r="B25" s="137"/>
      <c r="C25" s="138" t="s">
        <v>50</v>
      </c>
      <c r="D25" s="138"/>
      <c r="E25" s="139"/>
      <c r="F25" s="140"/>
      <c r="G25" s="140"/>
      <c r="H25" s="139"/>
      <c r="I25" s="141"/>
      <c r="J25" s="142"/>
      <c r="K25" s="140"/>
      <c r="L25" s="120"/>
      <c r="M25" s="142">
        <f aca="true" t="shared" si="7" ref="M25:R25">-M16</f>
        <v>-40000</v>
      </c>
      <c r="N25" s="142">
        <f t="shared" si="7"/>
        <v>0</v>
      </c>
      <c r="O25" s="156">
        <f t="shared" si="7"/>
        <v>-40000</v>
      </c>
      <c r="P25" s="142">
        <f t="shared" si="7"/>
        <v>-26000</v>
      </c>
      <c r="Q25" s="142">
        <f t="shared" si="7"/>
        <v>0</v>
      </c>
      <c r="R25" s="156">
        <f t="shared" si="7"/>
        <v>-26000</v>
      </c>
      <c r="S25" s="247" t="s">
        <v>108</v>
      </c>
      <c r="T25" s="247"/>
    </row>
    <row r="26" spans="1:20" s="115" customFormat="1" ht="37.5" customHeight="1">
      <c r="A26" s="112" t="s">
        <v>57</v>
      </c>
      <c r="B26" s="112"/>
      <c r="C26" s="15" t="s">
        <v>50</v>
      </c>
      <c r="D26" s="15" t="s">
        <v>98</v>
      </c>
      <c r="E26" s="201"/>
      <c r="F26" s="202"/>
      <c r="G26" s="202"/>
      <c r="H26" s="201"/>
      <c r="I26" s="203"/>
      <c r="J26" s="204">
        <v>42000</v>
      </c>
      <c r="K26" s="202"/>
      <c r="L26" s="120">
        <f aca="true" t="shared" si="8" ref="L26:L33">+K26+J26</f>
        <v>42000</v>
      </c>
      <c r="M26" s="204">
        <v>42000</v>
      </c>
      <c r="N26" s="202"/>
      <c r="O26" s="120">
        <f aca="true" t="shared" si="9" ref="O26:O33">+N26+M26</f>
        <v>42000</v>
      </c>
      <c r="P26" s="204">
        <f>+M26*0.65</f>
        <v>27300</v>
      </c>
      <c r="Q26" s="204"/>
      <c r="R26" s="156">
        <f>+Q26+P26</f>
        <v>27300</v>
      </c>
      <c r="S26" s="270" t="s">
        <v>192</v>
      </c>
      <c r="T26" s="271"/>
    </row>
    <row r="27" spans="1:20" s="115" customFormat="1" ht="50.25" customHeight="1">
      <c r="A27" s="112" t="s">
        <v>57</v>
      </c>
      <c r="B27" s="112"/>
      <c r="C27" s="15" t="s">
        <v>63</v>
      </c>
      <c r="D27" s="15" t="s">
        <v>159</v>
      </c>
      <c r="E27" s="201"/>
      <c r="F27" s="202"/>
      <c r="G27" s="202"/>
      <c r="H27" s="201"/>
      <c r="I27" s="203"/>
      <c r="J27" s="204">
        <v>90377.29</v>
      </c>
      <c r="K27" s="202"/>
      <c r="L27" s="120">
        <f t="shared" si="8"/>
        <v>90377.29</v>
      </c>
      <c r="M27" s="204">
        <v>90377.29</v>
      </c>
      <c r="N27" s="202"/>
      <c r="O27" s="120">
        <f t="shared" si="9"/>
        <v>90377.29</v>
      </c>
      <c r="P27" s="204">
        <f aca="true" t="shared" si="10" ref="P27:P35">+M27*0.65</f>
        <v>58745.2385</v>
      </c>
      <c r="Q27" s="204"/>
      <c r="R27" s="156">
        <f aca="true" t="shared" si="11" ref="R27:R35">+Q27+P27</f>
        <v>58745.2385</v>
      </c>
      <c r="S27" s="270" t="s">
        <v>192</v>
      </c>
      <c r="T27" s="271"/>
    </row>
    <row r="28" spans="1:20" s="115" customFormat="1" ht="50.25" customHeight="1">
      <c r="A28" s="112" t="s">
        <v>57</v>
      </c>
      <c r="B28" s="112"/>
      <c r="C28" s="15" t="s">
        <v>85</v>
      </c>
      <c r="D28" s="15" t="s">
        <v>182</v>
      </c>
      <c r="E28" s="201"/>
      <c r="F28" s="202"/>
      <c r="G28" s="202"/>
      <c r="H28" s="201"/>
      <c r="I28" s="203"/>
      <c r="J28" s="204">
        <v>72955.82</v>
      </c>
      <c r="K28" s="202"/>
      <c r="L28" s="120">
        <f t="shared" si="8"/>
        <v>72955.82</v>
      </c>
      <c r="M28" s="204">
        <v>72955.82</v>
      </c>
      <c r="N28" s="202"/>
      <c r="O28" s="120">
        <f t="shared" si="9"/>
        <v>72955.82</v>
      </c>
      <c r="P28" s="204">
        <f t="shared" si="10"/>
        <v>47421.283</v>
      </c>
      <c r="Q28" s="204"/>
      <c r="R28" s="156">
        <f t="shared" si="11"/>
        <v>47421.283</v>
      </c>
      <c r="S28" s="270" t="s">
        <v>192</v>
      </c>
      <c r="T28" s="271"/>
    </row>
    <row r="29" spans="1:20" s="115" customFormat="1" ht="50.25" customHeight="1">
      <c r="A29" s="112" t="s">
        <v>57</v>
      </c>
      <c r="B29" s="112"/>
      <c r="C29" s="15" t="s">
        <v>93</v>
      </c>
      <c r="D29" s="15" t="s">
        <v>183</v>
      </c>
      <c r="E29" s="201"/>
      <c r="F29" s="202"/>
      <c r="G29" s="202"/>
      <c r="H29" s="201"/>
      <c r="I29" s="203"/>
      <c r="J29" s="204">
        <v>68237.32</v>
      </c>
      <c r="K29" s="202"/>
      <c r="L29" s="120">
        <f t="shared" si="8"/>
        <v>68237.32</v>
      </c>
      <c r="M29" s="204">
        <v>68237.32</v>
      </c>
      <c r="N29" s="202"/>
      <c r="O29" s="120">
        <f t="shared" si="9"/>
        <v>68237.32</v>
      </c>
      <c r="P29" s="204">
        <f t="shared" si="10"/>
        <v>44354.25800000001</v>
      </c>
      <c r="Q29" s="204"/>
      <c r="R29" s="156">
        <f t="shared" si="11"/>
        <v>44354.25800000001</v>
      </c>
      <c r="S29" s="270" t="s">
        <v>192</v>
      </c>
      <c r="T29" s="271"/>
    </row>
    <row r="30" spans="1:20" s="115" customFormat="1" ht="50.25" customHeight="1">
      <c r="A30" s="112" t="s">
        <v>57</v>
      </c>
      <c r="B30" s="112"/>
      <c r="C30" s="15" t="s">
        <v>95</v>
      </c>
      <c r="D30" s="15" t="s">
        <v>184</v>
      </c>
      <c r="E30" s="201"/>
      <c r="F30" s="202"/>
      <c r="G30" s="202"/>
      <c r="H30" s="201"/>
      <c r="I30" s="203"/>
      <c r="J30" s="204">
        <v>24300.98</v>
      </c>
      <c r="K30" s="202"/>
      <c r="L30" s="120">
        <f t="shared" si="8"/>
        <v>24300.98</v>
      </c>
      <c r="M30" s="204">
        <v>24300.98</v>
      </c>
      <c r="N30" s="202"/>
      <c r="O30" s="120">
        <f t="shared" si="9"/>
        <v>24300.98</v>
      </c>
      <c r="P30" s="204">
        <f t="shared" si="10"/>
        <v>15795.637</v>
      </c>
      <c r="Q30" s="204"/>
      <c r="R30" s="156">
        <f t="shared" si="11"/>
        <v>15795.637</v>
      </c>
      <c r="S30" s="270" t="s">
        <v>192</v>
      </c>
      <c r="T30" s="271"/>
    </row>
    <row r="31" spans="1:20" s="115" customFormat="1" ht="50.25" customHeight="1">
      <c r="A31" s="112" t="s">
        <v>57</v>
      </c>
      <c r="B31" s="112"/>
      <c r="C31" s="15" t="s">
        <v>87</v>
      </c>
      <c r="D31" s="15" t="s">
        <v>185</v>
      </c>
      <c r="E31" s="201"/>
      <c r="F31" s="202"/>
      <c r="G31" s="202"/>
      <c r="H31" s="201"/>
      <c r="I31" s="203"/>
      <c r="J31" s="204">
        <v>59367.75</v>
      </c>
      <c r="K31" s="202"/>
      <c r="L31" s="120">
        <f t="shared" si="8"/>
        <v>59367.75</v>
      </c>
      <c r="M31" s="204">
        <v>59367.75</v>
      </c>
      <c r="N31" s="202"/>
      <c r="O31" s="120">
        <f t="shared" si="9"/>
        <v>59367.75</v>
      </c>
      <c r="P31" s="204">
        <f t="shared" si="10"/>
        <v>38589.0375</v>
      </c>
      <c r="Q31" s="204"/>
      <c r="R31" s="156">
        <f t="shared" si="11"/>
        <v>38589.0375</v>
      </c>
      <c r="S31" s="270" t="s">
        <v>192</v>
      </c>
      <c r="T31" s="271"/>
    </row>
    <row r="32" spans="1:20" s="115" customFormat="1" ht="50.25" customHeight="1">
      <c r="A32" s="112" t="s">
        <v>57</v>
      </c>
      <c r="B32" s="112"/>
      <c r="C32" s="15" t="s">
        <v>87</v>
      </c>
      <c r="D32" s="15" t="s">
        <v>182</v>
      </c>
      <c r="E32" s="201"/>
      <c r="F32" s="202"/>
      <c r="G32" s="202"/>
      <c r="H32" s="201"/>
      <c r="I32" s="203"/>
      <c r="J32" s="204">
        <v>54352.25</v>
      </c>
      <c r="K32" s="202"/>
      <c r="L32" s="120">
        <f t="shared" si="8"/>
        <v>54352.25</v>
      </c>
      <c r="M32" s="204">
        <v>54352.25</v>
      </c>
      <c r="N32" s="202"/>
      <c r="O32" s="120">
        <f t="shared" si="9"/>
        <v>54352.25</v>
      </c>
      <c r="P32" s="204">
        <f t="shared" si="10"/>
        <v>35328.9625</v>
      </c>
      <c r="Q32" s="204"/>
      <c r="R32" s="156">
        <f t="shared" si="11"/>
        <v>35328.9625</v>
      </c>
      <c r="S32" s="270" t="s">
        <v>192</v>
      </c>
      <c r="T32" s="271"/>
    </row>
    <row r="33" spans="1:20" s="115" customFormat="1" ht="50.25" customHeight="1">
      <c r="A33" s="112" t="s">
        <v>57</v>
      </c>
      <c r="B33" s="112"/>
      <c r="C33" s="15" t="s">
        <v>186</v>
      </c>
      <c r="D33" s="15" t="s">
        <v>187</v>
      </c>
      <c r="E33" s="201"/>
      <c r="F33" s="202"/>
      <c r="G33" s="202"/>
      <c r="H33" s="201"/>
      <c r="I33" s="203"/>
      <c r="J33" s="204">
        <v>15015.2</v>
      </c>
      <c r="K33" s="202"/>
      <c r="L33" s="120">
        <f t="shared" si="8"/>
        <v>15015.2</v>
      </c>
      <c r="M33" s="204">
        <v>15015.2</v>
      </c>
      <c r="N33" s="202"/>
      <c r="O33" s="120">
        <f t="shared" si="9"/>
        <v>15015.2</v>
      </c>
      <c r="P33" s="204">
        <f t="shared" si="10"/>
        <v>9759.880000000001</v>
      </c>
      <c r="Q33" s="204"/>
      <c r="R33" s="156">
        <f t="shared" si="11"/>
        <v>9759.880000000001</v>
      </c>
      <c r="S33" s="270" t="s">
        <v>192</v>
      </c>
      <c r="T33" s="271"/>
    </row>
    <row r="34" spans="1:20" ht="30.75" customHeight="1">
      <c r="A34" s="58" t="s">
        <v>57</v>
      </c>
      <c r="B34" s="8"/>
      <c r="C34" s="15" t="s">
        <v>89</v>
      </c>
      <c r="D34" s="15" t="s">
        <v>188</v>
      </c>
      <c r="E34" s="9"/>
      <c r="F34" s="9"/>
      <c r="G34" s="10"/>
      <c r="H34" s="11"/>
      <c r="I34" s="11"/>
      <c r="J34" s="12">
        <v>56867.75</v>
      </c>
      <c r="K34" s="12"/>
      <c r="L34" s="105">
        <f>SUM(J34:K34)</f>
        <v>56867.75</v>
      </c>
      <c r="M34" s="12">
        <v>56867.75</v>
      </c>
      <c r="N34" s="12"/>
      <c r="O34" s="105">
        <f>SUM(M34:N34)</f>
        <v>56867.75</v>
      </c>
      <c r="P34" s="204">
        <f t="shared" si="10"/>
        <v>36964.0375</v>
      </c>
      <c r="Q34" s="204"/>
      <c r="R34" s="156">
        <f t="shared" si="11"/>
        <v>36964.0375</v>
      </c>
      <c r="S34" s="270" t="s">
        <v>192</v>
      </c>
      <c r="T34" s="271"/>
    </row>
    <row r="35" spans="1:20" ht="30.75" customHeight="1">
      <c r="A35" s="58" t="s">
        <v>57</v>
      </c>
      <c r="B35" s="8"/>
      <c r="C35" s="15" t="s">
        <v>189</v>
      </c>
      <c r="D35" s="15" t="s">
        <v>190</v>
      </c>
      <c r="E35" s="9"/>
      <c r="F35" s="9"/>
      <c r="G35" s="10"/>
      <c r="H35" s="11"/>
      <c r="I35" s="11"/>
      <c r="J35" s="12">
        <v>42469.01</v>
      </c>
      <c r="K35" s="12"/>
      <c r="L35" s="105">
        <f>SUM(J35:K35)</f>
        <v>42469.01</v>
      </c>
      <c r="M35" s="12">
        <v>42469.01</v>
      </c>
      <c r="N35" s="12"/>
      <c r="O35" s="105">
        <f>SUM(M35:N35)</f>
        <v>42469.01</v>
      </c>
      <c r="P35" s="204">
        <f t="shared" si="10"/>
        <v>27604.8565</v>
      </c>
      <c r="Q35" s="204"/>
      <c r="R35" s="156">
        <f t="shared" si="11"/>
        <v>27604.8565</v>
      </c>
      <c r="S35" s="270" t="s">
        <v>192</v>
      </c>
      <c r="T35" s="271"/>
    </row>
    <row r="36" spans="1:20" ht="15.75" customHeight="1">
      <c r="A36" s="58"/>
      <c r="B36" s="8"/>
      <c r="C36" s="15"/>
      <c r="D36" s="9"/>
      <c r="E36" s="9"/>
      <c r="F36" s="9"/>
      <c r="G36" s="10"/>
      <c r="H36" s="11"/>
      <c r="I36" s="11"/>
      <c r="J36" s="12"/>
      <c r="K36" s="12"/>
      <c r="L36" s="105">
        <f>SUM(J36:K36)</f>
        <v>0</v>
      </c>
      <c r="M36" s="32">
        <f>L36</f>
        <v>0</v>
      </c>
      <c r="N36" s="12"/>
      <c r="O36" s="105"/>
      <c r="P36" s="12">
        <f>M36*0.65</f>
        <v>0</v>
      </c>
      <c r="Q36" s="12"/>
      <c r="R36" s="105"/>
      <c r="S36" s="242"/>
      <c r="T36" s="242"/>
    </row>
    <row r="38" spans="1:20" ht="11.25">
      <c r="A38" s="165" t="s">
        <v>7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7"/>
      <c r="M38" s="109" t="s">
        <v>44</v>
      </c>
      <c r="N38" s="29" t="s">
        <v>45</v>
      </c>
      <c r="O38" s="130" t="s">
        <v>46</v>
      </c>
      <c r="P38" s="29" t="s">
        <v>47</v>
      </c>
      <c r="Q38" s="29" t="s">
        <v>48</v>
      </c>
      <c r="R38" s="130" t="s">
        <v>43</v>
      </c>
      <c r="S38" s="33" t="s">
        <v>25</v>
      </c>
      <c r="T38" s="34" t="s">
        <v>26</v>
      </c>
    </row>
    <row r="39" spans="1:21" ht="11.25">
      <c r="A39" s="261"/>
      <c r="B39" s="262"/>
      <c r="C39" s="168"/>
      <c r="D39" s="157"/>
      <c r="E39" s="157"/>
      <c r="F39" s="157"/>
      <c r="G39" s="157"/>
      <c r="H39" s="157"/>
      <c r="I39" s="157"/>
      <c r="J39" s="157"/>
      <c r="K39" s="251"/>
      <c r="L39" s="121" t="s">
        <v>12</v>
      </c>
      <c r="M39" s="113">
        <f>1857.96*1000</f>
        <v>1857960</v>
      </c>
      <c r="N39" s="3">
        <f>M39*0.2</f>
        <v>371592</v>
      </c>
      <c r="O39" s="131">
        <f>SUM(M39:N39)</f>
        <v>2229552</v>
      </c>
      <c r="P39" s="3">
        <f>M39*0.65</f>
        <v>1207674</v>
      </c>
      <c r="Q39" s="3">
        <f>P39*0.2</f>
        <v>241534.80000000002</v>
      </c>
      <c r="R39" s="131">
        <f>SUM(P39:Q39)</f>
        <v>1449208.8</v>
      </c>
      <c r="S39" s="50"/>
      <c r="T39" s="50"/>
      <c r="U39" s="30"/>
    </row>
    <row r="40" spans="1:21" ht="11.25">
      <c r="A40" s="217"/>
      <c r="B40" s="218"/>
      <c r="C40" s="45"/>
      <c r="D40" s="44"/>
      <c r="E40" s="44"/>
      <c r="F40" s="44"/>
      <c r="G40" s="44"/>
      <c r="H40" s="44"/>
      <c r="I40" s="44"/>
      <c r="J40" s="44"/>
      <c r="K40" s="4">
        <v>0</v>
      </c>
      <c r="L40" s="122" t="s">
        <v>28</v>
      </c>
      <c r="M40" s="110">
        <f aca="true" t="shared" si="12" ref="M40:R40">SUM(M47:M64)</f>
        <v>190262.59</v>
      </c>
      <c r="N40" s="110">
        <f t="shared" si="12"/>
        <v>17379.291999999998</v>
      </c>
      <c r="O40" s="102">
        <f t="shared" si="12"/>
        <v>207641.88199999998</v>
      </c>
      <c r="P40" s="110">
        <f t="shared" si="12"/>
        <v>123670.68350000001</v>
      </c>
      <c r="Q40" s="110">
        <f t="shared" si="12"/>
        <v>11296.539799999999</v>
      </c>
      <c r="R40" s="102">
        <f t="shared" si="12"/>
        <v>134967.2233</v>
      </c>
      <c r="S40" s="5">
        <f aca="true" t="shared" si="13" ref="S40:S45">R40*0.375</f>
        <v>50612.708737500005</v>
      </c>
      <c r="T40" s="5">
        <f aca="true" t="shared" si="14" ref="T40:T45">R40-S40</f>
        <v>84354.5145625</v>
      </c>
      <c r="U40" s="30"/>
    </row>
    <row r="41" spans="1:21" ht="11.25">
      <c r="A41" s="217"/>
      <c r="B41" s="218"/>
      <c r="C41" s="45"/>
      <c r="D41" s="44"/>
      <c r="E41" s="44"/>
      <c r="F41" s="62"/>
      <c r="G41" s="63"/>
      <c r="H41" s="44"/>
      <c r="I41" s="44"/>
      <c r="J41" s="44"/>
      <c r="K41" s="46"/>
      <c r="L41" s="122" t="s">
        <v>29</v>
      </c>
      <c r="M41" s="110">
        <f>SUM(M65:M81)</f>
        <v>191699.64</v>
      </c>
      <c r="N41" s="110">
        <f>SUM(N65:N81)</f>
        <v>-16479.292</v>
      </c>
      <c r="O41" s="102">
        <f>+N41+M41</f>
        <v>175220.348</v>
      </c>
      <c r="P41" s="110">
        <f>SUM(P65:P81)</f>
        <v>124604.76599999999</v>
      </c>
      <c r="Q41" s="110">
        <f>SUM(Q65:Q81)</f>
        <v>-10711.5398</v>
      </c>
      <c r="R41" s="102">
        <f>+Q41+P41</f>
        <v>113893.22619999999</v>
      </c>
      <c r="S41" s="5">
        <f t="shared" si="13"/>
        <v>42709.959825</v>
      </c>
      <c r="T41" s="5">
        <f t="shared" si="14"/>
        <v>71183.26637499999</v>
      </c>
      <c r="U41" s="30"/>
    </row>
    <row r="42" spans="1:21" ht="11.25">
      <c r="A42" s="217"/>
      <c r="B42" s="218"/>
      <c r="C42" s="45"/>
      <c r="D42" s="44"/>
      <c r="E42" s="44"/>
      <c r="F42" s="44"/>
      <c r="G42" s="44"/>
      <c r="H42" s="44"/>
      <c r="I42" s="44"/>
      <c r="J42" s="44"/>
      <c r="K42" s="46"/>
      <c r="L42" s="122"/>
      <c r="M42" s="110"/>
      <c r="N42" s="4"/>
      <c r="O42" s="102"/>
      <c r="P42" s="4"/>
      <c r="Q42" s="4"/>
      <c r="R42" s="102"/>
      <c r="S42" s="5">
        <f t="shared" si="13"/>
        <v>0</v>
      </c>
      <c r="T42" s="5">
        <f t="shared" si="14"/>
        <v>0</v>
      </c>
      <c r="U42" s="30"/>
    </row>
    <row r="43" spans="1:21" ht="11.25">
      <c r="A43" s="217"/>
      <c r="B43" s="218"/>
      <c r="C43" s="45"/>
      <c r="D43" s="44"/>
      <c r="E43" s="44"/>
      <c r="F43" s="44"/>
      <c r="G43" s="44"/>
      <c r="H43" s="44"/>
      <c r="I43" s="44"/>
      <c r="J43" s="44"/>
      <c r="K43" s="46"/>
      <c r="L43" s="122"/>
      <c r="M43" s="110"/>
      <c r="N43" s="4"/>
      <c r="O43" s="102"/>
      <c r="P43" s="4"/>
      <c r="Q43" s="4"/>
      <c r="R43" s="102"/>
      <c r="S43" s="5">
        <f t="shared" si="13"/>
        <v>0</v>
      </c>
      <c r="T43" s="5">
        <f t="shared" si="14"/>
        <v>0</v>
      </c>
      <c r="U43" s="30"/>
    </row>
    <row r="44" spans="1:21" ht="11.25">
      <c r="A44" s="217"/>
      <c r="B44" s="218"/>
      <c r="C44" s="45"/>
      <c r="D44" s="44"/>
      <c r="E44" s="44"/>
      <c r="F44" s="44"/>
      <c r="G44" s="44"/>
      <c r="H44" s="44"/>
      <c r="I44" s="44"/>
      <c r="J44" s="44"/>
      <c r="K44" s="46"/>
      <c r="L44" s="122"/>
      <c r="M44" s="110"/>
      <c r="N44" s="4"/>
      <c r="O44" s="102"/>
      <c r="P44" s="4"/>
      <c r="Q44" s="4"/>
      <c r="R44" s="102"/>
      <c r="S44" s="5">
        <f t="shared" si="13"/>
        <v>0</v>
      </c>
      <c r="T44" s="5">
        <f t="shared" si="14"/>
        <v>0</v>
      </c>
      <c r="U44" s="30"/>
    </row>
    <row r="45" spans="1:21" ht="11.25">
      <c r="A45" s="219"/>
      <c r="B45" s="158"/>
      <c r="C45" s="162"/>
      <c r="D45" s="163"/>
      <c r="E45" s="163"/>
      <c r="F45" s="163"/>
      <c r="G45" s="163"/>
      <c r="H45" s="163"/>
      <c r="I45" s="163"/>
      <c r="J45" s="163"/>
      <c r="K45" s="164"/>
      <c r="L45" s="123" t="s">
        <v>13</v>
      </c>
      <c r="M45" s="111">
        <f aca="true" t="shared" si="15" ref="M45:R45">M39-M40-M41-M42-M43-M44</f>
        <v>1475997.77</v>
      </c>
      <c r="N45" s="6">
        <f t="shared" si="15"/>
        <v>370692</v>
      </c>
      <c r="O45" s="103">
        <f t="shared" si="15"/>
        <v>1846689.77</v>
      </c>
      <c r="P45" s="6">
        <f t="shared" si="15"/>
        <v>959398.5505</v>
      </c>
      <c r="Q45" s="6">
        <f t="shared" si="15"/>
        <v>240949.80000000002</v>
      </c>
      <c r="R45" s="103">
        <f t="shared" si="15"/>
        <v>1200348.3505000002</v>
      </c>
      <c r="S45" s="5">
        <f t="shared" si="13"/>
        <v>450130.63143750007</v>
      </c>
      <c r="T45" s="5">
        <f t="shared" si="14"/>
        <v>750217.7190625002</v>
      </c>
      <c r="U45" s="30"/>
    </row>
    <row r="46" spans="1:20" ht="22.5">
      <c r="A46" s="7" t="s">
        <v>14</v>
      </c>
      <c r="B46" s="7" t="s">
        <v>11</v>
      </c>
      <c r="C46" s="35" t="s">
        <v>24</v>
      </c>
      <c r="D46" s="35" t="s">
        <v>20</v>
      </c>
      <c r="E46" s="42" t="s">
        <v>2</v>
      </c>
      <c r="F46" s="35" t="s">
        <v>19</v>
      </c>
      <c r="G46" s="35" t="s">
        <v>18</v>
      </c>
      <c r="H46" s="42" t="s">
        <v>17</v>
      </c>
      <c r="I46" s="42" t="s">
        <v>16</v>
      </c>
      <c r="J46" s="35" t="s">
        <v>3</v>
      </c>
      <c r="K46" s="35" t="s">
        <v>4</v>
      </c>
      <c r="L46" s="104" t="s">
        <v>5</v>
      </c>
      <c r="M46" s="112" t="s">
        <v>21</v>
      </c>
      <c r="N46" s="7" t="s">
        <v>40</v>
      </c>
      <c r="O46" s="104" t="s">
        <v>41</v>
      </c>
      <c r="P46" s="7" t="s">
        <v>22</v>
      </c>
      <c r="Q46" s="7" t="s">
        <v>42</v>
      </c>
      <c r="R46" s="104" t="s">
        <v>43</v>
      </c>
      <c r="S46" s="241" t="s">
        <v>27</v>
      </c>
      <c r="T46" s="241"/>
    </row>
    <row r="47" spans="1:20" ht="48.75" customHeight="1">
      <c r="A47" s="58" t="s">
        <v>15</v>
      </c>
      <c r="B47" s="75"/>
      <c r="C47" s="15" t="s">
        <v>50</v>
      </c>
      <c r="D47" s="82" t="s">
        <v>51</v>
      </c>
      <c r="E47" s="83" t="s">
        <v>52</v>
      </c>
      <c r="F47" s="88">
        <v>8</v>
      </c>
      <c r="G47" s="84">
        <v>38412</v>
      </c>
      <c r="H47" s="85">
        <v>38419</v>
      </c>
      <c r="I47" s="86" t="s">
        <v>53</v>
      </c>
      <c r="J47" s="87">
        <v>1500</v>
      </c>
      <c r="K47" s="87">
        <f>J47*0.2</f>
        <v>300</v>
      </c>
      <c r="L47" s="106">
        <f>SUM(J47:K47)</f>
        <v>1800</v>
      </c>
      <c r="M47" s="32">
        <v>1500</v>
      </c>
      <c r="N47" s="32">
        <f>M47*0.2</f>
        <v>300</v>
      </c>
      <c r="O47" s="105">
        <f aca="true" t="shared" si="16" ref="O47:O52">SUM(M47:N47)</f>
        <v>1800</v>
      </c>
      <c r="P47" s="12">
        <f aca="true" t="shared" si="17" ref="P47:Q62">M47*0.65</f>
        <v>975</v>
      </c>
      <c r="Q47" s="12">
        <f t="shared" si="17"/>
        <v>195</v>
      </c>
      <c r="R47" s="105">
        <f aca="true" t="shared" si="18" ref="R47:R52">SUM(P47:Q47)</f>
        <v>1170</v>
      </c>
      <c r="S47" s="268" t="s">
        <v>103</v>
      </c>
      <c r="T47" s="269"/>
    </row>
    <row r="48" spans="1:20" ht="48.75" customHeight="1">
      <c r="A48" s="58" t="s">
        <v>15</v>
      </c>
      <c r="B48" s="75"/>
      <c r="C48" s="15" t="s">
        <v>50</v>
      </c>
      <c r="D48" s="82" t="s">
        <v>51</v>
      </c>
      <c r="E48" s="83" t="s">
        <v>52</v>
      </c>
      <c r="F48" s="88">
        <v>12</v>
      </c>
      <c r="G48" s="84">
        <v>38474</v>
      </c>
      <c r="H48" s="85">
        <v>38470</v>
      </c>
      <c r="I48" s="86" t="s">
        <v>53</v>
      </c>
      <c r="J48" s="87">
        <v>1500</v>
      </c>
      <c r="K48" s="87">
        <v>300</v>
      </c>
      <c r="L48" s="106">
        <f>SUM(J48:K48)</f>
        <v>1800</v>
      </c>
      <c r="M48" s="32">
        <v>1500</v>
      </c>
      <c r="N48" s="32">
        <f>M48*0.2</f>
        <v>300</v>
      </c>
      <c r="O48" s="105">
        <f t="shared" si="16"/>
        <v>1800</v>
      </c>
      <c r="P48" s="12">
        <f t="shared" si="17"/>
        <v>975</v>
      </c>
      <c r="Q48" s="12">
        <f t="shared" si="17"/>
        <v>195</v>
      </c>
      <c r="R48" s="105">
        <f t="shared" si="18"/>
        <v>1170</v>
      </c>
      <c r="S48" s="243" t="s">
        <v>103</v>
      </c>
      <c r="T48" s="244"/>
    </row>
    <row r="49" spans="1:20" ht="66.75" customHeight="1">
      <c r="A49" s="58" t="s">
        <v>15</v>
      </c>
      <c r="B49" s="75"/>
      <c r="C49" s="15" t="s">
        <v>50</v>
      </c>
      <c r="D49" s="82" t="s">
        <v>58</v>
      </c>
      <c r="E49" s="91" t="s">
        <v>60</v>
      </c>
      <c r="F49" s="88">
        <v>24</v>
      </c>
      <c r="G49" s="95">
        <v>38509</v>
      </c>
      <c r="H49" s="85">
        <v>38511</v>
      </c>
      <c r="I49" s="85" t="s">
        <v>61</v>
      </c>
      <c r="J49" s="86">
        <v>4164.66</v>
      </c>
      <c r="K49" s="87">
        <f>J49*0.2</f>
        <v>832.932</v>
      </c>
      <c r="L49" s="106">
        <f>SUM(J49:K49)</f>
        <v>4997.592</v>
      </c>
      <c r="M49" s="32">
        <v>4164.66</v>
      </c>
      <c r="N49" s="146">
        <f>+K49</f>
        <v>832.932</v>
      </c>
      <c r="O49" s="105">
        <f t="shared" si="16"/>
        <v>4997.592</v>
      </c>
      <c r="P49" s="12">
        <f t="shared" si="17"/>
        <v>2707.029</v>
      </c>
      <c r="Q49" s="12">
        <f t="shared" si="17"/>
        <v>541.4058</v>
      </c>
      <c r="R49" s="105">
        <f t="shared" si="18"/>
        <v>3248.4348</v>
      </c>
      <c r="S49" s="243" t="s">
        <v>100</v>
      </c>
      <c r="T49" s="244"/>
    </row>
    <row r="50" spans="1:20" ht="61.5" customHeight="1">
      <c r="A50" s="58" t="s">
        <v>15</v>
      </c>
      <c r="B50" s="75"/>
      <c r="C50" s="15" t="s">
        <v>50</v>
      </c>
      <c r="D50" s="82" t="s">
        <v>58</v>
      </c>
      <c r="E50" s="91" t="s">
        <v>60</v>
      </c>
      <c r="F50" s="88">
        <v>25</v>
      </c>
      <c r="G50" s="84">
        <v>38525</v>
      </c>
      <c r="H50" s="85">
        <v>38531</v>
      </c>
      <c r="I50" s="85" t="s">
        <v>61</v>
      </c>
      <c r="J50" s="87">
        <v>2499</v>
      </c>
      <c r="K50" s="87">
        <f>J50*0.2</f>
        <v>499.8</v>
      </c>
      <c r="L50" s="106">
        <f>SUM(J50:K50)</f>
        <v>2998.8</v>
      </c>
      <c r="M50" s="32">
        <v>2499</v>
      </c>
      <c r="N50" s="146">
        <f>+K50</f>
        <v>499.8</v>
      </c>
      <c r="O50" s="105">
        <f t="shared" si="16"/>
        <v>2998.8</v>
      </c>
      <c r="P50" s="12">
        <f t="shared" si="17"/>
        <v>1624.3500000000001</v>
      </c>
      <c r="Q50" s="12">
        <f t="shared" si="17"/>
        <v>324.87</v>
      </c>
      <c r="R50" s="105">
        <f t="shared" si="18"/>
        <v>1949.2200000000003</v>
      </c>
      <c r="S50" s="243" t="s">
        <v>100</v>
      </c>
      <c r="T50" s="244"/>
    </row>
    <row r="51" spans="1:20" ht="48.75" customHeight="1">
      <c r="A51" s="58" t="s">
        <v>15</v>
      </c>
      <c r="B51" s="75"/>
      <c r="C51" s="15" t="s">
        <v>50</v>
      </c>
      <c r="D51" s="82" t="s">
        <v>59</v>
      </c>
      <c r="E51" s="83" t="s">
        <v>62</v>
      </c>
      <c r="F51" s="88">
        <v>16</v>
      </c>
      <c r="G51" s="84">
        <v>38535</v>
      </c>
      <c r="H51" s="85">
        <v>38555</v>
      </c>
      <c r="I51" s="85" t="s">
        <v>61</v>
      </c>
      <c r="J51" s="87">
        <v>1500</v>
      </c>
      <c r="K51" s="87">
        <v>300</v>
      </c>
      <c r="L51" s="106">
        <v>1800</v>
      </c>
      <c r="M51" s="32">
        <v>1500</v>
      </c>
      <c r="N51" s="32">
        <f>M51*0.2</f>
        <v>300</v>
      </c>
      <c r="O51" s="105">
        <f t="shared" si="16"/>
        <v>1800</v>
      </c>
      <c r="P51" s="12">
        <f t="shared" si="17"/>
        <v>975</v>
      </c>
      <c r="Q51" s="12">
        <f t="shared" si="17"/>
        <v>195</v>
      </c>
      <c r="R51" s="105">
        <f t="shared" si="18"/>
        <v>1170</v>
      </c>
      <c r="S51" s="243" t="s">
        <v>103</v>
      </c>
      <c r="T51" s="244"/>
    </row>
    <row r="52" spans="1:20" ht="48.75" customHeight="1">
      <c r="A52" s="58" t="s">
        <v>15</v>
      </c>
      <c r="B52" s="75"/>
      <c r="C52" s="15" t="s">
        <v>50</v>
      </c>
      <c r="D52" s="82" t="s">
        <v>59</v>
      </c>
      <c r="E52" s="83" t="s">
        <v>62</v>
      </c>
      <c r="F52" s="88">
        <v>23</v>
      </c>
      <c r="G52" s="84">
        <v>38596</v>
      </c>
      <c r="H52" s="85">
        <v>38617</v>
      </c>
      <c r="I52" s="85" t="s">
        <v>61</v>
      </c>
      <c r="J52" s="87">
        <v>1500</v>
      </c>
      <c r="K52" s="87">
        <v>300</v>
      </c>
      <c r="L52" s="106">
        <v>1800</v>
      </c>
      <c r="M52" s="32">
        <v>1500</v>
      </c>
      <c r="N52" s="146">
        <f>+K52</f>
        <v>300</v>
      </c>
      <c r="O52" s="105">
        <f t="shared" si="16"/>
        <v>1800</v>
      </c>
      <c r="P52" s="12">
        <f t="shared" si="17"/>
        <v>975</v>
      </c>
      <c r="Q52" s="12">
        <f t="shared" si="17"/>
        <v>195</v>
      </c>
      <c r="R52" s="105">
        <f t="shared" si="18"/>
        <v>1170</v>
      </c>
      <c r="S52" s="243" t="s">
        <v>103</v>
      </c>
      <c r="T52" s="244"/>
    </row>
    <row r="53" spans="1:20" ht="24" customHeight="1">
      <c r="A53" s="58" t="s">
        <v>15</v>
      </c>
      <c r="B53" s="75"/>
      <c r="C53" s="15" t="s">
        <v>63</v>
      </c>
      <c r="D53" s="82" t="s">
        <v>64</v>
      </c>
      <c r="E53" s="91" t="s">
        <v>68</v>
      </c>
      <c r="F53" s="93">
        <v>166</v>
      </c>
      <c r="G53" s="84">
        <v>38490</v>
      </c>
      <c r="H53" s="85">
        <v>38513</v>
      </c>
      <c r="I53" s="85" t="s">
        <v>61</v>
      </c>
      <c r="J53" s="86">
        <v>4600</v>
      </c>
      <c r="K53" s="87">
        <f>J53*0.2</f>
        <v>920</v>
      </c>
      <c r="L53" s="106">
        <f>SUM(J53:K53)</f>
        <v>5520</v>
      </c>
      <c r="M53" s="32">
        <v>4600</v>
      </c>
      <c r="N53" s="146">
        <f>+K53</f>
        <v>920</v>
      </c>
      <c r="O53" s="105">
        <f aca="true" t="shared" si="19" ref="O53:O65">SUM(M53:N53)</f>
        <v>5520</v>
      </c>
      <c r="P53" s="12">
        <f aca="true" t="shared" si="20" ref="P53:Q64">M53*0.65</f>
        <v>2990</v>
      </c>
      <c r="Q53" s="12">
        <f t="shared" si="17"/>
        <v>598</v>
      </c>
      <c r="R53" s="105">
        <f>SUM(P53:Q53)</f>
        <v>3588</v>
      </c>
      <c r="S53" s="243" t="s">
        <v>99</v>
      </c>
      <c r="T53" s="244"/>
    </row>
    <row r="54" spans="1:20" ht="14.25" customHeight="1">
      <c r="A54" s="58" t="s">
        <v>15</v>
      </c>
      <c r="B54" s="75"/>
      <c r="C54" s="9" t="s">
        <v>63</v>
      </c>
      <c r="D54" s="82" t="s">
        <v>65</v>
      </c>
      <c r="E54" s="91" t="s">
        <v>68</v>
      </c>
      <c r="F54" s="93">
        <v>167</v>
      </c>
      <c r="G54" s="84">
        <v>38490</v>
      </c>
      <c r="H54" s="85">
        <v>38516</v>
      </c>
      <c r="I54" s="85" t="s">
        <v>61</v>
      </c>
      <c r="J54" s="87">
        <v>15500</v>
      </c>
      <c r="K54" s="87">
        <f>J54*0.2</f>
        <v>3100</v>
      </c>
      <c r="L54" s="106">
        <f>SUM(J54:K54)</f>
        <v>18600</v>
      </c>
      <c r="M54" s="32">
        <v>15500</v>
      </c>
      <c r="N54" s="146">
        <f>+K54</f>
        <v>3100</v>
      </c>
      <c r="O54" s="105">
        <f t="shared" si="19"/>
        <v>18600</v>
      </c>
      <c r="P54" s="12">
        <f t="shared" si="20"/>
        <v>10075</v>
      </c>
      <c r="Q54" s="12">
        <f t="shared" si="17"/>
        <v>2015</v>
      </c>
      <c r="R54" s="105">
        <f>SUM(P54:Q54)</f>
        <v>12090</v>
      </c>
      <c r="S54" s="264"/>
      <c r="T54" s="265"/>
    </row>
    <row r="55" spans="1:20" ht="14.25" customHeight="1">
      <c r="A55" s="58" t="s">
        <v>15</v>
      </c>
      <c r="B55" s="75"/>
      <c r="C55" s="9" t="s">
        <v>63</v>
      </c>
      <c r="D55" s="82" t="s">
        <v>66</v>
      </c>
      <c r="E55" s="91" t="s">
        <v>68</v>
      </c>
      <c r="F55" s="93">
        <v>168</v>
      </c>
      <c r="G55" s="84">
        <v>38490</v>
      </c>
      <c r="H55" s="85">
        <v>38513</v>
      </c>
      <c r="I55" s="85" t="s">
        <v>61</v>
      </c>
      <c r="J55" s="87">
        <v>2975.9</v>
      </c>
      <c r="K55" s="87">
        <f>J55*0.2</f>
        <v>595.1800000000001</v>
      </c>
      <c r="L55" s="106">
        <f>SUM(J55:K55)</f>
        <v>3571.08</v>
      </c>
      <c r="M55" s="32">
        <v>2975.9</v>
      </c>
      <c r="N55" s="146">
        <f>+K55</f>
        <v>595.1800000000001</v>
      </c>
      <c r="O55" s="105">
        <f t="shared" si="19"/>
        <v>3571.08</v>
      </c>
      <c r="P55" s="12">
        <f t="shared" si="20"/>
        <v>1934.335</v>
      </c>
      <c r="Q55" s="12">
        <f t="shared" si="17"/>
        <v>386.8670000000001</v>
      </c>
      <c r="R55" s="105">
        <f>SUM(P55:Q55)</f>
        <v>2321.202</v>
      </c>
      <c r="S55" s="264"/>
      <c r="T55" s="265"/>
    </row>
    <row r="56" spans="1:20" ht="14.25" customHeight="1">
      <c r="A56" s="58" t="s">
        <v>15</v>
      </c>
      <c r="B56" s="75"/>
      <c r="C56" s="9" t="s">
        <v>63</v>
      </c>
      <c r="D56" s="82" t="s">
        <v>67</v>
      </c>
      <c r="E56" s="91" t="s">
        <v>69</v>
      </c>
      <c r="F56" s="93">
        <v>19</v>
      </c>
      <c r="G56" s="84">
        <v>38558</v>
      </c>
      <c r="H56" s="84">
        <v>38559</v>
      </c>
      <c r="I56" s="85" t="s">
        <v>61</v>
      </c>
      <c r="J56" s="87">
        <v>67760</v>
      </c>
      <c r="K56" s="87">
        <f>J56*0.2</f>
        <v>13552</v>
      </c>
      <c r="L56" s="106">
        <f>SUM(J56:K56)</f>
        <v>81312</v>
      </c>
      <c r="M56" s="32">
        <v>67760</v>
      </c>
      <c r="N56" s="146">
        <v>2980.77</v>
      </c>
      <c r="O56" s="105">
        <f t="shared" si="19"/>
        <v>70740.77</v>
      </c>
      <c r="P56" s="12">
        <f t="shared" si="20"/>
        <v>44044</v>
      </c>
      <c r="Q56" s="12">
        <f t="shared" si="17"/>
        <v>1937.5005</v>
      </c>
      <c r="R56" s="105">
        <f>SUM(P56:Q56)</f>
        <v>45981.5005</v>
      </c>
      <c r="S56" s="264"/>
      <c r="T56" s="265"/>
    </row>
    <row r="57" spans="1:20" ht="14.25" customHeight="1">
      <c r="A57" s="58" t="s">
        <v>15</v>
      </c>
      <c r="B57" s="75"/>
      <c r="C57" s="9" t="s">
        <v>63</v>
      </c>
      <c r="D57" s="82" t="s">
        <v>67</v>
      </c>
      <c r="E57" s="91" t="s">
        <v>69</v>
      </c>
      <c r="F57" s="93">
        <v>26</v>
      </c>
      <c r="G57" s="84">
        <v>38615</v>
      </c>
      <c r="H57" s="84">
        <v>38615</v>
      </c>
      <c r="I57" s="85" t="s">
        <v>61</v>
      </c>
      <c r="J57" s="87">
        <f>38000+12510</f>
        <v>50510</v>
      </c>
      <c r="K57" s="87">
        <f>38000*0.2</f>
        <v>7600</v>
      </c>
      <c r="L57" s="106">
        <f>SUM(J57:K57)</f>
        <v>58110</v>
      </c>
      <c r="M57" s="32">
        <v>50510</v>
      </c>
      <c r="N57" s="32"/>
      <c r="O57" s="105">
        <f t="shared" si="19"/>
        <v>50510</v>
      </c>
      <c r="P57" s="12">
        <f t="shared" si="20"/>
        <v>32831.5</v>
      </c>
      <c r="Q57" s="12">
        <f t="shared" si="17"/>
        <v>0</v>
      </c>
      <c r="R57" s="105">
        <f>SUM(P57:Q57)</f>
        <v>32831.5</v>
      </c>
      <c r="S57" s="264"/>
      <c r="T57" s="265"/>
    </row>
    <row r="58" spans="1:20" ht="14.25" customHeight="1">
      <c r="A58" s="58" t="s">
        <v>15</v>
      </c>
      <c r="B58" s="75"/>
      <c r="C58" s="9" t="s">
        <v>63</v>
      </c>
      <c r="D58" s="82" t="s">
        <v>71</v>
      </c>
      <c r="E58" s="91" t="s">
        <v>72</v>
      </c>
      <c r="F58" s="91" t="s">
        <v>73</v>
      </c>
      <c r="G58" s="84">
        <v>38533</v>
      </c>
      <c r="H58" s="85">
        <v>38645</v>
      </c>
      <c r="I58" s="85" t="s">
        <v>61</v>
      </c>
      <c r="J58" s="87">
        <v>19658.6</v>
      </c>
      <c r="K58" s="87">
        <v>3931.72</v>
      </c>
      <c r="L58" s="106">
        <v>23590.32</v>
      </c>
      <c r="M58" s="32">
        <v>19658.6</v>
      </c>
      <c r="N58" s="146">
        <f aca="true" t="shared" si="21" ref="N58:N64">+K58</f>
        <v>3931.72</v>
      </c>
      <c r="O58" s="105">
        <f t="shared" si="19"/>
        <v>23590.32</v>
      </c>
      <c r="P58" s="12">
        <f t="shared" si="20"/>
        <v>12778.09</v>
      </c>
      <c r="Q58" s="12">
        <f t="shared" si="17"/>
        <v>2555.618</v>
      </c>
      <c r="R58" s="105">
        <f aca="true" t="shared" si="22" ref="R58:R64">SUM(P58:Q58)</f>
        <v>15333.708</v>
      </c>
      <c r="S58" s="264"/>
      <c r="T58" s="265"/>
    </row>
    <row r="59" spans="1:20" ht="14.25" customHeight="1">
      <c r="A59" s="58" t="s">
        <v>15</v>
      </c>
      <c r="B59" s="75"/>
      <c r="C59" s="9" t="s">
        <v>63</v>
      </c>
      <c r="D59" s="82" t="s">
        <v>74</v>
      </c>
      <c r="E59" s="91" t="s">
        <v>72</v>
      </c>
      <c r="F59" s="91" t="s">
        <v>75</v>
      </c>
      <c r="G59" s="84">
        <v>38533</v>
      </c>
      <c r="H59" s="85">
        <v>38645</v>
      </c>
      <c r="I59" s="85" t="s">
        <v>61</v>
      </c>
      <c r="J59" s="81">
        <v>6256.75</v>
      </c>
      <c r="K59" s="87">
        <v>1251.35</v>
      </c>
      <c r="L59" s="106">
        <v>7508.1</v>
      </c>
      <c r="M59" s="32">
        <v>6256.75</v>
      </c>
      <c r="N59" s="146">
        <f t="shared" si="21"/>
        <v>1251.35</v>
      </c>
      <c r="O59" s="105">
        <f t="shared" si="19"/>
        <v>7508.1</v>
      </c>
      <c r="P59" s="12">
        <f t="shared" si="20"/>
        <v>4066.8875000000003</v>
      </c>
      <c r="Q59" s="12">
        <f t="shared" si="17"/>
        <v>813.3774999999999</v>
      </c>
      <c r="R59" s="105">
        <f t="shared" si="22"/>
        <v>4880.265</v>
      </c>
      <c r="S59" s="264"/>
      <c r="T59" s="265"/>
    </row>
    <row r="60" spans="1:20" ht="14.25" customHeight="1">
      <c r="A60" s="58" t="s">
        <v>15</v>
      </c>
      <c r="B60" s="75"/>
      <c r="C60" s="9" t="s">
        <v>63</v>
      </c>
      <c r="D60" s="82" t="s">
        <v>76</v>
      </c>
      <c r="E60" s="91" t="s">
        <v>72</v>
      </c>
      <c r="F60" s="91" t="s">
        <v>77</v>
      </c>
      <c r="G60" s="84">
        <v>38533</v>
      </c>
      <c r="H60" s="85">
        <v>38645</v>
      </c>
      <c r="I60" s="85" t="s">
        <v>61</v>
      </c>
      <c r="J60" s="87">
        <v>1501.5</v>
      </c>
      <c r="K60" s="96">
        <v>300.3</v>
      </c>
      <c r="L60" s="106">
        <v>1801.8</v>
      </c>
      <c r="M60" s="32">
        <v>1501.5</v>
      </c>
      <c r="N60" s="146">
        <f t="shared" si="21"/>
        <v>300.3</v>
      </c>
      <c r="O60" s="105">
        <f t="shared" si="19"/>
        <v>1801.8</v>
      </c>
      <c r="P60" s="12">
        <f t="shared" si="20"/>
        <v>975.975</v>
      </c>
      <c r="Q60" s="12">
        <f t="shared" si="17"/>
        <v>195.19500000000002</v>
      </c>
      <c r="R60" s="105">
        <f t="shared" si="22"/>
        <v>1171.17</v>
      </c>
      <c r="S60" s="264"/>
      <c r="T60" s="265"/>
    </row>
    <row r="61" spans="1:20" ht="14.25" customHeight="1">
      <c r="A61" s="58" t="s">
        <v>15</v>
      </c>
      <c r="B61" s="75"/>
      <c r="C61" s="9" t="s">
        <v>63</v>
      </c>
      <c r="D61" s="82" t="s">
        <v>78</v>
      </c>
      <c r="E61" s="91" t="s">
        <v>72</v>
      </c>
      <c r="F61" s="91" t="s">
        <v>79</v>
      </c>
      <c r="G61" s="84">
        <v>38533</v>
      </c>
      <c r="H61" s="85">
        <v>38645</v>
      </c>
      <c r="I61" s="85" t="s">
        <v>61</v>
      </c>
      <c r="J61" s="87">
        <v>1774.5</v>
      </c>
      <c r="K61" s="96">
        <v>354.9</v>
      </c>
      <c r="L61" s="106">
        <v>2129.4</v>
      </c>
      <c r="M61" s="32">
        <v>1774.5</v>
      </c>
      <c r="N61" s="146">
        <f t="shared" si="21"/>
        <v>354.9</v>
      </c>
      <c r="O61" s="105">
        <f t="shared" si="19"/>
        <v>2129.4</v>
      </c>
      <c r="P61" s="12">
        <f t="shared" si="20"/>
        <v>1153.425</v>
      </c>
      <c r="Q61" s="12">
        <f t="shared" si="17"/>
        <v>230.685</v>
      </c>
      <c r="R61" s="105">
        <f t="shared" si="22"/>
        <v>1384.11</v>
      </c>
      <c r="S61" s="264"/>
      <c r="T61" s="265"/>
    </row>
    <row r="62" spans="1:20" ht="14.25" customHeight="1">
      <c r="A62" s="58" t="s">
        <v>15</v>
      </c>
      <c r="B62" s="75"/>
      <c r="C62" s="9" t="s">
        <v>63</v>
      </c>
      <c r="D62" s="82" t="s">
        <v>80</v>
      </c>
      <c r="E62" s="91" t="s">
        <v>72</v>
      </c>
      <c r="F62" s="91" t="s">
        <v>81</v>
      </c>
      <c r="G62" s="84">
        <v>38533</v>
      </c>
      <c r="H62" s="85">
        <v>38645</v>
      </c>
      <c r="I62" s="85" t="s">
        <v>61</v>
      </c>
      <c r="J62" s="87">
        <v>1657.5</v>
      </c>
      <c r="K62" s="93">
        <v>331.5</v>
      </c>
      <c r="L62" s="124">
        <v>1989</v>
      </c>
      <c r="M62" s="32">
        <v>1657.5</v>
      </c>
      <c r="N62" s="146">
        <f t="shared" si="21"/>
        <v>331.5</v>
      </c>
      <c r="O62" s="105">
        <f t="shared" si="19"/>
        <v>1989</v>
      </c>
      <c r="P62" s="12">
        <f t="shared" si="20"/>
        <v>1077.375</v>
      </c>
      <c r="Q62" s="12">
        <f t="shared" si="17"/>
        <v>215.475</v>
      </c>
      <c r="R62" s="105">
        <f t="shared" si="22"/>
        <v>1292.85</v>
      </c>
      <c r="S62" s="264"/>
      <c r="T62" s="265"/>
    </row>
    <row r="63" spans="1:20" ht="14.25" customHeight="1">
      <c r="A63" s="58" t="s">
        <v>15</v>
      </c>
      <c r="B63" s="75"/>
      <c r="C63" s="9" t="s">
        <v>63</v>
      </c>
      <c r="D63" s="82" t="s">
        <v>82</v>
      </c>
      <c r="E63" s="91" t="s">
        <v>72</v>
      </c>
      <c r="F63" s="91" t="s">
        <v>83</v>
      </c>
      <c r="G63" s="84">
        <v>38533</v>
      </c>
      <c r="H63" s="85">
        <v>38645</v>
      </c>
      <c r="I63" s="85" t="s">
        <v>61</v>
      </c>
      <c r="J63" s="87">
        <v>523.25</v>
      </c>
      <c r="K63" s="93">
        <v>104.65</v>
      </c>
      <c r="L63" s="125">
        <v>627.9</v>
      </c>
      <c r="M63" s="32">
        <v>523.25</v>
      </c>
      <c r="N63" s="146">
        <f t="shared" si="21"/>
        <v>104.65</v>
      </c>
      <c r="O63" s="105">
        <f t="shared" si="19"/>
        <v>627.9</v>
      </c>
      <c r="P63" s="12">
        <f t="shared" si="20"/>
        <v>340.1125</v>
      </c>
      <c r="Q63" s="12">
        <f t="shared" si="20"/>
        <v>68.02250000000001</v>
      </c>
      <c r="R63" s="105">
        <f t="shared" si="22"/>
        <v>408.135</v>
      </c>
      <c r="S63" s="264"/>
      <c r="T63" s="265"/>
    </row>
    <row r="64" spans="1:20" ht="14.25" customHeight="1">
      <c r="A64" s="58" t="s">
        <v>15</v>
      </c>
      <c r="B64" s="75"/>
      <c r="C64" s="9" t="s">
        <v>63</v>
      </c>
      <c r="D64" s="82" t="s">
        <v>70</v>
      </c>
      <c r="E64" s="91" t="s">
        <v>72</v>
      </c>
      <c r="F64" s="91" t="s">
        <v>84</v>
      </c>
      <c r="G64" s="84">
        <v>38562</v>
      </c>
      <c r="H64" s="85">
        <v>38645</v>
      </c>
      <c r="I64" s="85" t="s">
        <v>61</v>
      </c>
      <c r="J64" s="87">
        <v>4880.93</v>
      </c>
      <c r="K64" s="93">
        <v>976.19</v>
      </c>
      <c r="L64" s="106">
        <v>5857.12</v>
      </c>
      <c r="M64" s="32">
        <v>4880.93</v>
      </c>
      <c r="N64" s="146">
        <f t="shared" si="21"/>
        <v>976.19</v>
      </c>
      <c r="O64" s="105">
        <f t="shared" si="19"/>
        <v>5857.120000000001</v>
      </c>
      <c r="P64" s="12">
        <f t="shared" si="20"/>
        <v>3172.6045000000004</v>
      </c>
      <c r="Q64" s="12">
        <f t="shared" si="20"/>
        <v>634.5235</v>
      </c>
      <c r="R64" s="105">
        <f t="shared" si="22"/>
        <v>3807.1280000000006</v>
      </c>
      <c r="S64" s="266"/>
      <c r="T64" s="267"/>
    </row>
    <row r="65" spans="1:20" s="144" customFormat="1" ht="96" customHeight="1">
      <c r="A65" s="148" t="s">
        <v>57</v>
      </c>
      <c r="B65" s="149"/>
      <c r="C65" s="138"/>
      <c r="D65" s="150"/>
      <c r="E65" s="151"/>
      <c r="F65" s="151"/>
      <c r="G65" s="152"/>
      <c r="H65" s="153"/>
      <c r="I65" s="153"/>
      <c r="J65" s="154"/>
      <c r="K65" s="155"/>
      <c r="L65" s="106"/>
      <c r="M65" s="143"/>
      <c r="N65" s="143">
        <f>-N64-N63-N62-N61-N60-N59-N58-N56-N55-N54-N53-N52-N50-N49</f>
        <v>-16479.292</v>
      </c>
      <c r="O65" s="105">
        <f t="shared" si="19"/>
        <v>-16479.292</v>
      </c>
      <c r="P65" s="143"/>
      <c r="Q65" s="143">
        <f>-Q64-Q63-Q62-Q61-Q60-Q59-Q58-Q56-Q55-Q54-Q53-Q52-Q50-Q49</f>
        <v>-10711.5398</v>
      </c>
      <c r="R65" s="105">
        <f>SUM(P65:Q65)</f>
        <v>-10711.5398</v>
      </c>
      <c r="S65" s="245" t="s">
        <v>110</v>
      </c>
      <c r="T65" s="246"/>
    </row>
    <row r="66" spans="1:20" s="115" customFormat="1" ht="33.75">
      <c r="A66" s="112" t="s">
        <v>57</v>
      </c>
      <c r="B66" s="112"/>
      <c r="C66" s="15" t="s">
        <v>50</v>
      </c>
      <c r="D66" s="205" t="s">
        <v>155</v>
      </c>
      <c r="E66" s="207" t="s">
        <v>52</v>
      </c>
      <c r="F66" s="208">
        <v>26</v>
      </c>
      <c r="G66" s="208">
        <v>38658</v>
      </c>
      <c r="H66" s="207">
        <v>38666</v>
      </c>
      <c r="I66" s="209" t="s">
        <v>53</v>
      </c>
      <c r="J66" s="204">
        <v>1500</v>
      </c>
      <c r="K66" s="210">
        <v>300</v>
      </c>
      <c r="L66" s="120">
        <v>1800</v>
      </c>
      <c r="M66" s="204">
        <v>1500</v>
      </c>
      <c r="N66" s="204"/>
      <c r="O66" s="156">
        <f>+N66+M66</f>
        <v>1500</v>
      </c>
      <c r="P66" s="204">
        <f>+M66*0.65</f>
        <v>975</v>
      </c>
      <c r="Q66" s="204"/>
      <c r="R66" s="156">
        <f>+Q66+P66</f>
        <v>975</v>
      </c>
      <c r="S66" s="270" t="s">
        <v>192</v>
      </c>
      <c r="T66" s="271"/>
    </row>
    <row r="67" spans="1:20" s="115" customFormat="1" ht="33.75">
      <c r="A67" s="112" t="s">
        <v>57</v>
      </c>
      <c r="B67" s="112"/>
      <c r="C67" s="15" t="s">
        <v>50</v>
      </c>
      <c r="D67" s="205" t="s">
        <v>155</v>
      </c>
      <c r="E67" s="207" t="s">
        <v>52</v>
      </c>
      <c r="F67" s="208">
        <v>1</v>
      </c>
      <c r="G67" s="208">
        <v>38719</v>
      </c>
      <c r="H67" s="207">
        <v>38721</v>
      </c>
      <c r="I67" s="209" t="s">
        <v>53</v>
      </c>
      <c r="J67" s="204">
        <v>1500</v>
      </c>
      <c r="K67" s="210">
        <v>300</v>
      </c>
      <c r="L67" s="120">
        <v>1800</v>
      </c>
      <c r="M67" s="204">
        <v>1500</v>
      </c>
      <c r="N67" s="204"/>
      <c r="O67" s="156">
        <f aca="true" t="shared" si="23" ref="O67:O81">+N67+M67</f>
        <v>1500</v>
      </c>
      <c r="P67" s="204">
        <f aca="true" t="shared" si="24" ref="P67:P81">+M67*0.65</f>
        <v>975</v>
      </c>
      <c r="Q67" s="204"/>
      <c r="R67" s="156">
        <f aca="true" t="shared" si="25" ref="R67:R81">+Q67+P67</f>
        <v>975</v>
      </c>
      <c r="S67" s="270" t="s">
        <v>192</v>
      </c>
      <c r="T67" s="271"/>
    </row>
    <row r="68" spans="1:20" s="115" customFormat="1" ht="33.75">
      <c r="A68" s="112" t="s">
        <v>57</v>
      </c>
      <c r="B68" s="112"/>
      <c r="C68" s="15" t="s">
        <v>50</v>
      </c>
      <c r="D68" s="205" t="s">
        <v>155</v>
      </c>
      <c r="E68" s="207" t="s">
        <v>52</v>
      </c>
      <c r="F68" s="208">
        <v>8</v>
      </c>
      <c r="G68" s="208">
        <v>38777</v>
      </c>
      <c r="H68" s="207">
        <v>38805</v>
      </c>
      <c r="I68" s="209" t="s">
        <v>53</v>
      </c>
      <c r="J68" s="204">
        <v>1500</v>
      </c>
      <c r="K68" s="210">
        <v>300</v>
      </c>
      <c r="L68" s="120">
        <v>1800</v>
      </c>
      <c r="M68" s="204">
        <v>1500</v>
      </c>
      <c r="N68" s="204"/>
      <c r="O68" s="156">
        <f t="shared" si="23"/>
        <v>1500</v>
      </c>
      <c r="P68" s="204">
        <f t="shared" si="24"/>
        <v>975</v>
      </c>
      <c r="Q68" s="204"/>
      <c r="R68" s="156">
        <f t="shared" si="25"/>
        <v>975</v>
      </c>
      <c r="S68" s="270" t="s">
        <v>192</v>
      </c>
      <c r="T68" s="271"/>
    </row>
    <row r="69" spans="1:20" s="115" customFormat="1" ht="33.75">
      <c r="A69" s="112" t="s">
        <v>57</v>
      </c>
      <c r="B69" s="112"/>
      <c r="C69" s="15" t="s">
        <v>50</v>
      </c>
      <c r="D69" s="205" t="s">
        <v>155</v>
      </c>
      <c r="E69" s="207" t="s">
        <v>52</v>
      </c>
      <c r="F69" s="208">
        <v>13</v>
      </c>
      <c r="G69" s="208">
        <v>38839</v>
      </c>
      <c r="H69" s="207">
        <v>38859</v>
      </c>
      <c r="I69" s="209" t="s">
        <v>53</v>
      </c>
      <c r="J69" s="204">
        <v>1500</v>
      </c>
      <c r="K69" s="210">
        <v>300</v>
      </c>
      <c r="L69" s="120">
        <v>1800</v>
      </c>
      <c r="M69" s="204">
        <v>1500</v>
      </c>
      <c r="N69" s="204"/>
      <c r="O69" s="156">
        <f t="shared" si="23"/>
        <v>1500</v>
      </c>
      <c r="P69" s="204">
        <f t="shared" si="24"/>
        <v>975</v>
      </c>
      <c r="Q69" s="204"/>
      <c r="R69" s="156">
        <f t="shared" si="25"/>
        <v>975</v>
      </c>
      <c r="S69" s="270" t="s">
        <v>192</v>
      </c>
      <c r="T69" s="271"/>
    </row>
    <row r="70" spans="1:20" s="115" customFormat="1" ht="33.75">
      <c r="A70" s="112" t="s">
        <v>57</v>
      </c>
      <c r="B70" s="112"/>
      <c r="C70" s="15" t="s">
        <v>50</v>
      </c>
      <c r="D70" s="205" t="s">
        <v>155</v>
      </c>
      <c r="E70" s="207" t="s">
        <v>52</v>
      </c>
      <c r="F70" s="208">
        <v>20</v>
      </c>
      <c r="G70" s="208">
        <v>38930</v>
      </c>
      <c r="H70" s="207">
        <v>38933</v>
      </c>
      <c r="I70" s="209" t="s">
        <v>53</v>
      </c>
      <c r="J70" s="204">
        <v>1500</v>
      </c>
      <c r="K70" s="210">
        <v>300</v>
      </c>
      <c r="L70" s="120">
        <v>1800</v>
      </c>
      <c r="M70" s="204">
        <v>1500</v>
      </c>
      <c r="N70" s="204"/>
      <c r="O70" s="156">
        <f t="shared" si="23"/>
        <v>1500</v>
      </c>
      <c r="P70" s="204">
        <f t="shared" si="24"/>
        <v>975</v>
      </c>
      <c r="Q70" s="204"/>
      <c r="R70" s="156">
        <f t="shared" si="25"/>
        <v>975</v>
      </c>
      <c r="S70" s="270" t="s">
        <v>192</v>
      </c>
      <c r="T70" s="271"/>
    </row>
    <row r="71" spans="1:20" s="115" customFormat="1" ht="25.5" customHeight="1">
      <c r="A71" s="112" t="s">
        <v>57</v>
      </c>
      <c r="B71" s="112"/>
      <c r="C71" s="15" t="s">
        <v>63</v>
      </c>
      <c r="D71" s="205" t="s">
        <v>160</v>
      </c>
      <c r="E71" s="207" t="s">
        <v>161</v>
      </c>
      <c r="F71" s="208">
        <v>36</v>
      </c>
      <c r="G71" s="208">
        <v>39041</v>
      </c>
      <c r="H71" s="207">
        <v>38679</v>
      </c>
      <c r="I71" s="209" t="s">
        <v>162</v>
      </c>
      <c r="J71" s="204">
        <v>48180</v>
      </c>
      <c r="K71" s="210">
        <v>9636</v>
      </c>
      <c r="L71" s="120">
        <v>57816</v>
      </c>
      <c r="M71" s="204">
        <v>48180</v>
      </c>
      <c r="N71" s="204"/>
      <c r="O71" s="156">
        <f t="shared" si="23"/>
        <v>48180</v>
      </c>
      <c r="P71" s="204">
        <f t="shared" si="24"/>
        <v>31317</v>
      </c>
      <c r="Q71" s="204"/>
      <c r="R71" s="156">
        <f t="shared" si="25"/>
        <v>31317</v>
      </c>
      <c r="S71" s="270" t="s">
        <v>192</v>
      </c>
      <c r="T71" s="271"/>
    </row>
    <row r="72" spans="1:20" s="115" customFormat="1" ht="22.5">
      <c r="A72" s="112" t="s">
        <v>57</v>
      </c>
      <c r="B72" s="112"/>
      <c r="C72" s="15" t="s">
        <v>63</v>
      </c>
      <c r="D72" s="205" t="s">
        <v>160</v>
      </c>
      <c r="E72" s="207" t="s">
        <v>161</v>
      </c>
      <c r="F72" s="208">
        <v>37</v>
      </c>
      <c r="G72" s="208">
        <v>38676</v>
      </c>
      <c r="H72" s="207">
        <v>38680</v>
      </c>
      <c r="I72" s="209" t="s">
        <v>162</v>
      </c>
      <c r="J72" s="204">
        <v>7475.22</v>
      </c>
      <c r="K72" s="210">
        <v>1495.044</v>
      </c>
      <c r="L72" s="120">
        <v>8970.264000000001</v>
      </c>
      <c r="M72" s="204">
        <v>7475.22</v>
      </c>
      <c r="N72" s="204"/>
      <c r="O72" s="156">
        <f t="shared" si="23"/>
        <v>7475.22</v>
      </c>
      <c r="P72" s="204">
        <f t="shared" si="24"/>
        <v>4858.893</v>
      </c>
      <c r="Q72" s="204"/>
      <c r="R72" s="156">
        <f t="shared" si="25"/>
        <v>4858.893</v>
      </c>
      <c r="S72" s="270" t="s">
        <v>192</v>
      </c>
      <c r="T72" s="271"/>
    </row>
    <row r="73" spans="1:20" s="115" customFormat="1" ht="22.5">
      <c r="A73" s="112" t="s">
        <v>57</v>
      </c>
      <c r="B73" s="112"/>
      <c r="C73" s="15" t="s">
        <v>63</v>
      </c>
      <c r="D73" s="205" t="s">
        <v>160</v>
      </c>
      <c r="E73" s="207" t="s">
        <v>161</v>
      </c>
      <c r="F73" s="208">
        <v>11</v>
      </c>
      <c r="G73" s="208">
        <v>38796</v>
      </c>
      <c r="H73" s="207">
        <v>38799</v>
      </c>
      <c r="I73" s="209" t="s">
        <v>162</v>
      </c>
      <c r="J73" s="204">
        <v>64661.59</v>
      </c>
      <c r="K73" s="210">
        <v>12932.318</v>
      </c>
      <c r="L73" s="120">
        <v>77593.908</v>
      </c>
      <c r="M73" s="204">
        <v>64661.59</v>
      </c>
      <c r="N73" s="204"/>
      <c r="O73" s="156">
        <f t="shared" si="23"/>
        <v>64661.59</v>
      </c>
      <c r="P73" s="204">
        <f t="shared" si="24"/>
        <v>42030.0335</v>
      </c>
      <c r="Q73" s="204"/>
      <c r="R73" s="156">
        <f t="shared" si="25"/>
        <v>42030.0335</v>
      </c>
      <c r="S73" s="270" t="s">
        <v>192</v>
      </c>
      <c r="T73" s="271"/>
    </row>
    <row r="74" spans="1:20" s="115" customFormat="1" ht="22.5">
      <c r="A74" s="112" t="s">
        <v>57</v>
      </c>
      <c r="B74" s="112"/>
      <c r="C74" s="15" t="s">
        <v>63</v>
      </c>
      <c r="D74" s="205" t="s">
        <v>160</v>
      </c>
      <c r="E74" s="207" t="s">
        <v>161</v>
      </c>
      <c r="F74" s="208">
        <v>51</v>
      </c>
      <c r="G74" s="208">
        <v>38932</v>
      </c>
      <c r="H74" s="207">
        <v>38933</v>
      </c>
      <c r="I74" s="209" t="s">
        <v>162</v>
      </c>
      <c r="J74" s="204">
        <v>20833.33</v>
      </c>
      <c r="K74" s="210">
        <v>4166.666</v>
      </c>
      <c r="L74" s="120">
        <v>24999.996000000003</v>
      </c>
      <c r="M74" s="204">
        <v>20833.33</v>
      </c>
      <c r="N74" s="204"/>
      <c r="O74" s="156">
        <f t="shared" si="23"/>
        <v>20833.33</v>
      </c>
      <c r="P74" s="204">
        <f t="shared" si="24"/>
        <v>13541.6645</v>
      </c>
      <c r="Q74" s="204"/>
      <c r="R74" s="156">
        <f t="shared" si="25"/>
        <v>13541.6645</v>
      </c>
      <c r="S74" s="270" t="s">
        <v>192</v>
      </c>
      <c r="T74" s="271"/>
    </row>
    <row r="75" spans="1:20" s="115" customFormat="1" ht="33.75">
      <c r="A75" s="112" t="s">
        <v>57</v>
      </c>
      <c r="B75" s="112"/>
      <c r="C75" s="15" t="s">
        <v>63</v>
      </c>
      <c r="D75" s="205" t="s">
        <v>163</v>
      </c>
      <c r="E75" s="207" t="s">
        <v>72</v>
      </c>
      <c r="F75" s="208" t="s">
        <v>164</v>
      </c>
      <c r="G75" s="208">
        <v>38674</v>
      </c>
      <c r="H75" s="207">
        <v>38783</v>
      </c>
      <c r="I75" s="209" t="s">
        <v>162</v>
      </c>
      <c r="J75" s="204">
        <v>2275</v>
      </c>
      <c r="K75" s="210">
        <v>455</v>
      </c>
      <c r="L75" s="120">
        <v>2730</v>
      </c>
      <c r="M75" s="204">
        <v>2275</v>
      </c>
      <c r="N75" s="204"/>
      <c r="O75" s="156">
        <f t="shared" si="23"/>
        <v>2275</v>
      </c>
      <c r="P75" s="204">
        <f t="shared" si="24"/>
        <v>1478.75</v>
      </c>
      <c r="Q75" s="204"/>
      <c r="R75" s="156">
        <f t="shared" si="25"/>
        <v>1478.75</v>
      </c>
      <c r="S75" s="270" t="s">
        <v>192</v>
      </c>
      <c r="T75" s="271"/>
    </row>
    <row r="76" spans="1:20" s="115" customFormat="1" ht="33.75">
      <c r="A76" s="112" t="s">
        <v>57</v>
      </c>
      <c r="B76" s="112"/>
      <c r="C76" s="15" t="s">
        <v>63</v>
      </c>
      <c r="D76" s="205" t="s">
        <v>163</v>
      </c>
      <c r="E76" s="207" t="s">
        <v>72</v>
      </c>
      <c r="F76" s="208" t="s">
        <v>165</v>
      </c>
      <c r="G76" s="208">
        <v>38674</v>
      </c>
      <c r="H76" s="207">
        <v>38783</v>
      </c>
      <c r="I76" s="209" t="s">
        <v>162</v>
      </c>
      <c r="J76" s="204">
        <v>2502.5</v>
      </c>
      <c r="K76" s="210">
        <v>500.5</v>
      </c>
      <c r="L76" s="120">
        <v>3003</v>
      </c>
      <c r="M76" s="204">
        <v>2502.5</v>
      </c>
      <c r="N76" s="204"/>
      <c r="O76" s="156">
        <f t="shared" si="23"/>
        <v>2502.5</v>
      </c>
      <c r="P76" s="204">
        <f t="shared" si="24"/>
        <v>1626.625</v>
      </c>
      <c r="Q76" s="204"/>
      <c r="R76" s="156">
        <f t="shared" si="25"/>
        <v>1626.625</v>
      </c>
      <c r="S76" s="270" t="s">
        <v>192</v>
      </c>
      <c r="T76" s="271"/>
    </row>
    <row r="77" spans="1:20" s="115" customFormat="1" ht="22.5">
      <c r="A77" s="112" t="s">
        <v>57</v>
      </c>
      <c r="B77" s="112"/>
      <c r="C77" s="15" t="s">
        <v>63</v>
      </c>
      <c r="D77" s="205" t="s">
        <v>166</v>
      </c>
      <c r="E77" s="207" t="s">
        <v>72</v>
      </c>
      <c r="F77" s="208" t="s">
        <v>167</v>
      </c>
      <c r="G77" s="208">
        <v>38674</v>
      </c>
      <c r="H77" s="207">
        <v>38783</v>
      </c>
      <c r="I77" s="209" t="s">
        <v>162</v>
      </c>
      <c r="J77" s="204">
        <v>9971</v>
      </c>
      <c r="K77" s="210">
        <v>1994.2</v>
      </c>
      <c r="L77" s="120">
        <v>11965.2</v>
      </c>
      <c r="M77" s="204">
        <v>9971</v>
      </c>
      <c r="N77" s="204"/>
      <c r="O77" s="156">
        <f t="shared" si="23"/>
        <v>9971</v>
      </c>
      <c r="P77" s="204">
        <f t="shared" si="24"/>
        <v>6481.150000000001</v>
      </c>
      <c r="Q77" s="204"/>
      <c r="R77" s="156">
        <f t="shared" si="25"/>
        <v>6481.150000000001</v>
      </c>
      <c r="S77" s="270" t="s">
        <v>192</v>
      </c>
      <c r="T77" s="271"/>
    </row>
    <row r="78" spans="1:20" s="115" customFormat="1" ht="22.5">
      <c r="A78" s="112" t="s">
        <v>57</v>
      </c>
      <c r="B78" s="112"/>
      <c r="C78" s="15" t="s">
        <v>63</v>
      </c>
      <c r="D78" s="205" t="s">
        <v>168</v>
      </c>
      <c r="E78" s="207" t="s">
        <v>72</v>
      </c>
      <c r="F78" s="208" t="s">
        <v>169</v>
      </c>
      <c r="G78" s="208">
        <v>38674</v>
      </c>
      <c r="H78" s="207">
        <v>38783</v>
      </c>
      <c r="I78" s="209" t="s">
        <v>162</v>
      </c>
      <c r="J78" s="204">
        <v>14755</v>
      </c>
      <c r="K78" s="210">
        <v>2951</v>
      </c>
      <c r="L78" s="120">
        <v>17706</v>
      </c>
      <c r="M78" s="204">
        <v>14755</v>
      </c>
      <c r="N78" s="204"/>
      <c r="O78" s="156">
        <f t="shared" si="23"/>
        <v>14755</v>
      </c>
      <c r="P78" s="204">
        <f t="shared" si="24"/>
        <v>9590.75</v>
      </c>
      <c r="Q78" s="204"/>
      <c r="R78" s="156">
        <f t="shared" si="25"/>
        <v>9590.75</v>
      </c>
      <c r="S78" s="270" t="s">
        <v>192</v>
      </c>
      <c r="T78" s="271"/>
    </row>
    <row r="79" spans="1:20" s="115" customFormat="1" ht="22.5">
      <c r="A79" s="112" t="s">
        <v>57</v>
      </c>
      <c r="B79" s="112"/>
      <c r="C79" s="15" t="s">
        <v>63</v>
      </c>
      <c r="D79" s="205" t="s">
        <v>170</v>
      </c>
      <c r="E79" s="207" t="s">
        <v>72</v>
      </c>
      <c r="F79" s="208" t="s">
        <v>171</v>
      </c>
      <c r="G79" s="208">
        <v>38674</v>
      </c>
      <c r="H79" s="207">
        <v>38783</v>
      </c>
      <c r="I79" s="209" t="s">
        <v>162</v>
      </c>
      <c r="J79" s="204">
        <v>6337.5</v>
      </c>
      <c r="K79" s="210">
        <v>1267.5</v>
      </c>
      <c r="L79" s="120">
        <v>7605</v>
      </c>
      <c r="M79" s="204">
        <v>6337.5</v>
      </c>
      <c r="N79" s="204"/>
      <c r="O79" s="156">
        <f t="shared" si="23"/>
        <v>6337.5</v>
      </c>
      <c r="P79" s="204">
        <f t="shared" si="24"/>
        <v>4119.375</v>
      </c>
      <c r="Q79" s="204"/>
      <c r="R79" s="156">
        <f t="shared" si="25"/>
        <v>4119.375</v>
      </c>
      <c r="S79" s="270" t="s">
        <v>192</v>
      </c>
      <c r="T79" s="271"/>
    </row>
    <row r="80" spans="1:20" s="115" customFormat="1" ht="22.5">
      <c r="A80" s="112" t="s">
        <v>57</v>
      </c>
      <c r="B80" s="112"/>
      <c r="C80" s="15" t="s">
        <v>63</v>
      </c>
      <c r="D80" s="205" t="s">
        <v>172</v>
      </c>
      <c r="E80" s="207" t="s">
        <v>72</v>
      </c>
      <c r="F80" s="208" t="s">
        <v>173</v>
      </c>
      <c r="G80" s="208">
        <v>38674</v>
      </c>
      <c r="H80" s="207">
        <v>38783</v>
      </c>
      <c r="I80" s="209" t="s">
        <v>162</v>
      </c>
      <c r="J80" s="204">
        <v>5616</v>
      </c>
      <c r="K80" s="210">
        <v>1123.2</v>
      </c>
      <c r="L80" s="120">
        <v>6739.2</v>
      </c>
      <c r="M80" s="204">
        <v>5616</v>
      </c>
      <c r="N80" s="204"/>
      <c r="O80" s="156">
        <f t="shared" si="23"/>
        <v>5616</v>
      </c>
      <c r="P80" s="204">
        <f t="shared" si="24"/>
        <v>3650.4</v>
      </c>
      <c r="Q80" s="204"/>
      <c r="R80" s="156">
        <f t="shared" si="25"/>
        <v>3650.4</v>
      </c>
      <c r="S80" s="270" t="s">
        <v>192</v>
      </c>
      <c r="T80" s="271"/>
    </row>
    <row r="81" spans="1:20" s="115" customFormat="1" ht="22.5">
      <c r="A81" s="112" t="s">
        <v>57</v>
      </c>
      <c r="B81" s="112"/>
      <c r="C81" s="15" t="s">
        <v>63</v>
      </c>
      <c r="D81" s="205" t="s">
        <v>172</v>
      </c>
      <c r="E81" s="207" t="s">
        <v>72</v>
      </c>
      <c r="F81" s="208" t="s">
        <v>174</v>
      </c>
      <c r="G81" s="208">
        <v>38674</v>
      </c>
      <c r="H81" s="207">
        <v>38783</v>
      </c>
      <c r="I81" s="209" t="s">
        <v>162</v>
      </c>
      <c r="J81" s="204">
        <v>1592.5</v>
      </c>
      <c r="K81" s="210">
        <v>318.5</v>
      </c>
      <c r="L81" s="120">
        <v>1911</v>
      </c>
      <c r="M81" s="204">
        <v>1592.5</v>
      </c>
      <c r="N81" s="204"/>
      <c r="O81" s="156">
        <f t="shared" si="23"/>
        <v>1592.5</v>
      </c>
      <c r="P81" s="204">
        <f t="shared" si="24"/>
        <v>1035.125</v>
      </c>
      <c r="Q81" s="204"/>
      <c r="R81" s="156">
        <f t="shared" si="25"/>
        <v>1035.125</v>
      </c>
      <c r="S81" s="270" t="s">
        <v>192</v>
      </c>
      <c r="T81" s="271"/>
    </row>
    <row r="82" spans="1:20" ht="10.5" customHeight="1">
      <c r="A82" s="58"/>
      <c r="B82" s="8"/>
      <c r="C82" s="9"/>
      <c r="D82" s="15"/>
      <c r="E82" s="9"/>
      <c r="F82" s="15"/>
      <c r="G82" s="10"/>
      <c r="H82" s="16"/>
      <c r="I82" s="16"/>
      <c r="J82" s="12"/>
      <c r="K82" s="12">
        <f>+J82*0.2</f>
        <v>0</v>
      </c>
      <c r="L82" s="105">
        <f>SUM(J82:K82)</f>
        <v>0</v>
      </c>
      <c r="M82" s="32">
        <v>0</v>
      </c>
      <c r="N82" s="32"/>
      <c r="O82" s="105"/>
      <c r="P82" s="12">
        <f>M82*0.65</f>
        <v>0</v>
      </c>
      <c r="Q82" s="12"/>
      <c r="R82" s="105"/>
      <c r="S82" s="242"/>
      <c r="T82" s="242"/>
    </row>
    <row r="84" spans="1:20" ht="11.25">
      <c r="A84" s="248" t="s">
        <v>1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50"/>
      <c r="M84" s="109" t="s">
        <v>44</v>
      </c>
      <c r="N84" s="29" t="s">
        <v>45</v>
      </c>
      <c r="O84" s="130" t="s">
        <v>46</v>
      </c>
      <c r="P84" s="29" t="s">
        <v>47</v>
      </c>
      <c r="Q84" s="29" t="s">
        <v>48</v>
      </c>
      <c r="R84" s="130" t="s">
        <v>43</v>
      </c>
      <c r="S84" s="33" t="s">
        <v>25</v>
      </c>
      <c r="T84" s="34" t="s">
        <v>26</v>
      </c>
    </row>
    <row r="85" spans="1:21" ht="11.25">
      <c r="A85" s="217"/>
      <c r="B85" s="218"/>
      <c r="C85" s="159"/>
      <c r="D85" s="160"/>
      <c r="E85" s="160"/>
      <c r="F85" s="160"/>
      <c r="G85" s="160"/>
      <c r="H85" s="160"/>
      <c r="I85" s="160"/>
      <c r="J85" s="160"/>
      <c r="K85" s="161"/>
      <c r="L85" s="117" t="s">
        <v>12</v>
      </c>
      <c r="M85" s="113">
        <v>0</v>
      </c>
      <c r="N85" s="3">
        <f>M85*0.2</f>
        <v>0</v>
      </c>
      <c r="O85" s="131">
        <f>SUM(M85:N85)</f>
        <v>0</v>
      </c>
      <c r="P85" s="3">
        <f>M85*0.65</f>
        <v>0</v>
      </c>
      <c r="Q85" s="3">
        <f>P85*0.2</f>
        <v>0</v>
      </c>
      <c r="R85" s="131">
        <f>SUM(P85:Q85)</f>
        <v>0</v>
      </c>
      <c r="S85" s="50"/>
      <c r="T85" s="50"/>
      <c r="U85" s="30"/>
    </row>
    <row r="86" spans="1:21" ht="11.25">
      <c r="A86" s="217"/>
      <c r="B86" s="218"/>
      <c r="C86" s="45"/>
      <c r="D86" s="44"/>
      <c r="E86" s="44"/>
      <c r="F86" s="44"/>
      <c r="G86" s="44"/>
      <c r="H86" s="44"/>
      <c r="I86" s="44"/>
      <c r="J86" s="44"/>
      <c r="K86" s="13"/>
      <c r="L86" s="118" t="s">
        <v>28</v>
      </c>
      <c r="M86" s="110"/>
      <c r="N86" s="4">
        <f>SUM(N93:N94)</f>
        <v>0</v>
      </c>
      <c r="O86" s="102"/>
      <c r="P86" s="4"/>
      <c r="Q86" s="4">
        <f>SUM(Q93:Q94)</f>
        <v>0</v>
      </c>
      <c r="R86" s="102"/>
      <c r="S86" s="5">
        <f>R86*0.375</f>
        <v>0</v>
      </c>
      <c r="T86" s="5">
        <f>R86-S86</f>
        <v>0</v>
      </c>
      <c r="U86" s="30"/>
    </row>
    <row r="87" spans="1:21" ht="11.25">
      <c r="A87" s="217"/>
      <c r="B87" s="218"/>
      <c r="C87" s="45"/>
      <c r="D87" s="44"/>
      <c r="E87" s="44"/>
      <c r="F87" s="44"/>
      <c r="G87" s="44"/>
      <c r="H87" s="44"/>
      <c r="I87" s="44"/>
      <c r="J87" s="44"/>
      <c r="K87" s="46"/>
      <c r="L87" s="122" t="s">
        <v>29</v>
      </c>
      <c r="M87" s="110">
        <v>0</v>
      </c>
      <c r="N87" s="4"/>
      <c r="O87" s="102"/>
      <c r="P87" s="4">
        <v>0</v>
      </c>
      <c r="Q87" s="79"/>
      <c r="R87" s="132"/>
      <c r="S87" s="51">
        <f>P87*0.375</f>
        <v>0</v>
      </c>
      <c r="T87" s="5">
        <f>P87-S87</f>
        <v>0</v>
      </c>
      <c r="U87" s="30"/>
    </row>
    <row r="88" spans="1:21" ht="11.25">
      <c r="A88" s="217"/>
      <c r="B88" s="218"/>
      <c r="C88" s="45"/>
      <c r="D88" s="44"/>
      <c r="E88" s="44"/>
      <c r="F88" s="44"/>
      <c r="G88" s="44"/>
      <c r="H88" s="44"/>
      <c r="I88" s="44"/>
      <c r="J88" s="44"/>
      <c r="K88" s="46"/>
      <c r="L88" s="122"/>
      <c r="M88" s="110"/>
      <c r="N88" s="4"/>
      <c r="O88" s="102"/>
      <c r="P88" s="4"/>
      <c r="Q88" s="98"/>
      <c r="R88" s="133"/>
      <c r="S88" s="97"/>
      <c r="T88" s="97"/>
      <c r="U88" s="30"/>
    </row>
    <row r="89" spans="1:21" ht="11.25">
      <c r="A89" s="217"/>
      <c r="B89" s="218"/>
      <c r="C89" s="45"/>
      <c r="D89" s="44"/>
      <c r="E89" s="44"/>
      <c r="F89" s="44"/>
      <c r="G89" s="44"/>
      <c r="H89" s="44"/>
      <c r="I89" s="44"/>
      <c r="J89" s="44"/>
      <c r="K89" s="46"/>
      <c r="L89" s="122"/>
      <c r="M89" s="110"/>
      <c r="N89" s="4"/>
      <c r="O89" s="102"/>
      <c r="P89" s="4"/>
      <c r="Q89" s="98"/>
      <c r="R89" s="133"/>
      <c r="S89" s="97"/>
      <c r="T89" s="97"/>
      <c r="U89" s="30"/>
    </row>
    <row r="90" spans="1:21" ht="11.25">
      <c r="A90" s="217"/>
      <c r="B90" s="218"/>
      <c r="C90" s="45"/>
      <c r="D90" s="44"/>
      <c r="E90" s="44"/>
      <c r="F90" s="44"/>
      <c r="G90" s="44"/>
      <c r="H90" s="44"/>
      <c r="I90" s="44"/>
      <c r="J90" s="44"/>
      <c r="K90" s="46"/>
      <c r="L90" s="122"/>
      <c r="M90" s="110"/>
      <c r="N90" s="4"/>
      <c r="O90" s="102"/>
      <c r="P90" s="4"/>
      <c r="Q90" s="98"/>
      <c r="R90" s="133"/>
      <c r="S90" s="97"/>
      <c r="T90" s="97"/>
      <c r="U90" s="30"/>
    </row>
    <row r="91" spans="1:21" ht="11.25">
      <c r="A91" s="219"/>
      <c r="B91" s="158"/>
      <c r="C91" s="162"/>
      <c r="D91" s="163"/>
      <c r="E91" s="163"/>
      <c r="F91" s="163"/>
      <c r="G91" s="163"/>
      <c r="H91" s="163"/>
      <c r="I91" s="163"/>
      <c r="J91" s="163"/>
      <c r="K91" s="164"/>
      <c r="L91" s="119" t="s">
        <v>13</v>
      </c>
      <c r="M91" s="111">
        <f>M85-M86-M87</f>
        <v>0</v>
      </c>
      <c r="N91" s="6"/>
      <c r="O91" s="103"/>
      <c r="P91" s="14">
        <f>P85-P86</f>
        <v>0</v>
      </c>
      <c r="Q91" s="52"/>
      <c r="R91" s="134"/>
      <c r="S91" s="52"/>
      <c r="T91" s="1"/>
      <c r="U91" s="30"/>
    </row>
    <row r="92" spans="1:20" ht="34.5" customHeight="1">
      <c r="A92" s="7" t="s">
        <v>14</v>
      </c>
      <c r="B92" s="7" t="s">
        <v>11</v>
      </c>
      <c r="C92" s="35" t="s">
        <v>24</v>
      </c>
      <c r="D92" s="35" t="s">
        <v>20</v>
      </c>
      <c r="E92" s="42" t="s">
        <v>2</v>
      </c>
      <c r="F92" s="35" t="s">
        <v>19</v>
      </c>
      <c r="G92" s="35" t="s">
        <v>18</v>
      </c>
      <c r="H92" s="42" t="s">
        <v>17</v>
      </c>
      <c r="I92" s="42" t="s">
        <v>16</v>
      </c>
      <c r="J92" s="35" t="s">
        <v>3</v>
      </c>
      <c r="K92" s="35" t="s">
        <v>4</v>
      </c>
      <c r="L92" s="104" t="s">
        <v>5</v>
      </c>
      <c r="M92" s="112" t="s">
        <v>21</v>
      </c>
      <c r="N92" s="7" t="s">
        <v>40</v>
      </c>
      <c r="O92" s="104" t="s">
        <v>41</v>
      </c>
      <c r="P92" s="7" t="s">
        <v>22</v>
      </c>
      <c r="Q92" s="7" t="s">
        <v>42</v>
      </c>
      <c r="R92" s="104" t="s">
        <v>43</v>
      </c>
      <c r="S92" s="241" t="s">
        <v>27</v>
      </c>
      <c r="T92" s="241"/>
    </row>
    <row r="94" spans="1:20" ht="11.25">
      <c r="A94" s="59"/>
      <c r="B94" s="8"/>
      <c r="C94" s="9"/>
      <c r="D94" s="9"/>
      <c r="E94" s="9"/>
      <c r="F94" s="9"/>
      <c r="G94" s="10"/>
      <c r="H94" s="11"/>
      <c r="I94" s="11"/>
      <c r="J94" s="12"/>
      <c r="K94" s="12"/>
      <c r="L94" s="105"/>
      <c r="M94" s="32"/>
      <c r="N94" s="12"/>
      <c r="O94" s="105"/>
      <c r="P94" s="12"/>
      <c r="Q94" s="12"/>
      <c r="R94" s="105"/>
      <c r="S94" s="240"/>
      <c r="T94" s="240"/>
    </row>
    <row r="96" spans="1:20" ht="11.25">
      <c r="A96" s="248" t="s">
        <v>8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50"/>
      <c r="M96" s="109" t="s">
        <v>44</v>
      </c>
      <c r="N96" s="29" t="s">
        <v>45</v>
      </c>
      <c r="O96" s="130" t="s">
        <v>46</v>
      </c>
      <c r="P96" s="29" t="s">
        <v>47</v>
      </c>
      <c r="Q96" s="29" t="s">
        <v>48</v>
      </c>
      <c r="R96" s="130" t="s">
        <v>43</v>
      </c>
      <c r="S96" s="33" t="s">
        <v>25</v>
      </c>
      <c r="T96" s="34" t="s">
        <v>26</v>
      </c>
    </row>
    <row r="97" spans="1:21" ht="11.25">
      <c r="A97" s="217"/>
      <c r="B97" s="218"/>
      <c r="C97" s="159"/>
      <c r="D97" s="160"/>
      <c r="E97" s="160"/>
      <c r="F97" s="160"/>
      <c r="G97" s="160"/>
      <c r="H97" s="160"/>
      <c r="I97" s="160"/>
      <c r="J97" s="160"/>
      <c r="K97" s="161"/>
      <c r="L97" s="126" t="s">
        <v>12</v>
      </c>
      <c r="M97" s="113">
        <f>160*1000</f>
        <v>160000</v>
      </c>
      <c r="N97" s="3">
        <f>M97*0.2</f>
        <v>32000</v>
      </c>
      <c r="O97" s="131">
        <f>SUM(M97:N97)</f>
        <v>192000</v>
      </c>
      <c r="P97" s="3">
        <f>M97*0.65</f>
        <v>104000</v>
      </c>
      <c r="Q97" s="3">
        <f>P97*0.2</f>
        <v>20800</v>
      </c>
      <c r="R97" s="131">
        <f>SUM(P97:Q97)</f>
        <v>124800</v>
      </c>
      <c r="S97" s="50"/>
      <c r="T97" s="50"/>
      <c r="U97" s="30"/>
    </row>
    <row r="98" spans="1:21" ht="11.25">
      <c r="A98" s="217"/>
      <c r="B98" s="218"/>
      <c r="C98" s="45"/>
      <c r="D98" s="44"/>
      <c r="E98" s="44"/>
      <c r="F98" s="44"/>
      <c r="G98" s="44"/>
      <c r="H98" s="44"/>
      <c r="I98" s="44"/>
      <c r="J98" s="44"/>
      <c r="K98" s="4"/>
      <c r="L98" s="118" t="s">
        <v>28</v>
      </c>
      <c r="M98" s="110"/>
      <c r="N98" s="4">
        <f>SUM(N105:N108)</f>
        <v>0</v>
      </c>
      <c r="O98" s="102"/>
      <c r="P98" s="4"/>
      <c r="Q98" s="4">
        <f>SUM(Q105:Q108)</f>
        <v>0</v>
      </c>
      <c r="R98" s="102"/>
      <c r="S98" s="5">
        <f>R98*0.375</f>
        <v>0</v>
      </c>
      <c r="T98" s="5">
        <f>R98-S98</f>
        <v>0</v>
      </c>
      <c r="U98" s="30"/>
    </row>
    <row r="99" spans="1:21" ht="11.25">
      <c r="A99" s="217"/>
      <c r="B99" s="218"/>
      <c r="C99" s="45"/>
      <c r="D99" s="44"/>
      <c r="E99" s="44"/>
      <c r="F99" s="44"/>
      <c r="G99" s="44"/>
      <c r="H99" s="44"/>
      <c r="I99" s="44"/>
      <c r="J99" s="44"/>
      <c r="K99" s="46"/>
      <c r="L99" s="122" t="s">
        <v>29</v>
      </c>
      <c r="M99" s="110">
        <f>SUM(M105:M106)</f>
        <v>124214.34</v>
      </c>
      <c r="N99" s="110">
        <f>SUM(N105:N106)</f>
        <v>0</v>
      </c>
      <c r="O99" s="102">
        <f>+N99+M99</f>
        <v>124214.34</v>
      </c>
      <c r="P99" s="110">
        <f>SUM(P105:P106)</f>
        <v>80739.321</v>
      </c>
      <c r="Q99" s="110">
        <f>SUM(Q105:Q106)</f>
        <v>0</v>
      </c>
      <c r="R99" s="102">
        <f>+Q99+P99</f>
        <v>80739.321</v>
      </c>
      <c r="S99" s="51">
        <f>R99*0.375</f>
        <v>30277.245375</v>
      </c>
      <c r="T99" s="5">
        <f>R99-S99</f>
        <v>50462.075625</v>
      </c>
      <c r="U99" s="30"/>
    </row>
    <row r="100" spans="1:21" ht="11.25">
      <c r="A100" s="217"/>
      <c r="B100" s="218"/>
      <c r="C100" s="45"/>
      <c r="D100" s="44"/>
      <c r="E100" s="44"/>
      <c r="F100" s="44"/>
      <c r="G100" s="44"/>
      <c r="H100" s="44"/>
      <c r="I100" s="44"/>
      <c r="J100" s="44"/>
      <c r="K100" s="46"/>
      <c r="L100" s="122"/>
      <c r="M100" s="110"/>
      <c r="N100" s="4"/>
      <c r="O100" s="102"/>
      <c r="P100" s="4"/>
      <c r="Q100" s="79"/>
      <c r="R100" s="132"/>
      <c r="S100" s="97"/>
      <c r="T100" s="97"/>
      <c r="U100" s="30"/>
    </row>
    <row r="101" spans="1:21" ht="11.25">
      <c r="A101" s="217"/>
      <c r="B101" s="218"/>
      <c r="C101" s="45"/>
      <c r="D101" s="44"/>
      <c r="E101" s="44"/>
      <c r="F101" s="44"/>
      <c r="G101" s="44"/>
      <c r="H101" s="44"/>
      <c r="I101" s="44"/>
      <c r="J101" s="44"/>
      <c r="K101" s="46"/>
      <c r="L101" s="122"/>
      <c r="M101" s="110"/>
      <c r="N101" s="4"/>
      <c r="O101" s="102"/>
      <c r="P101" s="4"/>
      <c r="Q101" s="79"/>
      <c r="R101" s="132"/>
      <c r="S101" s="97"/>
      <c r="T101" s="97"/>
      <c r="U101" s="30"/>
    </row>
    <row r="102" spans="1:21" ht="11.25">
      <c r="A102" s="217"/>
      <c r="B102" s="218"/>
      <c r="C102" s="45"/>
      <c r="D102" s="44"/>
      <c r="E102" s="44"/>
      <c r="F102" s="44"/>
      <c r="G102" s="44"/>
      <c r="H102" s="44"/>
      <c r="I102" s="44"/>
      <c r="J102" s="44"/>
      <c r="K102" s="46"/>
      <c r="L102" s="122"/>
      <c r="M102" s="110"/>
      <c r="N102" s="4"/>
      <c r="O102" s="102"/>
      <c r="P102" s="4"/>
      <c r="Q102" s="79"/>
      <c r="R102" s="132"/>
      <c r="S102" s="97"/>
      <c r="T102" s="97"/>
      <c r="U102" s="30"/>
    </row>
    <row r="103" spans="1:21" ht="11.25">
      <c r="A103" s="219"/>
      <c r="B103" s="158"/>
      <c r="C103" s="162"/>
      <c r="D103" s="163"/>
      <c r="E103" s="163"/>
      <c r="F103" s="163"/>
      <c r="G103" s="163"/>
      <c r="H103" s="163"/>
      <c r="I103" s="163"/>
      <c r="J103" s="163"/>
      <c r="K103" s="164"/>
      <c r="L103" s="119" t="s">
        <v>13</v>
      </c>
      <c r="M103" s="111">
        <f aca="true" t="shared" si="26" ref="M103:R103">M97-M98-M99</f>
        <v>35785.66</v>
      </c>
      <c r="N103" s="6">
        <f t="shared" si="26"/>
        <v>32000</v>
      </c>
      <c r="O103" s="103">
        <f t="shared" si="26"/>
        <v>67785.66</v>
      </c>
      <c r="P103" s="6">
        <f t="shared" si="26"/>
        <v>23260.679000000004</v>
      </c>
      <c r="Q103" s="6">
        <f t="shared" si="26"/>
        <v>20800</v>
      </c>
      <c r="R103" s="103">
        <f t="shared" si="26"/>
        <v>44060.679000000004</v>
      </c>
      <c r="S103" s="1"/>
      <c r="T103" s="1"/>
      <c r="U103" s="30"/>
    </row>
    <row r="104" spans="1:20" ht="30.75" customHeight="1">
      <c r="A104" s="7" t="s">
        <v>14</v>
      </c>
      <c r="B104" s="7" t="s">
        <v>11</v>
      </c>
      <c r="C104" s="35" t="s">
        <v>24</v>
      </c>
      <c r="D104" s="35" t="s">
        <v>20</v>
      </c>
      <c r="E104" s="42" t="s">
        <v>2</v>
      </c>
      <c r="F104" s="35" t="s">
        <v>19</v>
      </c>
      <c r="G104" s="35" t="s">
        <v>18</v>
      </c>
      <c r="H104" s="42" t="s">
        <v>17</v>
      </c>
      <c r="I104" s="42" t="s">
        <v>16</v>
      </c>
      <c r="J104" s="35" t="s">
        <v>3</v>
      </c>
      <c r="K104" s="35" t="s">
        <v>4</v>
      </c>
      <c r="L104" s="104" t="s">
        <v>5</v>
      </c>
      <c r="M104" s="112" t="s">
        <v>21</v>
      </c>
      <c r="N104" s="7" t="s">
        <v>40</v>
      </c>
      <c r="O104" s="104" t="s">
        <v>41</v>
      </c>
      <c r="P104" s="7" t="s">
        <v>22</v>
      </c>
      <c r="Q104" s="7" t="s">
        <v>42</v>
      </c>
      <c r="R104" s="104" t="s">
        <v>43</v>
      </c>
      <c r="S104" s="241" t="s">
        <v>27</v>
      </c>
      <c r="T104" s="241"/>
    </row>
    <row r="105" spans="1:20" ht="22.5">
      <c r="A105" s="112" t="s">
        <v>57</v>
      </c>
      <c r="B105" s="112"/>
      <c r="C105" s="15" t="s">
        <v>63</v>
      </c>
      <c r="D105" s="17" t="s">
        <v>176</v>
      </c>
      <c r="E105" s="8" t="s">
        <v>69</v>
      </c>
      <c r="F105" s="8">
        <v>37</v>
      </c>
      <c r="G105" s="18">
        <v>38676</v>
      </c>
      <c r="H105" s="19">
        <v>39045</v>
      </c>
      <c r="I105" s="20" t="s">
        <v>53</v>
      </c>
      <c r="J105" s="12">
        <v>16600</v>
      </c>
      <c r="K105" s="12">
        <v>3320</v>
      </c>
      <c r="L105" s="127">
        <v>19920</v>
      </c>
      <c r="M105" s="32">
        <v>16600</v>
      </c>
      <c r="N105" s="12"/>
      <c r="O105" s="105">
        <f>SUM(M105:N105)</f>
        <v>16600</v>
      </c>
      <c r="P105" s="12">
        <f>M105*0.65</f>
        <v>10790</v>
      </c>
      <c r="Q105" s="12">
        <f>N105*0.65</f>
        <v>0</v>
      </c>
      <c r="R105" s="105">
        <f>SUM(P105:Q105)</f>
        <v>10790</v>
      </c>
      <c r="S105" s="240" t="s">
        <v>192</v>
      </c>
      <c r="T105" s="240"/>
    </row>
    <row r="106" spans="1:20" ht="67.5">
      <c r="A106" s="112" t="s">
        <v>57</v>
      </c>
      <c r="B106" s="112"/>
      <c r="C106" s="15" t="s">
        <v>63</v>
      </c>
      <c r="D106" s="15" t="s">
        <v>175</v>
      </c>
      <c r="E106" s="15" t="s">
        <v>72</v>
      </c>
      <c r="F106" s="9">
        <v>107</v>
      </c>
      <c r="G106" s="10">
        <v>38835</v>
      </c>
      <c r="H106" s="11">
        <v>38884</v>
      </c>
      <c r="I106" s="11" t="s">
        <v>162</v>
      </c>
      <c r="J106" s="12">
        <v>107614.34</v>
      </c>
      <c r="K106" s="12">
        <v>21522.87</v>
      </c>
      <c r="L106" s="105">
        <v>129137.21</v>
      </c>
      <c r="M106" s="32">
        <v>107614.34</v>
      </c>
      <c r="N106" s="12"/>
      <c r="O106" s="105">
        <f>SUM(M106:N106)</f>
        <v>107614.34</v>
      </c>
      <c r="P106" s="12">
        <f>M106*0.65</f>
        <v>69949.321</v>
      </c>
      <c r="Q106" s="12">
        <f>N106*0.65</f>
        <v>0</v>
      </c>
      <c r="R106" s="105">
        <f>SUM(P106:Q106)</f>
        <v>69949.321</v>
      </c>
      <c r="S106" s="240" t="s">
        <v>192</v>
      </c>
      <c r="T106" s="240"/>
    </row>
    <row r="107" spans="1:20" ht="11.25">
      <c r="A107" s="58"/>
      <c r="B107" s="8"/>
      <c r="C107" s="9"/>
      <c r="D107" s="17"/>
      <c r="E107" s="8"/>
      <c r="F107" s="8"/>
      <c r="G107" s="18"/>
      <c r="H107" s="19"/>
      <c r="I107" s="20"/>
      <c r="J107" s="12"/>
      <c r="K107" s="12"/>
      <c r="L107" s="127"/>
      <c r="M107" s="32"/>
      <c r="N107" s="12"/>
      <c r="O107" s="105"/>
      <c r="P107" s="12"/>
      <c r="Q107" s="12"/>
      <c r="R107" s="105"/>
      <c r="S107" s="17"/>
      <c r="T107" s="17"/>
    </row>
    <row r="108" spans="1:20" ht="11.25">
      <c r="A108" s="59"/>
      <c r="B108" s="8"/>
      <c r="C108" s="9"/>
      <c r="D108" s="9"/>
      <c r="E108" s="9"/>
      <c r="F108" s="9"/>
      <c r="G108" s="10"/>
      <c r="H108" s="11"/>
      <c r="I108" s="11"/>
      <c r="J108" s="12"/>
      <c r="K108" s="12"/>
      <c r="L108" s="105"/>
      <c r="M108" s="32"/>
      <c r="N108" s="12"/>
      <c r="O108" s="105"/>
      <c r="P108" s="12"/>
      <c r="Q108" s="12"/>
      <c r="R108" s="105"/>
      <c r="S108" s="240"/>
      <c r="T108" s="240"/>
    </row>
    <row r="110" spans="1:20" ht="11.25">
      <c r="A110" s="248" t="s">
        <v>23</v>
      </c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50"/>
      <c r="M110" s="109" t="s">
        <v>44</v>
      </c>
      <c r="N110" s="29" t="s">
        <v>45</v>
      </c>
      <c r="O110" s="130" t="s">
        <v>46</v>
      </c>
      <c r="P110" s="29" t="s">
        <v>47</v>
      </c>
      <c r="Q110" s="29" t="s">
        <v>48</v>
      </c>
      <c r="R110" s="130" t="s">
        <v>43</v>
      </c>
      <c r="S110" s="33" t="s">
        <v>25</v>
      </c>
      <c r="T110" s="34" t="s">
        <v>26</v>
      </c>
    </row>
    <row r="111" spans="1:21" ht="11.25">
      <c r="A111" s="217"/>
      <c r="B111" s="218"/>
      <c r="C111" s="168"/>
      <c r="D111" s="157"/>
      <c r="E111" s="157"/>
      <c r="F111" s="157"/>
      <c r="G111" s="157"/>
      <c r="H111" s="157"/>
      <c r="I111" s="157"/>
      <c r="J111" s="157"/>
      <c r="K111" s="251"/>
      <c r="L111" s="126" t="s">
        <v>12</v>
      </c>
      <c r="M111" s="113">
        <f>90*1000</f>
        <v>90000</v>
      </c>
      <c r="N111" s="3">
        <f>M111*0.2</f>
        <v>18000</v>
      </c>
      <c r="O111" s="131">
        <f>SUM(M111:N111)</f>
        <v>108000</v>
      </c>
      <c r="P111" s="3">
        <f>M111*0.65</f>
        <v>58500</v>
      </c>
      <c r="Q111" s="3">
        <f>P111*0.2</f>
        <v>11700</v>
      </c>
      <c r="R111" s="131">
        <f>SUM(P111:Q111)</f>
        <v>70200</v>
      </c>
      <c r="S111" s="5"/>
      <c r="T111" s="5"/>
      <c r="U111" s="30"/>
    </row>
    <row r="112" spans="1:21" ht="11.25">
      <c r="A112" s="217"/>
      <c r="B112" s="218"/>
      <c r="C112" s="45"/>
      <c r="D112" s="44"/>
      <c r="E112" s="44"/>
      <c r="F112" s="44"/>
      <c r="G112" s="44"/>
      <c r="H112" s="44"/>
      <c r="I112" s="44"/>
      <c r="J112" s="44"/>
      <c r="K112" s="4"/>
      <c r="L112" s="118" t="s">
        <v>28</v>
      </c>
      <c r="M112" s="110"/>
      <c r="N112" s="4">
        <f>SUM(N119:N121)</f>
        <v>0</v>
      </c>
      <c r="O112" s="102"/>
      <c r="P112" s="4"/>
      <c r="Q112" s="4">
        <f>SUM(Q119:Q121)</f>
        <v>0</v>
      </c>
      <c r="R112" s="102"/>
      <c r="S112" s="5">
        <f>R112*0.375</f>
        <v>0</v>
      </c>
      <c r="T112" s="5">
        <f>R112-S112</f>
        <v>0</v>
      </c>
      <c r="U112" s="30"/>
    </row>
    <row r="113" spans="1:21" ht="11.25">
      <c r="A113" s="217"/>
      <c r="B113" s="218"/>
      <c r="C113" s="45"/>
      <c r="D113" s="44"/>
      <c r="E113" s="44"/>
      <c r="F113" s="44"/>
      <c r="G113" s="44"/>
      <c r="H113" s="44"/>
      <c r="I113" s="44"/>
      <c r="J113" s="44"/>
      <c r="K113" s="46"/>
      <c r="L113" s="118" t="s">
        <v>29</v>
      </c>
      <c r="M113" s="110">
        <f>+M119</f>
        <v>30650</v>
      </c>
      <c r="N113" s="110">
        <f>+N119</f>
        <v>0</v>
      </c>
      <c r="O113" s="102">
        <f>+N113+M113</f>
        <v>30650</v>
      </c>
      <c r="P113" s="110">
        <f>+P119</f>
        <v>19922.5</v>
      </c>
      <c r="Q113" s="110">
        <f>+Q119</f>
        <v>0</v>
      </c>
      <c r="R113" s="102">
        <f>+Q113+P113</f>
        <v>19922.5</v>
      </c>
      <c r="S113" s="51">
        <f>R113*0.375</f>
        <v>7470.9375</v>
      </c>
      <c r="T113" s="5">
        <f>R113-S113</f>
        <v>12451.5625</v>
      </c>
      <c r="U113" s="30"/>
    </row>
    <row r="114" spans="1:21" ht="11.25">
      <c r="A114" s="217"/>
      <c r="B114" s="218"/>
      <c r="C114" s="45"/>
      <c r="D114" s="44"/>
      <c r="E114" s="44"/>
      <c r="F114" s="44"/>
      <c r="G114" s="44"/>
      <c r="H114" s="44"/>
      <c r="I114" s="44"/>
      <c r="J114" s="44"/>
      <c r="K114" s="46"/>
      <c r="L114" s="118"/>
      <c r="M114" s="110"/>
      <c r="N114" s="4"/>
      <c r="O114" s="102"/>
      <c r="P114" s="4"/>
      <c r="Q114" s="79"/>
      <c r="R114" s="132"/>
      <c r="S114" s="97"/>
      <c r="T114" s="97"/>
      <c r="U114" s="30"/>
    </row>
    <row r="115" spans="1:21" ht="11.25">
      <c r="A115" s="217"/>
      <c r="B115" s="218"/>
      <c r="C115" s="45"/>
      <c r="D115" s="44"/>
      <c r="E115" s="44"/>
      <c r="F115" s="44"/>
      <c r="G115" s="44"/>
      <c r="H115" s="44"/>
      <c r="I115" s="44"/>
      <c r="J115" s="44"/>
      <c r="K115" s="46"/>
      <c r="L115" s="118"/>
      <c r="M115" s="110"/>
      <c r="N115" s="4"/>
      <c r="O115" s="102"/>
      <c r="P115" s="4"/>
      <c r="Q115" s="79"/>
      <c r="R115" s="132"/>
      <c r="S115" s="97"/>
      <c r="T115" s="97"/>
      <c r="U115" s="30"/>
    </row>
    <row r="116" spans="1:21" ht="11.25">
      <c r="A116" s="217"/>
      <c r="B116" s="218"/>
      <c r="C116" s="45"/>
      <c r="D116" s="44"/>
      <c r="E116" s="44"/>
      <c r="F116" s="44"/>
      <c r="G116" s="44"/>
      <c r="H116" s="44"/>
      <c r="I116" s="44"/>
      <c r="J116" s="44"/>
      <c r="K116" s="46"/>
      <c r="L116" s="118"/>
      <c r="M116" s="110"/>
      <c r="N116" s="4"/>
      <c r="O116" s="102"/>
      <c r="P116" s="4"/>
      <c r="Q116" s="79"/>
      <c r="R116" s="132"/>
      <c r="S116" s="97"/>
      <c r="T116" s="97"/>
      <c r="U116" s="30"/>
    </row>
    <row r="117" spans="1:21" ht="11.25">
      <c r="A117" s="219"/>
      <c r="B117" s="158"/>
      <c r="C117" s="47"/>
      <c r="D117" s="48"/>
      <c r="E117" s="48"/>
      <c r="F117" s="48"/>
      <c r="G117" s="48"/>
      <c r="H117" s="48"/>
      <c r="I117" s="48"/>
      <c r="J117" s="48"/>
      <c r="K117" s="49"/>
      <c r="L117" s="119" t="s">
        <v>13</v>
      </c>
      <c r="M117" s="111">
        <f aca="true" t="shared" si="27" ref="M117:R117">M111-M112-M113</f>
        <v>59350</v>
      </c>
      <c r="N117" s="6">
        <f t="shared" si="27"/>
        <v>18000</v>
      </c>
      <c r="O117" s="103">
        <f t="shared" si="27"/>
        <v>77350</v>
      </c>
      <c r="P117" s="6">
        <f t="shared" si="27"/>
        <v>38577.5</v>
      </c>
      <c r="Q117" s="6">
        <f t="shared" si="27"/>
        <v>11700</v>
      </c>
      <c r="R117" s="103">
        <f t="shared" si="27"/>
        <v>50277.5</v>
      </c>
      <c r="S117" s="1"/>
      <c r="T117" s="1"/>
      <c r="U117" s="30"/>
    </row>
    <row r="118" spans="1:20" ht="34.5" customHeight="1">
      <c r="A118" s="7" t="s">
        <v>14</v>
      </c>
      <c r="B118" s="7" t="s">
        <v>11</v>
      </c>
      <c r="C118" s="35" t="s">
        <v>24</v>
      </c>
      <c r="D118" s="35" t="s">
        <v>20</v>
      </c>
      <c r="E118" s="42" t="s">
        <v>2</v>
      </c>
      <c r="F118" s="35" t="s">
        <v>19</v>
      </c>
      <c r="G118" s="35" t="s">
        <v>18</v>
      </c>
      <c r="H118" s="42" t="s">
        <v>17</v>
      </c>
      <c r="I118" s="42" t="s">
        <v>16</v>
      </c>
      <c r="J118" s="35" t="s">
        <v>3</v>
      </c>
      <c r="K118" s="35" t="s">
        <v>4</v>
      </c>
      <c r="L118" s="104" t="s">
        <v>5</v>
      </c>
      <c r="M118" s="112" t="s">
        <v>21</v>
      </c>
      <c r="N118" s="7" t="s">
        <v>40</v>
      </c>
      <c r="O118" s="104" t="s">
        <v>41</v>
      </c>
      <c r="P118" s="7" t="s">
        <v>22</v>
      </c>
      <c r="Q118" s="7" t="s">
        <v>42</v>
      </c>
      <c r="R118" s="104" t="s">
        <v>43</v>
      </c>
      <c r="S118" s="241" t="s">
        <v>27</v>
      </c>
      <c r="T118" s="241"/>
    </row>
    <row r="119" spans="1:20" ht="22.5">
      <c r="A119" s="112" t="s">
        <v>57</v>
      </c>
      <c r="B119" s="112"/>
      <c r="C119" s="15" t="s">
        <v>63</v>
      </c>
      <c r="D119" s="22" t="s">
        <v>177</v>
      </c>
      <c r="E119" s="15" t="s">
        <v>69</v>
      </c>
      <c r="F119" s="23">
        <v>37</v>
      </c>
      <c r="G119" s="24">
        <v>38676</v>
      </c>
      <c r="H119" s="18">
        <v>39045</v>
      </c>
      <c r="I119" s="25" t="s">
        <v>162</v>
      </c>
      <c r="J119" s="26">
        <v>30650</v>
      </c>
      <c r="K119" s="27">
        <v>6130</v>
      </c>
      <c r="L119" s="128">
        <v>36780</v>
      </c>
      <c r="M119" s="32">
        <v>30650</v>
      </c>
      <c r="N119" s="12"/>
      <c r="O119" s="105">
        <f>SUM(M119:N119)</f>
        <v>30650</v>
      </c>
      <c r="P119" s="12">
        <f>M119*0.65</f>
        <v>19922.5</v>
      </c>
      <c r="Q119" s="12">
        <f>N119*0.65</f>
        <v>0</v>
      </c>
      <c r="R119" s="105">
        <f>SUM(P119:Q119)</f>
        <v>19922.5</v>
      </c>
      <c r="S119" s="240" t="s">
        <v>192</v>
      </c>
      <c r="T119" s="240"/>
    </row>
    <row r="120" spans="1:20" ht="11.25">
      <c r="A120" s="58"/>
      <c r="B120" s="8"/>
      <c r="C120" s="9"/>
      <c r="D120" s="22"/>
      <c r="E120" s="15"/>
      <c r="F120" s="23"/>
      <c r="G120" s="24"/>
      <c r="H120" s="18"/>
      <c r="I120" s="25"/>
      <c r="J120" s="26"/>
      <c r="K120" s="27"/>
      <c r="L120" s="128"/>
      <c r="M120" s="32"/>
      <c r="N120" s="12"/>
      <c r="O120" s="105"/>
      <c r="P120" s="12"/>
      <c r="Q120" s="12"/>
      <c r="R120" s="105"/>
      <c r="S120" s="17"/>
      <c r="T120" s="17"/>
    </row>
    <row r="121" spans="1:20" ht="11.25">
      <c r="A121" s="58"/>
      <c r="B121" s="8"/>
      <c r="C121" s="9"/>
      <c r="D121" s="9"/>
      <c r="E121" s="9"/>
      <c r="F121" s="8"/>
      <c r="G121" s="18"/>
      <c r="H121" s="18"/>
      <c r="I121" s="25"/>
      <c r="J121" s="21"/>
      <c r="K121" s="27"/>
      <c r="L121" s="128"/>
      <c r="M121" s="32"/>
      <c r="N121" s="12"/>
      <c r="O121" s="105"/>
      <c r="P121" s="12"/>
      <c r="Q121" s="12"/>
      <c r="R121" s="105"/>
      <c r="S121" s="240"/>
      <c r="T121" s="240"/>
    </row>
    <row r="123" spans="1:20" ht="11.25">
      <c r="A123" s="248" t="s">
        <v>9</v>
      </c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50"/>
      <c r="M123" s="109" t="s">
        <v>44</v>
      </c>
      <c r="N123" s="29" t="s">
        <v>45</v>
      </c>
      <c r="O123" s="130" t="s">
        <v>46</v>
      </c>
      <c r="P123" s="29" t="s">
        <v>47</v>
      </c>
      <c r="Q123" s="29" t="s">
        <v>48</v>
      </c>
      <c r="R123" s="130" t="s">
        <v>43</v>
      </c>
      <c r="S123" s="33" t="s">
        <v>25</v>
      </c>
      <c r="T123" s="34" t="s">
        <v>26</v>
      </c>
    </row>
    <row r="124" spans="1:21" ht="11.25">
      <c r="A124" s="217"/>
      <c r="B124" s="218"/>
      <c r="C124" s="168"/>
      <c r="D124" s="157"/>
      <c r="E124" s="157"/>
      <c r="F124" s="157"/>
      <c r="G124" s="157"/>
      <c r="H124" s="157"/>
      <c r="I124" s="157"/>
      <c r="J124" s="157"/>
      <c r="K124" s="251"/>
      <c r="L124" s="126" t="s">
        <v>12</v>
      </c>
      <c r="M124" s="113">
        <f>360*1000</f>
        <v>360000</v>
      </c>
      <c r="N124" s="3">
        <f>M124*0.2</f>
        <v>72000</v>
      </c>
      <c r="O124" s="131">
        <f>SUM(M124:N124)</f>
        <v>432000</v>
      </c>
      <c r="P124" s="3">
        <f>M124*0.65</f>
        <v>234000</v>
      </c>
      <c r="Q124" s="3">
        <f>P124*0.2</f>
        <v>46800</v>
      </c>
      <c r="R124" s="131">
        <f>SUM(P124:Q124)</f>
        <v>280800</v>
      </c>
      <c r="S124" s="5"/>
      <c r="T124" s="5"/>
      <c r="U124" s="30"/>
    </row>
    <row r="125" spans="1:21" ht="11.25">
      <c r="A125" s="217"/>
      <c r="B125" s="218"/>
      <c r="C125" s="45"/>
      <c r="D125" s="44"/>
      <c r="E125" s="44"/>
      <c r="F125" s="44"/>
      <c r="G125" s="44"/>
      <c r="H125" s="44"/>
      <c r="I125" s="44"/>
      <c r="J125" s="44"/>
      <c r="K125" s="4">
        <f>SUM(K134:K134)</f>
        <v>0</v>
      </c>
      <c r="L125" s="118" t="s">
        <v>28</v>
      </c>
      <c r="M125" s="110">
        <f>SUM(M134:M134)</f>
        <v>0</v>
      </c>
      <c r="N125" s="4">
        <f>SUM(N134:N134)</f>
        <v>0</v>
      </c>
      <c r="O125" s="102">
        <f>SUM(O134:O134)</f>
        <v>0</v>
      </c>
      <c r="P125" s="4">
        <f>SUM(P134:P134)</f>
        <v>0</v>
      </c>
      <c r="Q125" s="4">
        <f>SUM(Q134:Q134)</f>
        <v>0</v>
      </c>
      <c r="R125" s="102">
        <f>SUM(R134:R134)</f>
        <v>0</v>
      </c>
      <c r="S125" s="5">
        <f>R125*0.375</f>
        <v>0</v>
      </c>
      <c r="T125" s="5">
        <f>R125-S125</f>
        <v>0</v>
      </c>
      <c r="U125" s="30"/>
    </row>
    <row r="126" spans="1:21" ht="11.25">
      <c r="A126" s="217"/>
      <c r="B126" s="218"/>
      <c r="C126" s="45"/>
      <c r="D126" s="44"/>
      <c r="E126" s="44"/>
      <c r="F126" s="44"/>
      <c r="G126" s="44"/>
      <c r="H126" s="44"/>
      <c r="I126" s="44"/>
      <c r="J126" s="44"/>
      <c r="K126" s="46"/>
      <c r="L126" s="118" t="s">
        <v>29</v>
      </c>
      <c r="M126" s="110">
        <f>+M132+M133</f>
        <v>17106</v>
      </c>
      <c r="N126" s="110">
        <f>+N132+N133</f>
        <v>0</v>
      </c>
      <c r="O126" s="102">
        <f>+N126+M126</f>
        <v>17106</v>
      </c>
      <c r="P126" s="110">
        <f>+P132+P133</f>
        <v>11118.900000000001</v>
      </c>
      <c r="Q126" s="110">
        <f>+Q132+Q133</f>
        <v>0</v>
      </c>
      <c r="R126" s="102">
        <f>+Q126+P126</f>
        <v>11118.900000000001</v>
      </c>
      <c r="S126" s="51">
        <f>R126*0.375</f>
        <v>4169.587500000001</v>
      </c>
      <c r="T126" s="5">
        <f>R126-S126</f>
        <v>6949.312500000001</v>
      </c>
      <c r="U126" s="30"/>
    </row>
    <row r="127" spans="1:21" ht="11.25">
      <c r="A127" s="217"/>
      <c r="B127" s="218"/>
      <c r="C127" s="45"/>
      <c r="D127" s="44"/>
      <c r="E127" s="44"/>
      <c r="F127" s="44"/>
      <c r="G127" s="44"/>
      <c r="H127" s="44"/>
      <c r="I127" s="44"/>
      <c r="J127" s="44"/>
      <c r="K127" s="46"/>
      <c r="L127" s="118"/>
      <c r="M127" s="110"/>
      <c r="N127" s="4"/>
      <c r="O127" s="102"/>
      <c r="P127" s="4"/>
      <c r="Q127" s="79"/>
      <c r="R127" s="132"/>
      <c r="S127" s="97"/>
      <c r="T127" s="97"/>
      <c r="U127" s="30"/>
    </row>
    <row r="128" spans="1:21" ht="11.25">
      <c r="A128" s="217"/>
      <c r="B128" s="218"/>
      <c r="C128" s="45"/>
      <c r="D128" s="44"/>
      <c r="E128" s="44"/>
      <c r="F128" s="44"/>
      <c r="G128" s="44"/>
      <c r="H128" s="44"/>
      <c r="I128" s="44"/>
      <c r="J128" s="44"/>
      <c r="K128" s="46"/>
      <c r="L128" s="118"/>
      <c r="M128" s="110"/>
      <c r="N128" s="4"/>
      <c r="O128" s="102"/>
      <c r="P128" s="4"/>
      <c r="Q128" s="79"/>
      <c r="R128" s="132"/>
      <c r="S128" s="97"/>
      <c r="T128" s="97"/>
      <c r="U128" s="30"/>
    </row>
    <row r="129" spans="1:21" ht="11.25">
      <c r="A129" s="217"/>
      <c r="B129" s="218"/>
      <c r="C129" s="45"/>
      <c r="D129" s="44"/>
      <c r="E129" s="44"/>
      <c r="F129" s="44"/>
      <c r="G129" s="44"/>
      <c r="H129" s="44"/>
      <c r="I129" s="44"/>
      <c r="J129" s="44"/>
      <c r="K129" s="46"/>
      <c r="L129" s="118"/>
      <c r="M129" s="110"/>
      <c r="N129" s="4"/>
      <c r="O129" s="102"/>
      <c r="P129" s="4"/>
      <c r="Q129" s="79"/>
      <c r="R129" s="132"/>
      <c r="S129" s="97"/>
      <c r="T129" s="97"/>
      <c r="U129" s="30"/>
    </row>
    <row r="130" spans="1:21" ht="11.25">
      <c r="A130" s="219"/>
      <c r="B130" s="158"/>
      <c r="C130" s="162"/>
      <c r="D130" s="163"/>
      <c r="E130" s="163"/>
      <c r="F130" s="163"/>
      <c r="G130" s="163"/>
      <c r="H130" s="163"/>
      <c r="I130" s="163"/>
      <c r="J130" s="163"/>
      <c r="K130" s="164"/>
      <c r="L130" s="119" t="s">
        <v>13</v>
      </c>
      <c r="M130" s="111">
        <f aca="true" t="shared" si="28" ref="M130:R130">M124-M125-M126</f>
        <v>342894</v>
      </c>
      <c r="N130" s="6">
        <f t="shared" si="28"/>
        <v>72000</v>
      </c>
      <c r="O130" s="103">
        <f t="shared" si="28"/>
        <v>414894</v>
      </c>
      <c r="P130" s="6">
        <f t="shared" si="28"/>
        <v>222881.1</v>
      </c>
      <c r="Q130" s="6">
        <f t="shared" si="28"/>
        <v>46800</v>
      </c>
      <c r="R130" s="103">
        <f t="shared" si="28"/>
        <v>269681.1</v>
      </c>
      <c r="S130" s="1"/>
      <c r="T130" s="1"/>
      <c r="U130" s="30"/>
    </row>
    <row r="131" spans="1:20" ht="22.5">
      <c r="A131" s="7" t="s">
        <v>14</v>
      </c>
      <c r="B131" s="7" t="s">
        <v>11</v>
      </c>
      <c r="C131" s="35" t="s">
        <v>24</v>
      </c>
      <c r="D131" s="35" t="s">
        <v>20</v>
      </c>
      <c r="E131" s="42" t="s">
        <v>2</v>
      </c>
      <c r="F131" s="35" t="s">
        <v>19</v>
      </c>
      <c r="G131" s="35" t="s">
        <v>18</v>
      </c>
      <c r="H131" s="42" t="s">
        <v>17</v>
      </c>
      <c r="I131" s="42" t="s">
        <v>16</v>
      </c>
      <c r="J131" s="35" t="s">
        <v>3</v>
      </c>
      <c r="K131" s="35" t="s">
        <v>4</v>
      </c>
      <c r="L131" s="104" t="s">
        <v>5</v>
      </c>
      <c r="M131" s="112" t="s">
        <v>21</v>
      </c>
      <c r="N131" s="7" t="s">
        <v>40</v>
      </c>
      <c r="O131" s="104" t="s">
        <v>41</v>
      </c>
      <c r="P131" s="7" t="s">
        <v>22</v>
      </c>
      <c r="Q131" s="7" t="s">
        <v>42</v>
      </c>
      <c r="R131" s="104" t="s">
        <v>43</v>
      </c>
      <c r="S131" s="241" t="s">
        <v>27</v>
      </c>
      <c r="T131" s="241"/>
    </row>
    <row r="132" spans="1:20" ht="22.5">
      <c r="A132" s="112" t="s">
        <v>57</v>
      </c>
      <c r="B132" s="112"/>
      <c r="C132" s="15" t="s">
        <v>63</v>
      </c>
      <c r="D132" s="220" t="s">
        <v>178</v>
      </c>
      <c r="E132" s="221" t="s">
        <v>179</v>
      </c>
      <c r="F132" s="220">
        <v>2</v>
      </c>
      <c r="G132" s="220">
        <v>38748</v>
      </c>
      <c r="H132" s="221">
        <v>38835</v>
      </c>
      <c r="I132" s="221" t="s">
        <v>53</v>
      </c>
      <c r="J132" s="222">
        <v>13468</v>
      </c>
      <c r="K132" s="222">
        <v>2693.6</v>
      </c>
      <c r="L132" s="223">
        <v>16161.6</v>
      </c>
      <c r="M132" s="224">
        <v>13468</v>
      </c>
      <c r="N132" s="7"/>
      <c r="O132" s="272">
        <f>+N132+M132</f>
        <v>13468</v>
      </c>
      <c r="P132" s="273">
        <f>+M132*0.65</f>
        <v>8754.2</v>
      </c>
      <c r="Q132" s="273"/>
      <c r="R132" s="272">
        <f>+P132+Q132</f>
        <v>8754.2</v>
      </c>
      <c r="S132" s="274" t="s">
        <v>192</v>
      </c>
      <c r="T132" s="275"/>
    </row>
    <row r="133" spans="1:20" ht="22.5">
      <c r="A133" s="112" t="s">
        <v>57</v>
      </c>
      <c r="B133" s="112"/>
      <c r="C133" s="15" t="s">
        <v>63</v>
      </c>
      <c r="D133" s="220" t="s">
        <v>178</v>
      </c>
      <c r="E133" s="221" t="s">
        <v>179</v>
      </c>
      <c r="F133" s="220">
        <v>15</v>
      </c>
      <c r="G133" s="220">
        <v>38827</v>
      </c>
      <c r="H133" s="221">
        <v>38835</v>
      </c>
      <c r="I133" s="221" t="s">
        <v>53</v>
      </c>
      <c r="J133" s="222">
        <v>3638</v>
      </c>
      <c r="K133" s="222">
        <v>727.6</v>
      </c>
      <c r="L133" s="223">
        <v>4365</v>
      </c>
      <c r="M133" s="224">
        <v>3638</v>
      </c>
      <c r="N133" s="7"/>
      <c r="O133" s="272">
        <f>+N133+M133</f>
        <v>3638</v>
      </c>
      <c r="P133" s="273">
        <f>+M133*0.65</f>
        <v>2364.7000000000003</v>
      </c>
      <c r="Q133" s="273"/>
      <c r="R133" s="272">
        <f>+P133+Q133</f>
        <v>2364.7000000000003</v>
      </c>
      <c r="S133" s="274" t="s">
        <v>192</v>
      </c>
      <c r="T133" s="275"/>
    </row>
    <row r="134" spans="1:20" ht="11.25">
      <c r="A134" s="59"/>
      <c r="B134" s="8"/>
      <c r="C134" s="9"/>
      <c r="D134" s="9"/>
      <c r="E134" s="9"/>
      <c r="F134" s="9"/>
      <c r="G134" s="10"/>
      <c r="H134" s="11"/>
      <c r="I134" s="11"/>
      <c r="J134" s="12"/>
      <c r="K134" s="12"/>
      <c r="L134" s="105"/>
      <c r="M134" s="32"/>
      <c r="N134" s="12"/>
      <c r="O134" s="105"/>
      <c r="P134" s="12"/>
      <c r="Q134" s="12"/>
      <c r="R134" s="105"/>
      <c r="S134" s="240"/>
      <c r="T134" s="240"/>
    </row>
    <row r="136" spans="1:20" ht="11.25">
      <c r="A136" s="248" t="s">
        <v>10</v>
      </c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50"/>
      <c r="M136" s="109" t="s">
        <v>44</v>
      </c>
      <c r="N136" s="29" t="s">
        <v>45</v>
      </c>
      <c r="O136" s="130" t="s">
        <v>46</v>
      </c>
      <c r="P136" s="29" t="s">
        <v>47</v>
      </c>
      <c r="Q136" s="29" t="s">
        <v>48</v>
      </c>
      <c r="R136" s="130" t="s">
        <v>43</v>
      </c>
      <c r="S136" s="33" t="s">
        <v>25</v>
      </c>
      <c r="T136" s="34" t="s">
        <v>26</v>
      </c>
    </row>
    <row r="137" spans="1:21" ht="11.25">
      <c r="A137" s="257"/>
      <c r="B137" s="258"/>
      <c r="C137" s="168"/>
      <c r="D137" s="157"/>
      <c r="E137" s="157"/>
      <c r="F137" s="157"/>
      <c r="G137" s="157"/>
      <c r="H137" s="157"/>
      <c r="I137" s="157"/>
      <c r="J137" s="157"/>
      <c r="K137" s="251"/>
      <c r="L137" s="126" t="s">
        <v>12</v>
      </c>
      <c r="M137" s="113">
        <f>161.013*1000+192*1000</f>
        <v>353013</v>
      </c>
      <c r="N137" s="3">
        <f>M137*0.2</f>
        <v>70602.6</v>
      </c>
      <c r="O137" s="131">
        <f>SUM(M137:N137)</f>
        <v>423615.6</v>
      </c>
      <c r="P137" s="3">
        <f>M137*0.65</f>
        <v>229458.45</v>
      </c>
      <c r="Q137" s="3">
        <f>P137*0.2</f>
        <v>45891.69</v>
      </c>
      <c r="R137" s="131">
        <f>SUM(P137:Q137)</f>
        <v>275350.14</v>
      </c>
      <c r="S137" s="5"/>
      <c r="T137" s="5"/>
      <c r="U137" s="30"/>
    </row>
    <row r="138" spans="1:21" ht="11.25">
      <c r="A138" s="257"/>
      <c r="B138" s="258"/>
      <c r="C138" s="45"/>
      <c r="D138" s="44"/>
      <c r="E138" s="44"/>
      <c r="F138" s="44"/>
      <c r="G138" s="44"/>
      <c r="H138" s="44"/>
      <c r="I138" s="44"/>
      <c r="J138" s="44"/>
      <c r="K138" s="4"/>
      <c r="L138" s="118" t="s">
        <v>28</v>
      </c>
      <c r="M138" s="110">
        <f aca="true" t="shared" si="29" ref="M138:R138">+M145</f>
        <v>4125</v>
      </c>
      <c r="N138" s="110">
        <f t="shared" si="29"/>
        <v>0</v>
      </c>
      <c r="O138" s="102">
        <f t="shared" si="29"/>
        <v>4125</v>
      </c>
      <c r="P138" s="110">
        <f t="shared" si="29"/>
        <v>2681.25</v>
      </c>
      <c r="Q138" s="110">
        <f t="shared" si="29"/>
        <v>0</v>
      </c>
      <c r="R138" s="102">
        <f t="shared" si="29"/>
        <v>2681.25</v>
      </c>
      <c r="S138" s="5">
        <f>R138*0.375</f>
        <v>1005.46875</v>
      </c>
      <c r="T138" s="5">
        <f>R138-S138</f>
        <v>1675.78125</v>
      </c>
      <c r="U138" s="30"/>
    </row>
    <row r="139" spans="1:21" ht="11.25">
      <c r="A139" s="257"/>
      <c r="B139" s="258"/>
      <c r="C139" s="45"/>
      <c r="D139" s="44"/>
      <c r="E139" s="44"/>
      <c r="F139" s="44"/>
      <c r="G139" s="44"/>
      <c r="H139" s="44"/>
      <c r="I139" s="44"/>
      <c r="J139" s="44"/>
      <c r="K139" s="46"/>
      <c r="L139" s="118" t="s">
        <v>29</v>
      </c>
      <c r="M139" s="110">
        <f>SUM(M146:M152)</f>
        <v>34017.18</v>
      </c>
      <c r="N139" s="110">
        <f>SUM(N146:N152)</f>
        <v>0</v>
      </c>
      <c r="O139" s="102">
        <f>+N139+M139</f>
        <v>34017.18</v>
      </c>
      <c r="P139" s="110">
        <f>SUM(P146:P152)</f>
        <v>22111.167</v>
      </c>
      <c r="Q139" s="110">
        <f>SUM(Q146:Q152)</f>
        <v>0</v>
      </c>
      <c r="R139" s="102">
        <f>+Q139+P139</f>
        <v>22111.167</v>
      </c>
      <c r="S139" s="5">
        <f>R139*0.375</f>
        <v>8291.687625</v>
      </c>
      <c r="T139" s="5">
        <f>R139-S139</f>
        <v>13819.479375</v>
      </c>
      <c r="U139" s="30"/>
    </row>
    <row r="140" spans="1:21" ht="11.25">
      <c r="A140" s="257"/>
      <c r="B140" s="258"/>
      <c r="C140" s="45"/>
      <c r="D140" s="44"/>
      <c r="E140" s="44"/>
      <c r="F140" s="44"/>
      <c r="G140" s="44"/>
      <c r="H140" s="44"/>
      <c r="I140" s="44"/>
      <c r="J140" s="44"/>
      <c r="K140" s="46"/>
      <c r="L140" s="118"/>
      <c r="M140" s="110"/>
      <c r="N140" s="4"/>
      <c r="O140" s="102"/>
      <c r="P140" s="4"/>
      <c r="Q140" s="4"/>
      <c r="R140" s="102"/>
      <c r="S140" s="5">
        <f>R140*0.375</f>
        <v>0</v>
      </c>
      <c r="T140" s="5">
        <f>R140-S140</f>
        <v>0</v>
      </c>
      <c r="U140" s="30"/>
    </row>
    <row r="141" spans="1:21" ht="11.25">
      <c r="A141" s="257"/>
      <c r="B141" s="258"/>
      <c r="C141" s="45"/>
      <c r="D141" s="44"/>
      <c r="E141" s="44"/>
      <c r="F141" s="44"/>
      <c r="G141" s="44"/>
      <c r="H141" s="44"/>
      <c r="I141" s="44"/>
      <c r="J141" s="44"/>
      <c r="K141" s="46"/>
      <c r="L141" s="118"/>
      <c r="M141" s="110"/>
      <c r="N141" s="4"/>
      <c r="O141" s="102"/>
      <c r="P141" s="4"/>
      <c r="Q141" s="79"/>
      <c r="R141" s="132"/>
      <c r="S141" s="5">
        <f>R141*0.375</f>
        <v>0</v>
      </c>
      <c r="T141" s="5">
        <f>R141-S141</f>
        <v>0</v>
      </c>
      <c r="U141" s="30"/>
    </row>
    <row r="142" spans="1:21" ht="11.25">
      <c r="A142" s="257"/>
      <c r="B142" s="258"/>
      <c r="C142" s="45"/>
      <c r="D142" s="44"/>
      <c r="E142" s="44"/>
      <c r="F142" s="44"/>
      <c r="G142" s="44"/>
      <c r="H142" s="44"/>
      <c r="I142" s="44"/>
      <c r="J142" s="44"/>
      <c r="K142" s="46"/>
      <c r="L142" s="118"/>
      <c r="M142" s="110"/>
      <c r="N142" s="4"/>
      <c r="O142" s="102"/>
      <c r="P142" s="4"/>
      <c r="Q142" s="79"/>
      <c r="R142" s="132"/>
      <c r="S142" s="5">
        <f>R142*0.375</f>
        <v>0</v>
      </c>
      <c r="T142" s="5">
        <f>R142-S142</f>
        <v>0</v>
      </c>
      <c r="U142" s="30"/>
    </row>
    <row r="143" spans="1:21" ht="11.25">
      <c r="A143" s="259"/>
      <c r="B143" s="260"/>
      <c r="C143" s="162"/>
      <c r="D143" s="163"/>
      <c r="E143" s="163"/>
      <c r="F143" s="163"/>
      <c r="G143" s="163"/>
      <c r="H143" s="163"/>
      <c r="I143" s="163"/>
      <c r="J143" s="163"/>
      <c r="K143" s="164"/>
      <c r="L143" s="119" t="s">
        <v>13</v>
      </c>
      <c r="M143" s="111">
        <f aca="true" t="shared" si="30" ref="M143:R143">M137-M138-M139-M140-M141-M142</f>
        <v>314870.82</v>
      </c>
      <c r="N143" s="6">
        <f t="shared" si="30"/>
        <v>70602.6</v>
      </c>
      <c r="O143" s="103">
        <f t="shared" si="30"/>
        <v>385473.42</v>
      </c>
      <c r="P143" s="6">
        <f t="shared" si="30"/>
        <v>204666.033</v>
      </c>
      <c r="Q143" s="6">
        <f t="shared" si="30"/>
        <v>45891.69</v>
      </c>
      <c r="R143" s="103">
        <f t="shared" si="30"/>
        <v>250557.723</v>
      </c>
      <c r="S143" s="1"/>
      <c r="T143" s="1"/>
      <c r="U143" s="30"/>
    </row>
    <row r="144" spans="1:20" ht="22.5">
      <c r="A144" s="28" t="s">
        <v>14</v>
      </c>
      <c r="B144" s="28" t="s">
        <v>11</v>
      </c>
      <c r="C144" s="55" t="s">
        <v>24</v>
      </c>
      <c r="D144" s="55" t="s">
        <v>20</v>
      </c>
      <c r="E144" s="56" t="s">
        <v>2</v>
      </c>
      <c r="F144" s="55" t="s">
        <v>19</v>
      </c>
      <c r="G144" s="55" t="s">
        <v>18</v>
      </c>
      <c r="H144" s="56" t="s">
        <v>17</v>
      </c>
      <c r="I144" s="56" t="s">
        <v>16</v>
      </c>
      <c r="J144" s="55" t="s">
        <v>3</v>
      </c>
      <c r="K144" s="55" t="s">
        <v>4</v>
      </c>
      <c r="L144" s="129" t="s">
        <v>5</v>
      </c>
      <c r="M144" s="112" t="s">
        <v>21</v>
      </c>
      <c r="N144" s="7" t="s">
        <v>40</v>
      </c>
      <c r="O144" s="104" t="s">
        <v>41</v>
      </c>
      <c r="P144" s="7" t="s">
        <v>22</v>
      </c>
      <c r="Q144" s="7" t="s">
        <v>42</v>
      </c>
      <c r="R144" s="104" t="s">
        <v>43</v>
      </c>
      <c r="S144" s="241" t="s">
        <v>27</v>
      </c>
      <c r="T144" s="241"/>
    </row>
    <row r="145" spans="1:20" ht="45" customHeight="1">
      <c r="A145" s="28" t="s">
        <v>15</v>
      </c>
      <c r="B145" s="28"/>
      <c r="C145" s="15" t="s">
        <v>50</v>
      </c>
      <c r="D145" s="90" t="s">
        <v>54</v>
      </c>
      <c r="E145" s="83" t="s">
        <v>55</v>
      </c>
      <c r="F145" s="83" t="s">
        <v>56</v>
      </c>
      <c r="G145" s="84">
        <v>38337</v>
      </c>
      <c r="H145" s="85">
        <v>38401</v>
      </c>
      <c r="I145" s="92" t="s">
        <v>53</v>
      </c>
      <c r="J145" s="114">
        <v>4125</v>
      </c>
      <c r="K145" s="87"/>
      <c r="L145" s="106">
        <f>+J145+K145</f>
        <v>4125</v>
      </c>
      <c r="M145" s="114">
        <v>4125</v>
      </c>
      <c r="N145" s="87"/>
      <c r="O145" s="120">
        <f>SUM(M145:N145)</f>
        <v>4125</v>
      </c>
      <c r="P145" s="147">
        <f>M145*0.65</f>
        <v>2681.25</v>
      </c>
      <c r="Q145" s="147">
        <f>N145*0.65</f>
        <v>0</v>
      </c>
      <c r="R145" s="120">
        <f>SUM(P145:Q145)</f>
        <v>2681.25</v>
      </c>
      <c r="S145" s="240" t="s">
        <v>105</v>
      </c>
      <c r="T145" s="240"/>
    </row>
    <row r="146" spans="1:20" ht="45.75" customHeight="1">
      <c r="A146" s="28" t="s">
        <v>57</v>
      </c>
      <c r="B146" s="28"/>
      <c r="C146" s="15" t="s">
        <v>50</v>
      </c>
      <c r="D146" s="90" t="s">
        <v>54</v>
      </c>
      <c r="E146" s="83" t="s">
        <v>55</v>
      </c>
      <c r="F146" s="83" t="s">
        <v>56</v>
      </c>
      <c r="G146" s="84">
        <v>38337</v>
      </c>
      <c r="H146" s="85">
        <v>38401</v>
      </c>
      <c r="I146" s="89"/>
      <c r="J146" s="7"/>
      <c r="K146" s="7"/>
      <c r="L146" s="129"/>
      <c r="M146" s="114">
        <v>-458.34</v>
      </c>
      <c r="N146" s="7"/>
      <c r="O146" s="120">
        <f>SUM(M146:N146)</f>
        <v>-458.34</v>
      </c>
      <c r="P146" s="147">
        <f>M146*0.65</f>
        <v>-297.921</v>
      </c>
      <c r="Q146" s="147">
        <f>N146*0.65</f>
        <v>0</v>
      </c>
      <c r="R146" s="120">
        <f>SUM(P146:Q146)</f>
        <v>-297.921</v>
      </c>
      <c r="S146" s="240" t="s">
        <v>106</v>
      </c>
      <c r="T146" s="240"/>
    </row>
    <row r="147" spans="1:20" ht="45.75" customHeight="1">
      <c r="A147" s="28" t="s">
        <v>57</v>
      </c>
      <c r="B147" s="28"/>
      <c r="C147" s="15" t="s">
        <v>50</v>
      </c>
      <c r="D147" s="211" t="s">
        <v>156</v>
      </c>
      <c r="E147" s="212" t="s">
        <v>157</v>
      </c>
      <c r="F147" s="212">
        <v>28</v>
      </c>
      <c r="G147" s="213">
        <v>38558</v>
      </c>
      <c r="H147" s="213">
        <v>38568</v>
      </c>
      <c r="I147" s="214" t="s">
        <v>53</v>
      </c>
      <c r="J147" s="215">
        <v>600</v>
      </c>
      <c r="K147" s="215">
        <v>124.8</v>
      </c>
      <c r="L147" s="216">
        <v>748.8</v>
      </c>
      <c r="M147" s="215">
        <v>600</v>
      </c>
      <c r="N147" s="7"/>
      <c r="O147" s="120">
        <f>+N147+M147</f>
        <v>600</v>
      </c>
      <c r="P147" s="147">
        <f>M147*0.65</f>
        <v>390</v>
      </c>
      <c r="Q147" s="147"/>
      <c r="R147" s="120">
        <f>+Q147+P147</f>
        <v>390</v>
      </c>
      <c r="S147" s="276" t="s">
        <v>105</v>
      </c>
      <c r="T147" s="277"/>
    </row>
    <row r="148" spans="1:20" ht="45.75" customHeight="1">
      <c r="A148" s="28" t="s">
        <v>57</v>
      </c>
      <c r="B148" s="28"/>
      <c r="C148" s="15" t="s">
        <v>50</v>
      </c>
      <c r="D148" s="211" t="s">
        <v>156</v>
      </c>
      <c r="E148" s="212" t="s">
        <v>157</v>
      </c>
      <c r="F148" s="212">
        <v>7</v>
      </c>
      <c r="G148" s="213">
        <v>38736</v>
      </c>
      <c r="H148" s="213">
        <v>38743</v>
      </c>
      <c r="I148" s="214" t="s">
        <v>53</v>
      </c>
      <c r="J148" s="215">
        <v>600</v>
      </c>
      <c r="K148" s="215">
        <v>124.8</v>
      </c>
      <c r="L148" s="216">
        <v>748.8</v>
      </c>
      <c r="M148" s="215">
        <v>600</v>
      </c>
      <c r="N148" s="7"/>
      <c r="O148" s="120">
        <f>+N148+M148</f>
        <v>600</v>
      </c>
      <c r="P148" s="147">
        <f>M148*0.65</f>
        <v>390</v>
      </c>
      <c r="Q148" s="147"/>
      <c r="R148" s="120">
        <f>+Q148+P148</f>
        <v>390</v>
      </c>
      <c r="S148" s="276" t="s">
        <v>105</v>
      </c>
      <c r="T148" s="277"/>
    </row>
    <row r="149" spans="1:20" ht="45.75" customHeight="1">
      <c r="A149" s="28" t="s">
        <v>57</v>
      </c>
      <c r="B149" s="28"/>
      <c r="C149" s="15" t="s">
        <v>50</v>
      </c>
      <c r="D149" s="90" t="s">
        <v>54</v>
      </c>
      <c r="E149" s="212" t="s">
        <v>158</v>
      </c>
      <c r="F149" s="212">
        <v>42582478</v>
      </c>
      <c r="G149" s="213">
        <v>38700</v>
      </c>
      <c r="H149" s="213">
        <v>38722</v>
      </c>
      <c r="I149" s="214" t="s">
        <v>53</v>
      </c>
      <c r="J149" s="215">
        <v>4497.19</v>
      </c>
      <c r="K149" s="215"/>
      <c r="L149" s="216">
        <v>4497.19</v>
      </c>
      <c r="M149" s="215">
        <v>4497.19</v>
      </c>
      <c r="N149" s="7"/>
      <c r="O149" s="120">
        <f>+N149+M149</f>
        <v>4497.19</v>
      </c>
      <c r="P149" s="147">
        <f>M149*0.65</f>
        <v>2923.1735</v>
      </c>
      <c r="Q149" s="147"/>
      <c r="R149" s="120">
        <f>+Q149+P149</f>
        <v>2923.1735</v>
      </c>
      <c r="S149" s="276" t="s">
        <v>105</v>
      </c>
      <c r="T149" s="277"/>
    </row>
    <row r="150" spans="1:20" ht="45.75" customHeight="1">
      <c r="A150" s="112" t="s">
        <v>57</v>
      </c>
      <c r="B150" s="112"/>
      <c r="C150" s="15" t="s">
        <v>63</v>
      </c>
      <c r="D150" s="211" t="s">
        <v>180</v>
      </c>
      <c r="E150" s="212" t="s">
        <v>157</v>
      </c>
      <c r="F150" s="212">
        <v>27</v>
      </c>
      <c r="G150" s="213">
        <v>38558</v>
      </c>
      <c r="H150" s="213">
        <v>38568</v>
      </c>
      <c r="I150" s="214" t="s">
        <v>53</v>
      </c>
      <c r="J150" s="215">
        <v>1800</v>
      </c>
      <c r="K150" s="215">
        <v>374.4</v>
      </c>
      <c r="L150" s="216">
        <v>2246.4</v>
      </c>
      <c r="M150" s="215">
        <v>1800</v>
      </c>
      <c r="N150" s="7"/>
      <c r="O150" s="120">
        <f>+N150+M150</f>
        <v>1800</v>
      </c>
      <c r="P150" s="147">
        <f>M150*0.65</f>
        <v>1170</v>
      </c>
      <c r="Q150" s="147"/>
      <c r="R150" s="120">
        <f>+Q150+P150</f>
        <v>1170</v>
      </c>
      <c r="S150" s="276" t="s">
        <v>105</v>
      </c>
      <c r="T150" s="277"/>
    </row>
    <row r="151" spans="1:20" ht="45.75" customHeight="1">
      <c r="A151" s="112" t="s">
        <v>57</v>
      </c>
      <c r="B151" s="112"/>
      <c r="C151" s="15" t="s">
        <v>63</v>
      </c>
      <c r="D151" s="211" t="s">
        <v>180</v>
      </c>
      <c r="E151" s="212" t="s">
        <v>157</v>
      </c>
      <c r="F151" s="212">
        <v>6</v>
      </c>
      <c r="G151" s="213">
        <v>38736</v>
      </c>
      <c r="H151" s="213">
        <v>38740</v>
      </c>
      <c r="I151" s="214" t="s">
        <v>53</v>
      </c>
      <c r="J151" s="215">
        <v>1800</v>
      </c>
      <c r="K151" s="215">
        <v>374.4</v>
      </c>
      <c r="L151" s="216">
        <v>2174.4</v>
      </c>
      <c r="M151" s="215">
        <v>1800</v>
      </c>
      <c r="N151" s="7"/>
      <c r="O151" s="120">
        <f>+N151+M151</f>
        <v>1800</v>
      </c>
      <c r="P151" s="147">
        <f>M151*0.65</f>
        <v>1170</v>
      </c>
      <c r="Q151" s="147"/>
      <c r="R151" s="120">
        <f>+Q151+P151</f>
        <v>1170</v>
      </c>
      <c r="S151" s="276" t="s">
        <v>105</v>
      </c>
      <c r="T151" s="277"/>
    </row>
    <row r="152" spans="1:20" ht="45.75" customHeight="1">
      <c r="A152" s="112" t="s">
        <v>57</v>
      </c>
      <c r="B152" s="112"/>
      <c r="C152" s="15" t="s">
        <v>63</v>
      </c>
      <c r="D152" s="211" t="s">
        <v>181</v>
      </c>
      <c r="E152" s="212" t="s">
        <v>69</v>
      </c>
      <c r="F152" s="212">
        <v>37</v>
      </c>
      <c r="G152" s="213">
        <v>38676</v>
      </c>
      <c r="H152" s="213">
        <v>38680</v>
      </c>
      <c r="I152" s="214" t="s">
        <v>162</v>
      </c>
      <c r="J152" s="215">
        <v>25178.33</v>
      </c>
      <c r="K152" s="215">
        <v>5035.666000000001</v>
      </c>
      <c r="L152" s="216">
        <v>30213.996000000003</v>
      </c>
      <c r="M152" s="215">
        <v>25178.33</v>
      </c>
      <c r="N152" s="7"/>
      <c r="O152" s="120">
        <f>+N152+M152</f>
        <v>25178.33</v>
      </c>
      <c r="P152" s="147">
        <f>M152*0.65</f>
        <v>16365.914500000003</v>
      </c>
      <c r="Q152" s="147"/>
      <c r="R152" s="120">
        <f>+Q152+P152</f>
        <v>16365.914500000003</v>
      </c>
      <c r="S152" s="276" t="s">
        <v>105</v>
      </c>
      <c r="T152" s="277"/>
    </row>
    <row r="153" spans="1:20" ht="11.25">
      <c r="A153" s="28"/>
      <c r="B153" s="28"/>
      <c r="C153" s="7"/>
      <c r="D153" s="7"/>
      <c r="E153" s="89"/>
      <c r="F153" s="7"/>
      <c r="G153" s="7"/>
      <c r="H153" s="89"/>
      <c r="I153" s="89"/>
      <c r="J153" s="7"/>
      <c r="K153" s="7"/>
      <c r="L153" s="129"/>
      <c r="M153" s="112"/>
      <c r="N153" s="7"/>
      <c r="O153" s="104"/>
      <c r="P153" s="7"/>
      <c r="Q153" s="7"/>
      <c r="R153" s="104"/>
      <c r="S153" s="240"/>
      <c r="T153" s="240"/>
    </row>
    <row r="154" spans="1:20" ht="11.25">
      <c r="A154" s="58"/>
      <c r="B154" s="8"/>
      <c r="C154" s="9"/>
      <c r="D154" s="15"/>
      <c r="E154" s="9"/>
      <c r="F154" s="15"/>
      <c r="G154" s="10"/>
      <c r="H154" s="16"/>
      <c r="I154" s="16"/>
      <c r="J154" s="12"/>
      <c r="K154" s="12">
        <f>+J154*0.2</f>
        <v>0</v>
      </c>
      <c r="L154" s="105">
        <f>SUM(J154:K154)</f>
        <v>0</v>
      </c>
      <c r="M154" s="32">
        <v>0</v>
      </c>
      <c r="N154" s="32"/>
      <c r="O154" s="105"/>
      <c r="P154" s="12">
        <f>M154*0.65</f>
        <v>0</v>
      </c>
      <c r="Q154" s="12"/>
      <c r="R154" s="105"/>
      <c r="S154" s="242"/>
      <c r="T154" s="242"/>
    </row>
    <row r="155" ht="11.25">
      <c r="J155" s="64"/>
    </row>
  </sheetData>
  <mergeCells count="102">
    <mergeCell ref="S151:T151"/>
    <mergeCell ref="S152:T152"/>
    <mergeCell ref="S147:T147"/>
    <mergeCell ref="S148:T148"/>
    <mergeCell ref="S149:T149"/>
    <mergeCell ref="S150:T150"/>
    <mergeCell ref="S80:T80"/>
    <mergeCell ref="S81:T81"/>
    <mergeCell ref="S132:T132"/>
    <mergeCell ref="S133:T133"/>
    <mergeCell ref="S76:T76"/>
    <mergeCell ref="S77:T77"/>
    <mergeCell ref="S78:T78"/>
    <mergeCell ref="S79:T79"/>
    <mergeCell ref="S72:T72"/>
    <mergeCell ref="S73:T73"/>
    <mergeCell ref="S74:T74"/>
    <mergeCell ref="S75:T75"/>
    <mergeCell ref="S68:T68"/>
    <mergeCell ref="S69:T69"/>
    <mergeCell ref="S70:T70"/>
    <mergeCell ref="S71:T71"/>
    <mergeCell ref="S33:T33"/>
    <mergeCell ref="S35:T35"/>
    <mergeCell ref="S66:T66"/>
    <mergeCell ref="S67:T67"/>
    <mergeCell ref="C7:L7"/>
    <mergeCell ref="S21:T21"/>
    <mergeCell ref="S18:T18"/>
    <mergeCell ref="S17:T17"/>
    <mergeCell ref="S19:T19"/>
    <mergeCell ref="S20:T20"/>
    <mergeCell ref="S53:T64"/>
    <mergeCell ref="S23:T23"/>
    <mergeCell ref="S24:T24"/>
    <mergeCell ref="S47:T47"/>
    <mergeCell ref="S49:T49"/>
    <mergeCell ref="S48:T48"/>
    <mergeCell ref="S34:T34"/>
    <mergeCell ref="S36:T36"/>
    <mergeCell ref="S46:T46"/>
    <mergeCell ref="S26:T26"/>
    <mergeCell ref="A39:B45"/>
    <mergeCell ref="C39:K39"/>
    <mergeCell ref="C45:K45"/>
    <mergeCell ref="S22:T22"/>
    <mergeCell ref="S27:T27"/>
    <mergeCell ref="S28:T28"/>
    <mergeCell ref="S29:T29"/>
    <mergeCell ref="S30:T30"/>
    <mergeCell ref="S31:T31"/>
    <mergeCell ref="S32:T32"/>
    <mergeCell ref="A84:L84"/>
    <mergeCell ref="A96:L96"/>
    <mergeCell ref="A85:B91"/>
    <mergeCell ref="C85:K85"/>
    <mergeCell ref="S131:T131"/>
    <mergeCell ref="S104:T104"/>
    <mergeCell ref="S105:T105"/>
    <mergeCell ref="S134:T134"/>
    <mergeCell ref="S121:T121"/>
    <mergeCell ref="S108:T108"/>
    <mergeCell ref="S119:T119"/>
    <mergeCell ref="S118:T118"/>
    <mergeCell ref="S154:T154"/>
    <mergeCell ref="A1:T1"/>
    <mergeCell ref="A8:B14"/>
    <mergeCell ref="S15:T15"/>
    <mergeCell ref="E2:F2"/>
    <mergeCell ref="E3:F3"/>
    <mergeCell ref="E4:F4"/>
    <mergeCell ref="S94:T94"/>
    <mergeCell ref="E5:F5"/>
    <mergeCell ref="A137:B143"/>
    <mergeCell ref="C137:K137"/>
    <mergeCell ref="C143:K143"/>
    <mergeCell ref="C91:K91"/>
    <mergeCell ref="A124:B130"/>
    <mergeCell ref="C124:K124"/>
    <mergeCell ref="C130:K130"/>
    <mergeCell ref="A136:L136"/>
    <mergeCell ref="A111:B117"/>
    <mergeCell ref="C111:K111"/>
    <mergeCell ref="S65:T65"/>
    <mergeCell ref="S25:T25"/>
    <mergeCell ref="A123:L123"/>
    <mergeCell ref="S92:T92"/>
    <mergeCell ref="S106:T106"/>
    <mergeCell ref="A110:L110"/>
    <mergeCell ref="A97:B103"/>
    <mergeCell ref="C97:K97"/>
    <mergeCell ref="C103:K103"/>
    <mergeCell ref="A38:L38"/>
    <mergeCell ref="S146:T146"/>
    <mergeCell ref="S153:T153"/>
    <mergeCell ref="S145:T145"/>
    <mergeCell ref="S16:T16"/>
    <mergeCell ref="S144:T144"/>
    <mergeCell ref="S82:T82"/>
    <mergeCell ref="S51:T51"/>
    <mergeCell ref="S52:T52"/>
    <mergeCell ref="S50:T50"/>
  </mergeCells>
  <printOptions horizontalCentered="1"/>
  <pageMargins left="0.1968503937007874" right="0.15748031496062992" top="0.23" bottom="0.22" header="0.17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2007-11-15T14:51:02Z</cp:lastPrinted>
  <dcterms:created xsi:type="dcterms:W3CDTF">2005-04-28T08:10:49Z</dcterms:created>
  <dcterms:modified xsi:type="dcterms:W3CDTF">2007-11-15T14:57:28Z</dcterms:modified>
  <cp:category/>
  <cp:version/>
  <cp:contentType/>
  <cp:contentStatus/>
</cp:coreProperties>
</file>